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9245" windowHeight="12195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заказа'!$B$18:$W$18</definedName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заказа'!$U$464:$U$464</definedName>
    <definedName name="GrossWeightTotalR">'Бланк заказа'!$V$464:$V$464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заказа'!$U$465:$U$465</definedName>
    <definedName name="PalletQtyTotalR">'Бланк заказа'!$V$465:$V$465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заказа'!$B$189:$B$189</definedName>
    <definedName name="ProductId102">'Бланк заказа'!$B$190:$B$190</definedName>
    <definedName name="ProductId103">'Бланк заказа'!$B$191:$B$191</definedName>
    <definedName name="ProductId104">'Бланк заказа'!$B$192:$B$192</definedName>
    <definedName name="ProductId105">'Бланк заказа'!$B$193:$B$193</definedName>
    <definedName name="ProductId106">'Бланк заказа'!$B$194:$B$194</definedName>
    <definedName name="ProductId107">'Бланк заказа'!$B$195:$B$195</definedName>
    <definedName name="ProductId108">'Бланк заказа'!$B$196:$B$196</definedName>
    <definedName name="ProductId109">'Бланк заказа'!$B$197:$B$197</definedName>
    <definedName name="ProductId11">'Бланк заказа'!$B$46:$B$46</definedName>
    <definedName name="ProductId110">'Бланк заказа'!$B$198:$B$198</definedName>
    <definedName name="ProductId111">'Бланк заказа'!$B$199:$B$199</definedName>
    <definedName name="ProductId112">'Бланк заказа'!$B$200:$B$200</definedName>
    <definedName name="ProductId113">'Бланк заказа'!$B$201:$B$201</definedName>
    <definedName name="ProductId114">'Бланк заказа'!$B$202:$B$202</definedName>
    <definedName name="ProductId115">'Бланк заказа'!$B$203:$B$203</definedName>
    <definedName name="ProductId116">'Бланк заказа'!$B$207:$B$207</definedName>
    <definedName name="ProductId117">'Бланк заказа'!$B$211:$B$211</definedName>
    <definedName name="ProductId118">'Бланк заказа'!$B$212:$B$212</definedName>
    <definedName name="ProductId119">'Бланк заказа'!$B$213:$B$213</definedName>
    <definedName name="ProductId12">'Бланк заказа'!$B$47:$B$47</definedName>
    <definedName name="ProductId120">'Бланк заказа'!$B$214:$B$214</definedName>
    <definedName name="ProductId121">'Бланк заказа'!$B$218:$B$218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заказа'!$B$52:$B$52</definedName>
    <definedName name="ProductId130">'Бланк заказа'!$B$230:$B$230</definedName>
    <definedName name="ProductId131">'Бланк заказа'!$B$234:$B$234</definedName>
    <definedName name="ProductId132">'Бланк заказа'!$B$235:$B$235</definedName>
    <definedName name="ProductId133">'Бланк заказа'!$B$236:$B$236</definedName>
    <definedName name="ProductId134">'Бланк заказа'!$B$240:$B$240</definedName>
    <definedName name="ProductId135">'Бланк заказа'!$B$241:$B$241</definedName>
    <definedName name="ProductId136">'Бланк заказа'!$B$242:$B$242</definedName>
    <definedName name="ProductId137">'Бланк заказа'!$B$247:$B$247</definedName>
    <definedName name="ProductId138">'Бланк заказа'!$B$248:$B$248</definedName>
    <definedName name="ProductId139">'Бланк заказа'!$B$249:$B$249</definedName>
    <definedName name="ProductId14">'Бланк заказа'!$B$53:$B$53</definedName>
    <definedName name="ProductId140">'Бланк заказа'!$B$250:$B$250</definedName>
    <definedName name="ProductId141">'Бланк заказа'!$B$251:$B$251</definedName>
    <definedName name="ProductId142">'Бланк заказа'!$B$252:$B$252</definedName>
    <definedName name="ProductId143">'Бланк заказа'!$B$253:$B$253</definedName>
    <definedName name="ProductId144">'Бланк заказа'!$B$257:$B$257</definedName>
    <definedName name="ProductId145">'Бланк заказа'!$B$258:$B$258</definedName>
    <definedName name="ProductId146">'Бланк заказа'!$B$263:$B$263</definedName>
    <definedName name="ProductId147">'Бланк заказа'!$B$264:$B$264</definedName>
    <definedName name="ProductId148">'Бланк заказа'!$B$268:$B$268</definedName>
    <definedName name="ProductId149">'Бланк заказа'!$B$269:$B$269</definedName>
    <definedName name="ProductId15">'Бланк заказа'!$B$54:$B$54</definedName>
    <definedName name="ProductId150">'Бланк заказа'!$B$270:$B$270</definedName>
    <definedName name="ProductId151">'Бланк заказа'!$B$274:$B$274</definedName>
    <definedName name="ProductId152">'Бланк заказа'!$B$278:$B$278</definedName>
    <definedName name="ProductId153">'Бланк заказа'!$B$284:$B$284</definedName>
    <definedName name="ProductId154">'Бланк заказа'!$B$285:$B$285</definedName>
    <definedName name="ProductId155">'Бланк заказа'!$B$286:$B$286</definedName>
    <definedName name="ProductId156">'Бланк заказа'!$B$287:$B$287</definedName>
    <definedName name="ProductId157">'Бланк заказа'!$B$288:$B$288</definedName>
    <definedName name="ProductId158">'Бланк заказа'!$B$289:$B$289</definedName>
    <definedName name="ProductId159">'Бланк заказа'!$B$290:$B$290</definedName>
    <definedName name="ProductId16">'Бланк заказа'!$B$59:$B$59</definedName>
    <definedName name="ProductId160">'Бланк заказа'!$B$291:$B$291</definedName>
    <definedName name="ProductId161">'Бланк заказа'!$B$295:$B$295</definedName>
    <definedName name="ProductId162">'Бланк заказа'!$B$296:$B$296</definedName>
    <definedName name="ProductId163">'Бланк заказа'!$B$300:$B$300</definedName>
    <definedName name="ProductId164">'Бланк заказа'!$B$304:$B$304</definedName>
    <definedName name="ProductId165">'Бланк заказа'!$B$308:$B$308</definedName>
    <definedName name="ProductId166">'Бланк заказа'!$B$313:$B$313</definedName>
    <definedName name="ProductId167">'Бланк заказа'!$B$314:$B$314</definedName>
    <definedName name="ProductId168">'Бланк заказа'!$B$315:$B$315</definedName>
    <definedName name="ProductId169">'Бланк заказа'!$B$316:$B$316</definedName>
    <definedName name="ProductId17">'Бланк заказа'!$B$60:$B$60</definedName>
    <definedName name="ProductId170">'Бланк заказа'!$B$320:$B$320</definedName>
    <definedName name="ProductId171">'Бланк заказа'!$B$321:$B$321</definedName>
    <definedName name="ProductId172">'Бланк заказа'!$B$325:$B$325</definedName>
    <definedName name="ProductId173">'Бланк заказа'!$B$326:$B$326</definedName>
    <definedName name="ProductId174">'Бланк заказа'!$B$327:$B$327</definedName>
    <definedName name="ProductId175">'Бланк заказа'!$B$328:$B$328</definedName>
    <definedName name="ProductId176">'Бланк заказа'!$B$332:$B$332</definedName>
    <definedName name="ProductId177">'Бланк заказа'!$B$338:$B$338</definedName>
    <definedName name="ProductId178">'Бланк заказа'!$B$339:$B$339</definedName>
    <definedName name="ProductId179">'Бланк заказа'!$B$343:$B$343</definedName>
    <definedName name="ProductId18">'Бланк заказа'!$B$61:$B$61</definedName>
    <definedName name="ProductId180">'Бланк заказа'!$B$344:$B$344</definedName>
    <definedName name="ProductId181">'Бланк заказа'!$B$345:$B$345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заказа'!$B$62:$B$62</definedName>
    <definedName name="ProductId190">'Бланк заказа'!$B$354:$B$354</definedName>
    <definedName name="ProductId191">'Бланк заказа'!$B$355:$B$355</definedName>
    <definedName name="ProductId192">'Бланк заказа'!$B$359:$B$359</definedName>
    <definedName name="ProductId193">'Бланк заказа'!$B$360:$B$360</definedName>
    <definedName name="ProductId194">'Бланк заказа'!$B$361:$B$361</definedName>
    <definedName name="ProductId195">'Бланк заказа'!$B$362:$B$362</definedName>
    <definedName name="ProductId196">'Бланк заказа'!$B$366:$B$366</definedName>
    <definedName name="ProductId197">'Бланк заказа'!$B$370:$B$370</definedName>
    <definedName name="ProductId198">'Бланк заказа'!$B$371:$B$371</definedName>
    <definedName name="ProductId199">'Бланк заказа'!$B$372:$B$372</definedName>
    <definedName name="ProductId2">'Бланк заказа'!$B$26:$B$26</definedName>
    <definedName name="ProductId20">'Бланк заказа'!$B$63:$B$63</definedName>
    <definedName name="ProductId200">'Бланк заказа'!$B$376:$B$376</definedName>
    <definedName name="ProductId201">'Бланк заказа'!$B$381:$B$381</definedName>
    <definedName name="ProductId202">'Бланк заказа'!$B$382:$B$382</definedName>
    <definedName name="ProductId203">'Бланк заказа'!$B$386:$B$386</definedName>
    <definedName name="ProductId204">'Бланк заказа'!$B$387:$B$387</definedName>
    <definedName name="ProductId205">'Бланк заказа'!$B$388:$B$388</definedName>
    <definedName name="ProductId206">'Бланк заказа'!$B$389:$B$389</definedName>
    <definedName name="ProductId207">'Бланк заказа'!$B$390:$B$390</definedName>
    <definedName name="ProductId208">'Бланк заказа'!$B$391:$B$391</definedName>
    <definedName name="ProductId209">'Бланк заказа'!$B$392:$B$392</definedName>
    <definedName name="ProductId21">'Бланк заказа'!$B$64:$B$64</definedName>
    <definedName name="ProductId210">'Бланк заказа'!$B$396:$B$396</definedName>
    <definedName name="ProductId211">'Бланк заказа'!$B$400:$B$400</definedName>
    <definedName name="ProductId212">'Бланк заказа'!$B$406:$B$406</definedName>
    <definedName name="ProductId213">'Бланк заказа'!$B$407:$B$407</definedName>
    <definedName name="ProductId214">'Бланк заказа'!$B$408:$B$408</definedName>
    <definedName name="ProductId215">'Бланк заказа'!$B$409:$B$409</definedName>
    <definedName name="ProductId216">'Бланк заказа'!$B$410:$B$410</definedName>
    <definedName name="ProductId217">'Бланк заказа'!$B$411:$B$411</definedName>
    <definedName name="ProductId218">'Бланк заказа'!$B$412:$B$412</definedName>
    <definedName name="ProductId219">'Бланк заказа'!$B$413:$B$413</definedName>
    <definedName name="ProductId22">'Бланк заказа'!$B$65:$B$65</definedName>
    <definedName name="ProductId220">'Бланк заказа'!$B$414:$B$414</definedName>
    <definedName name="ProductId221">'Бланк заказа'!$B$418:$B$418</definedName>
    <definedName name="ProductId222">'Бланк заказа'!$B$419:$B$419</definedName>
    <definedName name="ProductId223">'Бланк заказа'!$B$423:$B$423</definedName>
    <definedName name="ProductId224">'Бланк заказа'!$B$424:$B$424</definedName>
    <definedName name="ProductId225">'Бланк заказа'!$B$425:$B$425</definedName>
    <definedName name="ProductId226">'Бланк заказа'!$B$426:$B$426</definedName>
    <definedName name="ProductId227">'Бланк заказа'!$B$427:$B$427</definedName>
    <definedName name="ProductId228">'Бланк заказа'!$B$428:$B$428</definedName>
    <definedName name="ProductId229">'Бланк заказа'!$B$432:$B$432</definedName>
    <definedName name="ProductId23">'Бланк заказа'!$B$66:$B$66</definedName>
    <definedName name="ProductId230">'Бланк заказа'!$B$433:$B$433</definedName>
    <definedName name="ProductId231">'Бланк заказа'!$B$439:$B$439</definedName>
    <definedName name="ProductId232">'Бланк заказа'!$B$440:$B$440</definedName>
    <definedName name="ProductId233">'Бланк заказа'!$B$444:$B$444</definedName>
    <definedName name="ProductId234">'Бланк заказа'!$B$445:$B$445</definedName>
    <definedName name="ProductId235">'Бланк заказа'!$B$449:$B$449</definedName>
    <definedName name="ProductId236">'Бланк заказа'!$B$450:$B$450</definedName>
    <definedName name="ProductId237">'Бланк заказа'!$B$454:$B$454</definedName>
    <definedName name="ProductId238">'Бланк заказа'!$B$455:$B$455</definedName>
    <definedName name="ProductId239">'Бланк заказа'!$B$460:$B$460</definedName>
    <definedName name="ProductId24">'Бланк заказа'!$B$67:$B$67</definedName>
    <definedName name="ProductId25">'Бланк заказа'!$B$68:$B$68</definedName>
    <definedName name="ProductId26">'Бланк заказа'!$B$69:$B$69</definedName>
    <definedName name="ProductId27">'Бланк заказа'!$B$70:$B$70</definedName>
    <definedName name="ProductId28">'Бланк заказа'!$B$71:$B$71</definedName>
    <definedName name="ProductId29">'Бланк заказа'!$B$72:$B$72</definedName>
    <definedName name="ProductId3">'Бланк заказа'!$B$27:$B$27</definedName>
    <definedName name="ProductId30">'Бланк заказа'!$B$73:$B$73</definedName>
    <definedName name="ProductId31">'Бланк заказа'!$B$74:$B$74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заказа'!$B$95:$B$95</definedName>
    <definedName name="ProductId47">'Бланк заказа'!$B$96:$B$96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заказа'!$B$118:$B$118</definedName>
    <definedName name="ProductId6">'Бланк заказа'!$B$30:$B$30</definedName>
    <definedName name="ProductId60">'Бланк заказа'!$B$119:$B$119</definedName>
    <definedName name="ProductId61">'Бланк заказа'!$B$120:$B$120</definedName>
    <definedName name="ProductId62">'Бланк заказа'!$B$121:$B$121</definedName>
    <definedName name="ProductId63">'Бланк заказа'!$B$127:$B$127</definedName>
    <definedName name="ProductId64">'Бланк заказа'!$B$128:$B$128</definedName>
    <definedName name="ProductId65">'Бланк заказа'!$B$129:$B$129</definedName>
    <definedName name="ProductId66">'Бланк заказа'!$B$134:$B$134</definedName>
    <definedName name="ProductId67">'Бланк заказа'!$B$135:$B$135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заказа'!$B$138:$B$138</definedName>
    <definedName name="ProductId71">'Бланк заказа'!$B$139:$B$139</definedName>
    <definedName name="ProductId72">'Бланк заказа'!$B$140:$B$140</definedName>
    <definedName name="ProductId73">'Бланк заказа'!$B$141:$B$141</definedName>
    <definedName name="ProductId74">'Бланк заказа'!$B$146:$B$146</definedName>
    <definedName name="ProductId75">'Бланк заказа'!$B$147:$B$147</definedName>
    <definedName name="ProductId76">'Бланк заказа'!$B$151:$B$151</definedName>
    <definedName name="ProductId77">'Бланк заказа'!$B$152:$B$152</definedName>
    <definedName name="ProductId78">'Бланк заказа'!$B$156:$B$156</definedName>
    <definedName name="ProductId79">'Бланк заказа'!$B$157:$B$157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заказа'!$B$183:$B$183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заказа'!$U$184:$U$184</definedName>
    <definedName name="SalesQty101">'Бланк заказа'!$U$189:$U$189</definedName>
    <definedName name="SalesQty102">'Бланк заказа'!$U$190:$U$190</definedName>
    <definedName name="SalesQty103">'Бланк заказа'!$U$191:$U$191</definedName>
    <definedName name="SalesQty104">'Бланк заказа'!$U$192:$U$192</definedName>
    <definedName name="SalesQty105">'Бланк заказа'!$U$193:$U$193</definedName>
    <definedName name="SalesQty106">'Бланк заказа'!$U$194:$U$194</definedName>
    <definedName name="SalesQty107">'Бланк заказа'!$U$195:$U$195</definedName>
    <definedName name="SalesQty108">'Бланк заказа'!$U$196:$U$196</definedName>
    <definedName name="SalesQty109">'Бланк заказа'!$U$197:$U$197</definedName>
    <definedName name="SalesQty11">'Бланк заказа'!$U$46:$U$46</definedName>
    <definedName name="SalesQty110">'Бланк заказа'!$U$198:$U$198</definedName>
    <definedName name="SalesQty111">'Бланк заказа'!$U$199:$U$199</definedName>
    <definedName name="SalesQty112">'Бланк заказа'!$U$200:$U$200</definedName>
    <definedName name="SalesQty113">'Бланк заказа'!$U$201:$U$201</definedName>
    <definedName name="SalesQty114">'Бланк заказа'!$U$202:$U$202</definedName>
    <definedName name="SalesQty115">'Бланк заказа'!$U$203:$U$203</definedName>
    <definedName name="SalesQty116">'Бланк заказа'!$U$207:$U$207</definedName>
    <definedName name="SalesQty117">'Бланк заказа'!$U$211:$U$211</definedName>
    <definedName name="SalesQty118">'Бланк заказа'!$U$212:$U$212</definedName>
    <definedName name="SalesQty119">'Бланк заказа'!$U$213:$U$213</definedName>
    <definedName name="SalesQty12">'Бланк заказа'!$U$47:$U$47</definedName>
    <definedName name="SalesQty120">'Бланк заказа'!$U$214:$U$214</definedName>
    <definedName name="SalesQty121">'Бланк заказа'!$U$218:$U$218</definedName>
    <definedName name="SalesQty122">'Бланк заказа'!$U$219:$U$219</definedName>
    <definedName name="SalesQty123">'Бланк заказа'!$U$220:$U$220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заказа'!$U$227:$U$227</definedName>
    <definedName name="SalesQty128">'Бланк заказа'!$U$228:$U$228</definedName>
    <definedName name="SalesQty129">'Бланк заказа'!$U$229:$U$229</definedName>
    <definedName name="SalesQty13">'Бланк заказа'!$U$52:$U$52</definedName>
    <definedName name="SalesQty130">'Бланк заказа'!$U$230:$U$230</definedName>
    <definedName name="SalesQty131">'Бланк заказа'!$U$234:$U$234</definedName>
    <definedName name="SalesQty132">'Бланк заказа'!$U$235:$U$235</definedName>
    <definedName name="SalesQty133">'Бланк заказа'!$U$236:$U$236</definedName>
    <definedName name="SalesQty134">'Бланк заказа'!$U$240:$U$240</definedName>
    <definedName name="SalesQty135">'Бланк заказа'!$U$241:$U$241</definedName>
    <definedName name="SalesQty136">'Бланк заказа'!$U$242:$U$242</definedName>
    <definedName name="SalesQty137">'Бланк заказа'!$U$247:$U$247</definedName>
    <definedName name="SalesQty138">'Бланк заказа'!$U$248:$U$248</definedName>
    <definedName name="SalesQty139">'Бланк заказа'!$U$249:$U$249</definedName>
    <definedName name="SalesQty14">'Бланк заказа'!$U$53:$U$53</definedName>
    <definedName name="SalesQty140">'Бланк заказа'!$U$250:$U$250</definedName>
    <definedName name="SalesQty141">'Бланк заказа'!$U$251:$U$251</definedName>
    <definedName name="SalesQty142">'Бланк заказа'!$U$252:$U$252</definedName>
    <definedName name="SalesQty143">'Бланк заказа'!$U$253:$U$253</definedName>
    <definedName name="SalesQty144">'Бланк заказа'!$U$257:$U$257</definedName>
    <definedName name="SalesQty145">'Бланк заказа'!$U$258:$U$258</definedName>
    <definedName name="SalesQty146">'Бланк заказа'!$U$263:$U$263</definedName>
    <definedName name="SalesQty147">'Бланк заказа'!$U$264:$U$264</definedName>
    <definedName name="SalesQty148">'Бланк заказа'!$U$268:$U$268</definedName>
    <definedName name="SalesQty149">'Бланк заказа'!$U$269:$U$269</definedName>
    <definedName name="SalesQty15">'Бланк заказа'!$U$54:$U$54</definedName>
    <definedName name="SalesQty150">'Бланк заказа'!$U$270:$U$270</definedName>
    <definedName name="SalesQty151">'Бланк заказа'!$U$274:$U$274</definedName>
    <definedName name="SalesQty152">'Бланк заказа'!$U$278:$U$278</definedName>
    <definedName name="SalesQty153">'Бланк заказа'!$U$284:$U$284</definedName>
    <definedName name="SalesQty154">'Бланк заказа'!$U$285:$U$285</definedName>
    <definedName name="SalesQty155">'Бланк заказа'!$U$286:$U$286</definedName>
    <definedName name="SalesQty156">'Бланк заказа'!$U$287:$U$287</definedName>
    <definedName name="SalesQty157">'Бланк заказа'!$U$288:$U$288</definedName>
    <definedName name="SalesQty158">'Бланк заказа'!$U$289:$U$289</definedName>
    <definedName name="SalesQty159">'Бланк заказа'!$U$290:$U$290</definedName>
    <definedName name="SalesQty16">'Бланк заказа'!$U$59:$U$59</definedName>
    <definedName name="SalesQty160">'Бланк заказа'!$U$291:$U$291</definedName>
    <definedName name="SalesQty161">'Бланк заказа'!$U$295:$U$295</definedName>
    <definedName name="SalesQty162">'Бланк заказа'!$U$296:$U$296</definedName>
    <definedName name="SalesQty163">'Бланк заказа'!$U$300:$U$300</definedName>
    <definedName name="SalesQty164">'Бланк заказа'!$U$304:$U$304</definedName>
    <definedName name="SalesQty165">'Бланк заказа'!$U$308:$U$308</definedName>
    <definedName name="SalesQty166">'Бланк заказа'!$U$313:$U$313</definedName>
    <definedName name="SalesQty167">'Бланк заказа'!$U$314:$U$314</definedName>
    <definedName name="SalesQty168">'Бланк заказа'!$U$315:$U$315</definedName>
    <definedName name="SalesQty169">'Бланк заказа'!$U$316:$U$316</definedName>
    <definedName name="SalesQty17">'Бланк заказа'!$U$60:$U$60</definedName>
    <definedName name="SalesQty170">'Бланк заказа'!$U$320:$U$320</definedName>
    <definedName name="SalesQty171">'Бланк заказа'!$U$321:$U$321</definedName>
    <definedName name="SalesQty172">'Бланк заказа'!$U$325:$U$325</definedName>
    <definedName name="SalesQty173">'Бланк заказа'!$U$326:$U$326</definedName>
    <definedName name="SalesQty174">'Бланк заказа'!$U$327:$U$327</definedName>
    <definedName name="SalesQty175">'Бланк заказа'!$U$328:$U$328</definedName>
    <definedName name="SalesQty176">'Бланк заказа'!$U$332:$U$332</definedName>
    <definedName name="SalesQty177">'Бланк заказа'!$U$338:$U$338</definedName>
    <definedName name="SalesQty178">'Бланк заказа'!$U$339:$U$339</definedName>
    <definedName name="SalesQty179">'Бланк заказа'!$U$343:$U$343</definedName>
    <definedName name="SalesQty18">'Бланк заказа'!$U$61:$U$61</definedName>
    <definedName name="SalesQty180">'Бланк заказа'!$U$344:$U$344</definedName>
    <definedName name="SalesQty181">'Бланк заказа'!$U$345:$U$345</definedName>
    <definedName name="SalesQty182">'Бланк заказа'!$U$346:$U$346</definedName>
    <definedName name="SalesQty183">'Бланк заказа'!$U$347:$U$347</definedName>
    <definedName name="SalesQty184">'Бланк заказа'!$U$348:$U$348</definedName>
    <definedName name="SalesQty185">'Бланк заказа'!$U$349:$U$349</definedName>
    <definedName name="SalesQty186">'Бланк заказа'!$U$350:$U$350</definedName>
    <definedName name="SalesQty187">'Бланк заказа'!$U$351:$U$351</definedName>
    <definedName name="SalesQty188">'Бланк заказа'!$U$352:$U$352</definedName>
    <definedName name="SalesQty189">'Бланк заказа'!$U$353:$U$353</definedName>
    <definedName name="SalesQty19">'Бланк заказа'!$U$62:$U$62</definedName>
    <definedName name="SalesQty190">'Бланк заказа'!$U$354:$U$354</definedName>
    <definedName name="SalesQty191">'Бланк заказа'!$U$355:$U$355</definedName>
    <definedName name="SalesQty192">'Бланк заказа'!$U$359:$U$359</definedName>
    <definedName name="SalesQty193">'Бланк заказа'!$U$360:$U$360</definedName>
    <definedName name="SalesQty194">'Бланк заказа'!$U$361:$U$361</definedName>
    <definedName name="SalesQty195">'Бланк заказа'!$U$362:$U$362</definedName>
    <definedName name="SalesQty196">'Бланк заказа'!$U$366:$U$366</definedName>
    <definedName name="SalesQty197">'Бланк заказа'!$U$370:$U$370</definedName>
    <definedName name="SalesQty198">'Бланк заказа'!$U$371:$U$371</definedName>
    <definedName name="SalesQty199">'Бланк заказа'!$U$372:$U$372</definedName>
    <definedName name="SalesQty2">'Бланк заказа'!$U$26:$U$26</definedName>
    <definedName name="SalesQty20">'Бланк заказа'!$U$63:$U$63</definedName>
    <definedName name="SalesQty200">'Бланк заказа'!$U$376:$U$376</definedName>
    <definedName name="SalesQty201">'Бланк заказа'!$U$381:$U$381</definedName>
    <definedName name="SalesQty202">'Бланк заказа'!$U$382:$U$382</definedName>
    <definedName name="SalesQty203">'Бланк заказа'!$U$386:$U$386</definedName>
    <definedName name="SalesQty204">'Бланк заказа'!$U$387:$U$387</definedName>
    <definedName name="SalesQty205">'Бланк заказа'!$U$388:$U$388</definedName>
    <definedName name="SalesQty206">'Бланк заказа'!$U$389:$U$389</definedName>
    <definedName name="SalesQty207">'Бланк заказа'!$U$390:$U$390</definedName>
    <definedName name="SalesQty208">'Бланк заказа'!$U$391:$U$391</definedName>
    <definedName name="SalesQty209">'Бланк заказа'!$U$392:$U$392</definedName>
    <definedName name="SalesQty21">'Бланк заказа'!$U$64:$U$64</definedName>
    <definedName name="SalesQty210">'Бланк заказа'!$U$396:$U$396</definedName>
    <definedName name="SalesQty211">'Бланк заказа'!$U$400:$U$400</definedName>
    <definedName name="SalesQty212">'Бланк заказа'!$U$406:$U$406</definedName>
    <definedName name="SalesQty213">'Бланк заказа'!$U$407:$U$407</definedName>
    <definedName name="SalesQty214">'Бланк заказа'!$U$408:$U$408</definedName>
    <definedName name="SalesQty215">'Бланк заказа'!$U$409:$U$409</definedName>
    <definedName name="SalesQty216">'Бланк заказа'!$U$410:$U$410</definedName>
    <definedName name="SalesQty217">'Бланк заказа'!$U$411:$U$411</definedName>
    <definedName name="SalesQty218">'Бланк заказа'!$U$412:$U$412</definedName>
    <definedName name="SalesQty219">'Бланк заказа'!$U$413:$U$413</definedName>
    <definedName name="SalesQty22">'Бланк заказа'!$U$65:$U$65</definedName>
    <definedName name="SalesQty220">'Бланк заказа'!$U$414:$U$414</definedName>
    <definedName name="SalesQty221">'Бланк заказа'!$U$418:$U$418</definedName>
    <definedName name="SalesQty222">'Бланк заказа'!$U$419:$U$419</definedName>
    <definedName name="SalesQty223">'Бланк заказа'!$U$423:$U$423</definedName>
    <definedName name="SalesQty224">'Бланк заказа'!$U$424:$U$424</definedName>
    <definedName name="SalesQty225">'Бланк заказа'!$U$425:$U$425</definedName>
    <definedName name="SalesQty226">'Бланк заказа'!$U$426:$U$426</definedName>
    <definedName name="SalesQty227">'Бланк заказа'!$U$427:$U$427</definedName>
    <definedName name="SalesQty228">'Бланк заказа'!$U$428:$U$428</definedName>
    <definedName name="SalesQty229">'Бланк заказа'!$U$432:$U$432</definedName>
    <definedName name="SalesQty23">'Бланк заказа'!$U$66:$U$66</definedName>
    <definedName name="SalesQty230">'Бланк заказа'!$U$433:$U$433</definedName>
    <definedName name="SalesQty231">'Бланк заказа'!$U$439:$U$439</definedName>
    <definedName name="SalesQty232">'Бланк заказа'!$U$440:$U$440</definedName>
    <definedName name="SalesQty233">'Бланк заказа'!$U$444:$U$444</definedName>
    <definedName name="SalesQty234">'Бланк заказа'!$U$445:$U$445</definedName>
    <definedName name="SalesQty235">'Бланк заказа'!$U$449:$U$449</definedName>
    <definedName name="SalesQty236">'Бланк заказа'!$U$450:$U$450</definedName>
    <definedName name="SalesQty237">'Бланк заказа'!$U$454:$U$454</definedName>
    <definedName name="SalesQty238">'Бланк заказа'!$U$455:$U$455</definedName>
    <definedName name="SalesQty239">'Бланк заказа'!$U$460:$U$460</definedName>
    <definedName name="SalesQty24">'Бланк заказа'!$U$67:$U$67</definedName>
    <definedName name="SalesQty25">'Бланк заказа'!$U$68:$U$68</definedName>
    <definedName name="SalesQty26">'Бланк заказа'!$U$69:$U$69</definedName>
    <definedName name="SalesQty27">'Бланк заказа'!$U$70:$U$70</definedName>
    <definedName name="SalesQty28">'Бланк заказа'!$U$71:$U$71</definedName>
    <definedName name="SalesQty29">'Бланк заказа'!$U$72:$U$72</definedName>
    <definedName name="SalesQty3">'Бланк заказа'!$U$27:$U$27</definedName>
    <definedName name="SalesQty30">'Бланк заказа'!$U$73:$U$73</definedName>
    <definedName name="SalesQty31">'Бланк заказа'!$U$74:$U$74</definedName>
    <definedName name="SalesQty32">'Бланк заказа'!$U$78:$U$78</definedName>
    <definedName name="SalesQty33">'Бланк заказа'!$U$79:$U$79</definedName>
    <definedName name="SalesQty34">'Бланк заказа'!$U$80:$U$80</definedName>
    <definedName name="SalesQty35">'Бланк заказа'!$U$81:$U$81</definedName>
    <definedName name="SalesQty36">'Бланк заказа'!$U$82:$U$82</definedName>
    <definedName name="SalesQty37">'Бланк заказа'!$U$83:$U$83</definedName>
    <definedName name="SalesQty38">'Бланк заказа'!$U$84:$U$84</definedName>
    <definedName name="SalesQty39">'Бланк заказа'!$U$88:$U$88</definedName>
    <definedName name="SalesQty4">'Бланк заказа'!$U$28:$U$28</definedName>
    <definedName name="SalesQty40">'Бланк заказа'!$U$89:$U$89</definedName>
    <definedName name="SalesQty41">'Бланк заказа'!$U$90:$U$90</definedName>
    <definedName name="SalesQty42">'Бланк заказа'!$U$91:$U$91</definedName>
    <definedName name="SalesQty43">'Бланк заказа'!$U$92:$U$92</definedName>
    <definedName name="SalesQty44">'Бланк заказа'!$U$93:$U$93</definedName>
    <definedName name="SalesQty45">'Бланк заказа'!$U$94:$U$94</definedName>
    <definedName name="SalesQty46">'Бланк заказа'!$U$95:$U$95</definedName>
    <definedName name="SalesQty47">'Бланк заказа'!$U$96:$U$96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заказа'!$U$102:$U$102</definedName>
    <definedName name="SalesQty51">'Бланк заказа'!$U$103:$U$103</definedName>
    <definedName name="SalesQty52">'Бланк заказа'!$U$104:$U$104</definedName>
    <definedName name="SalesQty53">'Бланк заказа'!$U$105:$U$105</definedName>
    <definedName name="SalesQty54">'Бланк заказа'!$U$106:$U$106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заказа'!$U$118:$U$118</definedName>
    <definedName name="SalesQty6">'Бланк заказа'!$U$30:$U$30</definedName>
    <definedName name="SalesQty60">'Бланк заказа'!$U$119:$U$119</definedName>
    <definedName name="SalesQty61">'Бланк заказа'!$U$120:$U$120</definedName>
    <definedName name="SalesQty62">'Бланк заказа'!$U$121:$U$121</definedName>
    <definedName name="SalesQty63">'Бланк заказа'!$U$127:$U$127</definedName>
    <definedName name="SalesQty64">'Бланк заказа'!$U$128:$U$128</definedName>
    <definedName name="SalesQty65">'Бланк заказа'!$U$129:$U$129</definedName>
    <definedName name="SalesQty66">'Бланк заказа'!$U$134:$U$134</definedName>
    <definedName name="SalesQty67">'Бланк заказа'!$U$135:$U$135</definedName>
    <definedName name="SalesQty68">'Бланк заказа'!$U$136:$U$136</definedName>
    <definedName name="SalesQty69">'Бланк заказа'!$U$137:$U$137</definedName>
    <definedName name="SalesQty7">'Бланк заказа'!$U$31:$U$31</definedName>
    <definedName name="SalesQty70">'Бланк заказа'!$U$138:$U$138</definedName>
    <definedName name="SalesQty71">'Бланк заказа'!$U$139:$U$139</definedName>
    <definedName name="SalesQty72">'Бланк заказа'!$U$140:$U$140</definedName>
    <definedName name="SalesQty73">'Бланк заказа'!$U$141:$U$141</definedName>
    <definedName name="SalesQty74">'Бланк заказа'!$U$146:$U$146</definedName>
    <definedName name="SalesQty75">'Бланк заказа'!$U$147:$U$147</definedName>
    <definedName name="SalesQty76">'Бланк заказа'!$U$151:$U$151</definedName>
    <definedName name="SalesQty77">'Бланк заказа'!$U$152:$U$152</definedName>
    <definedName name="SalesQty78">'Бланк заказа'!$U$156:$U$156</definedName>
    <definedName name="SalesQty79">'Бланк заказа'!$U$157:$U$157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заказа'!$U$163:$U$163</definedName>
    <definedName name="SalesQty83">'Бланк заказа'!$U$164:$U$164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заказа'!$U$169:$U$169</definedName>
    <definedName name="SalesQty89">'Бланк заказа'!$U$170:$U$170</definedName>
    <definedName name="SalesQty9">'Бланк заказа'!$U$36:$U$36</definedName>
    <definedName name="SalesQty90">'Бланк заказа'!$U$171:$U$171</definedName>
    <definedName name="SalesQty91">'Бланк заказа'!$U$172:$U$172</definedName>
    <definedName name="SalesQty92">'Бланк заказа'!$U$173:$U$173</definedName>
    <definedName name="SalesQty93">'Бланк заказа'!$U$174:$U$174</definedName>
    <definedName name="SalesQty94">'Бланк заказа'!$U$175:$U$175</definedName>
    <definedName name="SalesQty95">'Бланк заказа'!$U$176:$U$176</definedName>
    <definedName name="SalesQty96">'Бланк заказа'!$U$177:$U$177</definedName>
    <definedName name="SalesQty97">'Бланк заказа'!$U$178:$U$178</definedName>
    <definedName name="SalesQty98">'Бланк заказа'!$U$179:$U$179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заказа'!$V$184:$V$184</definedName>
    <definedName name="SalesRoundBox101">'Бланк заказа'!$V$189:$V$189</definedName>
    <definedName name="SalesRoundBox102">'Бланк заказа'!$V$190:$V$190</definedName>
    <definedName name="SalesRoundBox103">'Бланк заказа'!$V$191:$V$191</definedName>
    <definedName name="SalesRoundBox104">'Бланк заказа'!$V$192:$V$192</definedName>
    <definedName name="SalesRoundBox105">'Бланк заказа'!$V$193:$V$193</definedName>
    <definedName name="SalesRoundBox106">'Бланк заказа'!$V$194:$V$194</definedName>
    <definedName name="SalesRoundBox107">'Бланк заказа'!$V$195:$V$195</definedName>
    <definedName name="SalesRoundBox108">'Бланк заказа'!$V$196:$V$196</definedName>
    <definedName name="SalesRoundBox109">'Бланк заказа'!$V$197:$V$197</definedName>
    <definedName name="SalesRoundBox11">'Бланк заказа'!$V$46:$V$46</definedName>
    <definedName name="SalesRoundBox110">'Бланк заказа'!$V$198:$V$198</definedName>
    <definedName name="SalesRoundBox111">'Бланк заказа'!$V$199:$V$199</definedName>
    <definedName name="SalesRoundBox112">'Бланк заказа'!$V$200:$V$200</definedName>
    <definedName name="SalesRoundBox113">'Бланк заказа'!$V$201:$V$201</definedName>
    <definedName name="SalesRoundBox114">'Бланк заказа'!$V$202:$V$202</definedName>
    <definedName name="SalesRoundBox115">'Бланк заказа'!$V$203:$V$203</definedName>
    <definedName name="SalesRoundBox116">'Бланк заказа'!$V$207:$V$207</definedName>
    <definedName name="SalesRoundBox117">'Бланк заказа'!$V$211:$V$211</definedName>
    <definedName name="SalesRoundBox118">'Бланк заказа'!$V$212:$V$212</definedName>
    <definedName name="SalesRoundBox119">'Бланк заказа'!$V$213:$V$213</definedName>
    <definedName name="SalesRoundBox12">'Бланк заказа'!$V$47:$V$47</definedName>
    <definedName name="SalesRoundBox120">'Бланк заказа'!$V$214:$V$214</definedName>
    <definedName name="SalesRoundBox121">'Бланк заказа'!$V$218:$V$218</definedName>
    <definedName name="SalesRoundBox122">'Бланк заказа'!$V$219:$V$219</definedName>
    <definedName name="SalesRoundBox123">'Бланк заказа'!$V$220:$V$220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заказа'!$V$227:$V$227</definedName>
    <definedName name="SalesRoundBox128">'Бланк заказа'!$V$228:$V$228</definedName>
    <definedName name="SalesRoundBox129">'Бланк заказа'!$V$229:$V$229</definedName>
    <definedName name="SalesRoundBox13">'Бланк заказа'!$V$52:$V$52</definedName>
    <definedName name="SalesRoundBox130">'Бланк заказа'!$V$230:$V$230</definedName>
    <definedName name="SalesRoundBox131">'Бланк заказа'!$V$234:$V$234</definedName>
    <definedName name="SalesRoundBox132">'Бланк заказа'!$V$235:$V$235</definedName>
    <definedName name="SalesRoundBox133">'Бланк заказа'!$V$236:$V$236</definedName>
    <definedName name="SalesRoundBox134">'Бланк заказа'!$V$240:$V$240</definedName>
    <definedName name="SalesRoundBox135">'Бланк заказа'!$V$241:$V$241</definedName>
    <definedName name="SalesRoundBox136">'Бланк заказа'!$V$242:$V$242</definedName>
    <definedName name="SalesRoundBox137">'Бланк заказа'!$V$247:$V$247</definedName>
    <definedName name="SalesRoundBox138">'Бланк заказа'!$V$248:$V$248</definedName>
    <definedName name="SalesRoundBox139">'Бланк заказа'!$V$249:$V$249</definedName>
    <definedName name="SalesRoundBox14">'Бланк заказа'!$V$53:$V$53</definedName>
    <definedName name="SalesRoundBox140">'Бланк заказа'!$V$250:$V$250</definedName>
    <definedName name="SalesRoundBox141">'Бланк заказа'!$V$251:$V$251</definedName>
    <definedName name="SalesRoundBox142">'Бланк заказа'!$V$252:$V$252</definedName>
    <definedName name="SalesRoundBox143">'Бланк заказа'!$V$253:$V$253</definedName>
    <definedName name="SalesRoundBox144">'Бланк заказа'!$V$257:$V$257</definedName>
    <definedName name="SalesRoundBox145">'Бланк заказа'!$V$258:$V$258</definedName>
    <definedName name="SalesRoundBox146">'Бланк заказа'!$V$263:$V$263</definedName>
    <definedName name="SalesRoundBox147">'Бланк заказа'!$V$264:$V$264</definedName>
    <definedName name="SalesRoundBox148">'Бланк заказа'!$V$268:$V$268</definedName>
    <definedName name="SalesRoundBox149">'Бланк заказа'!$V$269:$V$269</definedName>
    <definedName name="SalesRoundBox15">'Бланк заказа'!$V$54:$V$54</definedName>
    <definedName name="SalesRoundBox150">'Бланк заказа'!$V$270:$V$270</definedName>
    <definedName name="SalesRoundBox151">'Бланк заказа'!$V$274:$V$274</definedName>
    <definedName name="SalesRoundBox152">'Бланк заказа'!$V$278:$V$278</definedName>
    <definedName name="SalesRoundBox153">'Бланк заказа'!$V$284:$V$284</definedName>
    <definedName name="SalesRoundBox154">'Бланк заказа'!$V$285:$V$285</definedName>
    <definedName name="SalesRoundBox155">'Бланк заказа'!$V$286:$V$286</definedName>
    <definedName name="SalesRoundBox156">'Бланк заказа'!$V$287:$V$287</definedName>
    <definedName name="SalesRoundBox157">'Бланк заказа'!$V$288:$V$288</definedName>
    <definedName name="SalesRoundBox158">'Бланк заказа'!$V$289:$V$289</definedName>
    <definedName name="SalesRoundBox159">'Бланк заказа'!$V$290:$V$290</definedName>
    <definedName name="SalesRoundBox16">'Бланк заказа'!$V$59:$V$59</definedName>
    <definedName name="SalesRoundBox160">'Бланк заказа'!$V$291:$V$291</definedName>
    <definedName name="SalesRoundBox161">'Бланк заказа'!$V$295:$V$295</definedName>
    <definedName name="SalesRoundBox162">'Бланк заказа'!$V$296:$V$296</definedName>
    <definedName name="SalesRoundBox163">'Бланк заказа'!$V$300:$V$300</definedName>
    <definedName name="SalesRoundBox164">'Бланк заказа'!$V$304:$V$304</definedName>
    <definedName name="SalesRoundBox165">'Бланк заказа'!$V$308:$V$308</definedName>
    <definedName name="SalesRoundBox166">'Бланк заказа'!$V$313:$V$313</definedName>
    <definedName name="SalesRoundBox167">'Бланк заказа'!$V$314:$V$314</definedName>
    <definedName name="SalesRoundBox168">'Бланк заказа'!$V$315:$V$315</definedName>
    <definedName name="SalesRoundBox169">'Бланк заказа'!$V$316:$V$316</definedName>
    <definedName name="SalesRoundBox17">'Бланк заказа'!$V$60:$V$60</definedName>
    <definedName name="SalesRoundBox170">'Бланк заказа'!$V$320:$V$320</definedName>
    <definedName name="SalesRoundBox171">'Бланк заказа'!$V$321:$V$321</definedName>
    <definedName name="SalesRoundBox172">'Бланк заказа'!$V$325:$V$325</definedName>
    <definedName name="SalesRoundBox173">'Бланк заказа'!$V$326:$V$326</definedName>
    <definedName name="SalesRoundBox174">'Бланк заказа'!$V$327:$V$327</definedName>
    <definedName name="SalesRoundBox175">'Бланк заказа'!$V$328:$V$328</definedName>
    <definedName name="SalesRoundBox176">'Бланк заказа'!$V$332:$V$332</definedName>
    <definedName name="SalesRoundBox177">'Бланк заказа'!$V$338:$V$338</definedName>
    <definedName name="SalesRoundBox178">'Бланк заказа'!$V$339:$V$339</definedName>
    <definedName name="SalesRoundBox179">'Бланк заказа'!$V$343:$V$343</definedName>
    <definedName name="SalesRoundBox18">'Бланк заказа'!$V$61:$V$61</definedName>
    <definedName name="SalesRoundBox180">'Бланк заказа'!$V$344:$V$344</definedName>
    <definedName name="SalesRoundBox181">'Бланк заказа'!$V$345:$V$345</definedName>
    <definedName name="SalesRoundBox182">'Бланк заказа'!$V$346:$V$346</definedName>
    <definedName name="SalesRoundBox183">'Бланк заказа'!$V$347:$V$347</definedName>
    <definedName name="SalesRoundBox184">'Бланк заказа'!$V$348:$V$348</definedName>
    <definedName name="SalesRoundBox185">'Бланк заказа'!$V$349:$V$349</definedName>
    <definedName name="SalesRoundBox186">'Бланк заказа'!$V$350:$V$350</definedName>
    <definedName name="SalesRoundBox187">'Бланк заказа'!$V$351:$V$351</definedName>
    <definedName name="SalesRoundBox188">'Бланк заказа'!$V$352:$V$352</definedName>
    <definedName name="SalesRoundBox189">'Бланк заказа'!$V$353:$V$353</definedName>
    <definedName name="SalesRoundBox19">'Бланк заказа'!$V$62:$V$62</definedName>
    <definedName name="SalesRoundBox190">'Бланк заказа'!$V$354:$V$354</definedName>
    <definedName name="SalesRoundBox191">'Бланк заказа'!$V$355:$V$355</definedName>
    <definedName name="SalesRoundBox192">'Бланк заказа'!$V$359:$V$359</definedName>
    <definedName name="SalesRoundBox193">'Бланк заказа'!$V$360:$V$360</definedName>
    <definedName name="SalesRoundBox194">'Бланк заказа'!$V$361:$V$361</definedName>
    <definedName name="SalesRoundBox195">'Бланк заказа'!$V$362:$V$362</definedName>
    <definedName name="SalesRoundBox196">'Бланк заказа'!$V$366:$V$366</definedName>
    <definedName name="SalesRoundBox197">'Бланк заказа'!$V$370:$V$370</definedName>
    <definedName name="SalesRoundBox198">'Бланк заказа'!$V$371:$V$371</definedName>
    <definedName name="SalesRoundBox199">'Бланк заказа'!$V$372:$V$372</definedName>
    <definedName name="SalesRoundBox2">'Бланк заказа'!$V$26:$V$26</definedName>
    <definedName name="SalesRoundBox20">'Бланк заказа'!$V$63:$V$63</definedName>
    <definedName name="SalesRoundBox200">'Бланк заказа'!$V$376:$V$376</definedName>
    <definedName name="SalesRoundBox201">'Бланк заказа'!$V$381:$V$381</definedName>
    <definedName name="SalesRoundBox202">'Бланк заказа'!$V$382:$V$382</definedName>
    <definedName name="SalesRoundBox203">'Бланк заказа'!$V$386:$V$386</definedName>
    <definedName name="SalesRoundBox204">'Бланк заказа'!$V$387:$V$387</definedName>
    <definedName name="SalesRoundBox205">'Бланк заказа'!$V$388:$V$388</definedName>
    <definedName name="SalesRoundBox206">'Бланк заказа'!$V$389:$V$389</definedName>
    <definedName name="SalesRoundBox207">'Бланк заказа'!$V$390:$V$390</definedName>
    <definedName name="SalesRoundBox208">'Бланк заказа'!$V$391:$V$391</definedName>
    <definedName name="SalesRoundBox209">'Бланк заказа'!$V$392:$V$392</definedName>
    <definedName name="SalesRoundBox21">'Бланк заказа'!$V$64:$V$64</definedName>
    <definedName name="SalesRoundBox210">'Бланк заказа'!$V$396:$V$396</definedName>
    <definedName name="SalesRoundBox211">'Бланк заказа'!$V$400:$V$400</definedName>
    <definedName name="SalesRoundBox212">'Бланк заказа'!$V$406:$V$406</definedName>
    <definedName name="SalesRoundBox213">'Бланк заказа'!$V$407:$V$407</definedName>
    <definedName name="SalesRoundBox214">'Бланк заказа'!$V$408:$V$408</definedName>
    <definedName name="SalesRoundBox215">'Бланк заказа'!$V$409:$V$409</definedName>
    <definedName name="SalesRoundBox216">'Бланк заказа'!$V$410:$V$410</definedName>
    <definedName name="SalesRoundBox217">'Бланк заказа'!$V$411:$V$411</definedName>
    <definedName name="SalesRoundBox218">'Бланк заказа'!$V$412:$V$412</definedName>
    <definedName name="SalesRoundBox219">'Бланк заказа'!$V$413:$V$413</definedName>
    <definedName name="SalesRoundBox22">'Бланк заказа'!$V$65:$V$65</definedName>
    <definedName name="SalesRoundBox220">'Бланк заказа'!$V$414:$V$414</definedName>
    <definedName name="SalesRoundBox221">'Бланк заказа'!$V$418:$V$418</definedName>
    <definedName name="SalesRoundBox222">'Бланк заказа'!$V$419:$V$419</definedName>
    <definedName name="SalesRoundBox223">'Бланк заказа'!$V$423:$V$423</definedName>
    <definedName name="SalesRoundBox224">'Бланк заказа'!$V$424:$V$424</definedName>
    <definedName name="SalesRoundBox225">'Бланк заказа'!$V$425:$V$425</definedName>
    <definedName name="SalesRoundBox226">'Бланк заказа'!$V$426:$V$426</definedName>
    <definedName name="SalesRoundBox227">'Бланк заказа'!$V$427:$V$427</definedName>
    <definedName name="SalesRoundBox228">'Бланк заказа'!$V$428:$V$428</definedName>
    <definedName name="SalesRoundBox229">'Бланк заказа'!$V$432:$V$432</definedName>
    <definedName name="SalesRoundBox23">'Бланк заказа'!$V$66:$V$66</definedName>
    <definedName name="SalesRoundBox230">'Бланк заказа'!$V$433:$V$433</definedName>
    <definedName name="SalesRoundBox231">'Бланк заказа'!$V$439:$V$439</definedName>
    <definedName name="SalesRoundBox232">'Бланк заказа'!$V$440:$V$440</definedName>
    <definedName name="SalesRoundBox233">'Бланк заказа'!$V$444:$V$444</definedName>
    <definedName name="SalesRoundBox234">'Бланк заказа'!$V$445:$V$445</definedName>
    <definedName name="SalesRoundBox235">'Бланк заказа'!$V$449:$V$449</definedName>
    <definedName name="SalesRoundBox236">'Бланк заказа'!$V$450:$V$450</definedName>
    <definedName name="SalesRoundBox237">'Бланк заказа'!$V$454:$V$454</definedName>
    <definedName name="SalesRoundBox238">'Бланк заказа'!$V$455:$V$455</definedName>
    <definedName name="SalesRoundBox239">'Бланк заказа'!$V$460:$V$460</definedName>
    <definedName name="SalesRoundBox24">'Бланк заказа'!$V$67:$V$67</definedName>
    <definedName name="SalesRoundBox25">'Бланк заказа'!$V$68:$V$68</definedName>
    <definedName name="SalesRoundBox26">'Бланк заказа'!$V$69:$V$69</definedName>
    <definedName name="SalesRoundBox27">'Бланк заказа'!$V$70:$V$70</definedName>
    <definedName name="SalesRoundBox28">'Бланк заказа'!$V$71:$V$71</definedName>
    <definedName name="SalesRoundBox29">'Бланк заказа'!$V$72:$V$72</definedName>
    <definedName name="SalesRoundBox3">'Бланк заказа'!$V$27:$V$27</definedName>
    <definedName name="SalesRoundBox30">'Бланк заказа'!$V$73:$V$73</definedName>
    <definedName name="SalesRoundBox31">'Бланк заказа'!$V$74:$V$74</definedName>
    <definedName name="SalesRoundBox32">'Бланк заказа'!$V$78:$V$78</definedName>
    <definedName name="SalesRoundBox33">'Бланк заказа'!$V$79:$V$79</definedName>
    <definedName name="SalesRoundBox34">'Бланк заказа'!$V$80:$V$80</definedName>
    <definedName name="SalesRoundBox35">'Бланк заказа'!$V$81:$V$81</definedName>
    <definedName name="SalesRoundBox36">'Бланк заказа'!$V$82:$V$82</definedName>
    <definedName name="SalesRoundBox37">'Бланк заказа'!$V$83:$V$83</definedName>
    <definedName name="SalesRoundBox38">'Бланк заказа'!$V$84:$V$84</definedName>
    <definedName name="SalesRoundBox39">'Бланк заказа'!$V$88:$V$88</definedName>
    <definedName name="SalesRoundBox4">'Бланк заказа'!$V$28:$V$28</definedName>
    <definedName name="SalesRoundBox40">'Бланк заказа'!$V$89:$V$89</definedName>
    <definedName name="SalesRoundBox41">'Бланк заказа'!$V$90:$V$90</definedName>
    <definedName name="SalesRoundBox42">'Бланк заказа'!$V$91:$V$91</definedName>
    <definedName name="SalesRoundBox43">'Бланк заказа'!$V$92:$V$92</definedName>
    <definedName name="SalesRoundBox44">'Бланк заказа'!$V$93:$V$93</definedName>
    <definedName name="SalesRoundBox45">'Бланк заказа'!$V$94:$V$94</definedName>
    <definedName name="SalesRoundBox46">'Бланк заказа'!$V$95:$V$95</definedName>
    <definedName name="SalesRoundBox47">'Бланк заказа'!$V$96:$V$96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заказа'!$V$102:$V$102</definedName>
    <definedName name="SalesRoundBox51">'Бланк заказа'!$V$103:$V$103</definedName>
    <definedName name="SalesRoundBox52">'Бланк заказа'!$V$104:$V$104</definedName>
    <definedName name="SalesRoundBox53">'Бланк заказа'!$V$105:$V$105</definedName>
    <definedName name="SalesRoundBox54">'Бланк заказа'!$V$106:$V$106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заказа'!$V$118:$V$118</definedName>
    <definedName name="SalesRoundBox6">'Бланк заказа'!$V$30:$V$30</definedName>
    <definedName name="SalesRoundBox60">'Бланк заказа'!$V$119:$V$119</definedName>
    <definedName name="SalesRoundBox61">'Бланк заказа'!$V$120:$V$120</definedName>
    <definedName name="SalesRoundBox62">'Бланк заказа'!$V$121:$V$121</definedName>
    <definedName name="SalesRoundBox63">'Бланк заказа'!$V$127:$V$127</definedName>
    <definedName name="SalesRoundBox64">'Бланк заказа'!$V$128:$V$128</definedName>
    <definedName name="SalesRoundBox65">'Бланк заказа'!$V$129:$V$129</definedName>
    <definedName name="SalesRoundBox66">'Бланк заказа'!$V$134:$V$134</definedName>
    <definedName name="SalesRoundBox67">'Бланк заказа'!$V$135:$V$135</definedName>
    <definedName name="SalesRoundBox68">'Бланк заказа'!$V$136:$V$136</definedName>
    <definedName name="SalesRoundBox69">'Бланк заказа'!$V$137:$V$137</definedName>
    <definedName name="SalesRoundBox7">'Бланк заказа'!$V$31:$V$31</definedName>
    <definedName name="SalesRoundBox70">'Бланк заказа'!$V$138:$V$138</definedName>
    <definedName name="SalesRoundBox71">'Бланк заказа'!$V$139:$V$139</definedName>
    <definedName name="SalesRoundBox72">'Бланк заказа'!$V$140:$V$140</definedName>
    <definedName name="SalesRoundBox73">'Бланк заказа'!$V$141:$V$141</definedName>
    <definedName name="SalesRoundBox74">'Бланк заказа'!$V$146:$V$146</definedName>
    <definedName name="SalesRoundBox75">'Бланк заказа'!$V$147:$V$147</definedName>
    <definedName name="SalesRoundBox76">'Бланк заказа'!$V$151:$V$151</definedName>
    <definedName name="SalesRoundBox77">'Бланк заказа'!$V$152:$V$152</definedName>
    <definedName name="SalesRoundBox78">'Бланк заказа'!$V$156:$V$156</definedName>
    <definedName name="SalesRoundBox79">'Бланк заказа'!$V$157:$V$157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заказа'!$V$163:$V$163</definedName>
    <definedName name="SalesRoundBox83">'Бланк заказа'!$V$164:$V$164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заказа'!$V$169:$V$169</definedName>
    <definedName name="SalesRoundBox89">'Бланк заказа'!$V$170:$V$170</definedName>
    <definedName name="SalesRoundBox9">'Бланк заказа'!$V$36:$V$36</definedName>
    <definedName name="SalesRoundBox90">'Бланк заказа'!$V$171:$V$171</definedName>
    <definedName name="SalesRoundBox91">'Бланк заказа'!$V$172:$V$172</definedName>
    <definedName name="SalesRoundBox92">'Бланк заказа'!$V$173:$V$173</definedName>
    <definedName name="SalesRoundBox93">'Бланк заказа'!$V$174:$V$174</definedName>
    <definedName name="SalesRoundBox94">'Бланк заказа'!$V$175:$V$175</definedName>
    <definedName name="SalesRoundBox95">'Бланк заказа'!$V$176:$V$176</definedName>
    <definedName name="SalesRoundBox96">'Бланк заказа'!$V$177:$V$177</definedName>
    <definedName name="SalesRoundBox97">'Бланк заказа'!$V$178:$V$178</definedName>
    <definedName name="SalesRoundBox98">'Бланк заказа'!$V$179:$V$179</definedName>
    <definedName name="SalesRoundBox99">'Бланк заказа'!$V$183:$V$183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заказа'!$T$184:$T$184</definedName>
    <definedName name="UnitOfMeasure101">'Бланк заказа'!$T$189:$T$189</definedName>
    <definedName name="UnitOfMeasure102">'Бланк заказа'!$T$190:$T$190</definedName>
    <definedName name="UnitOfMeasure103">'Бланк заказа'!$T$191:$T$191</definedName>
    <definedName name="UnitOfMeasure104">'Бланк заказа'!$T$192:$T$192</definedName>
    <definedName name="UnitOfMeasure105">'Бланк заказа'!$T$193:$T$193</definedName>
    <definedName name="UnitOfMeasure106">'Бланк заказа'!$T$194:$T$194</definedName>
    <definedName name="UnitOfMeasure107">'Бланк заказа'!$T$195:$T$195</definedName>
    <definedName name="UnitOfMeasure108">'Бланк заказа'!$T$196:$T$196</definedName>
    <definedName name="UnitOfMeasure109">'Бланк заказа'!$T$197:$T$197</definedName>
    <definedName name="UnitOfMeasure11">'Бланк заказа'!$T$46:$T$46</definedName>
    <definedName name="UnitOfMeasure110">'Бланк заказа'!$T$198:$T$198</definedName>
    <definedName name="UnitOfMeasure111">'Бланк заказа'!$T$199:$T$199</definedName>
    <definedName name="UnitOfMeasure112">'Бланк заказа'!$T$200:$T$200</definedName>
    <definedName name="UnitOfMeasure113">'Бланк заказа'!$T$201:$T$201</definedName>
    <definedName name="UnitOfMeasure114">'Бланк заказа'!$T$202:$T$202</definedName>
    <definedName name="UnitOfMeasure115">'Бланк заказа'!$T$203:$T$203</definedName>
    <definedName name="UnitOfMeasure116">'Бланк заказа'!$T$207:$T$207</definedName>
    <definedName name="UnitOfMeasure117">'Бланк заказа'!$T$211:$T$211</definedName>
    <definedName name="UnitOfMeasure118">'Бланк заказа'!$T$212:$T$212</definedName>
    <definedName name="UnitOfMeasure119">'Бланк заказа'!$T$213:$T$213</definedName>
    <definedName name="UnitOfMeasure12">'Бланк заказа'!$T$47:$T$47</definedName>
    <definedName name="UnitOfMeasure120">'Бланк заказа'!$T$214:$T$214</definedName>
    <definedName name="UnitOfMeasure121">'Бланк заказа'!$T$218:$T$218</definedName>
    <definedName name="UnitOfMeasure122">'Бланк заказа'!$T$219:$T$219</definedName>
    <definedName name="UnitOfMeasure123">'Бланк заказа'!$T$220:$T$220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заказа'!$T$227:$T$227</definedName>
    <definedName name="UnitOfMeasure128">'Бланк заказа'!$T$228:$T$228</definedName>
    <definedName name="UnitOfMeasure129">'Бланк заказа'!$T$229:$T$229</definedName>
    <definedName name="UnitOfMeasure13">'Бланк заказа'!$T$52:$T$52</definedName>
    <definedName name="UnitOfMeasure130">'Бланк заказа'!$T$230:$T$230</definedName>
    <definedName name="UnitOfMeasure131">'Бланк заказа'!$T$234:$T$234</definedName>
    <definedName name="UnitOfMeasure132">'Бланк заказа'!$T$235:$T$235</definedName>
    <definedName name="UnitOfMeasure133">'Бланк заказа'!$T$236:$T$236</definedName>
    <definedName name="UnitOfMeasure134">'Бланк заказа'!$T$240:$T$240</definedName>
    <definedName name="UnitOfMeasure135">'Бланк заказа'!$T$241:$T$241</definedName>
    <definedName name="UnitOfMeasure136">'Бланк заказа'!$T$242:$T$242</definedName>
    <definedName name="UnitOfMeasure137">'Бланк заказа'!$T$247:$T$247</definedName>
    <definedName name="UnitOfMeasure138">'Бланк заказа'!$T$248:$T$248</definedName>
    <definedName name="UnitOfMeasure139">'Бланк заказа'!$T$249:$T$249</definedName>
    <definedName name="UnitOfMeasure14">'Бланк заказа'!$T$53:$T$53</definedName>
    <definedName name="UnitOfMeasure140">'Бланк заказа'!$T$250:$T$250</definedName>
    <definedName name="UnitOfMeasure141">'Бланк заказа'!$T$251:$T$251</definedName>
    <definedName name="UnitOfMeasure142">'Бланк заказа'!$T$252:$T$252</definedName>
    <definedName name="UnitOfMeasure143">'Бланк заказа'!$T$253:$T$253</definedName>
    <definedName name="UnitOfMeasure144">'Бланк заказа'!$T$257:$T$257</definedName>
    <definedName name="UnitOfMeasure145">'Бланк заказа'!$T$258:$T$258</definedName>
    <definedName name="UnitOfMeasure146">'Бланк заказа'!$T$263:$T$263</definedName>
    <definedName name="UnitOfMeasure147">'Бланк заказа'!$T$264:$T$264</definedName>
    <definedName name="UnitOfMeasure148">'Бланк заказа'!$T$268:$T$268</definedName>
    <definedName name="UnitOfMeasure149">'Бланк заказа'!$T$269:$T$269</definedName>
    <definedName name="UnitOfMeasure15">'Бланк заказа'!$T$54:$T$54</definedName>
    <definedName name="UnitOfMeasure150">'Бланк заказа'!$T$270:$T$270</definedName>
    <definedName name="UnitOfMeasure151">'Бланк заказа'!$T$274:$T$274</definedName>
    <definedName name="UnitOfMeasure152">'Бланк заказа'!$T$278:$T$278</definedName>
    <definedName name="UnitOfMeasure153">'Бланк заказа'!$T$284:$T$284</definedName>
    <definedName name="UnitOfMeasure154">'Бланк заказа'!$T$285:$T$285</definedName>
    <definedName name="UnitOfMeasure155">'Бланк заказа'!$T$286:$T$286</definedName>
    <definedName name="UnitOfMeasure156">'Бланк заказа'!$T$287:$T$287</definedName>
    <definedName name="UnitOfMeasure157">'Бланк заказа'!$T$288:$T$288</definedName>
    <definedName name="UnitOfMeasure158">'Бланк заказа'!$T$289:$T$289</definedName>
    <definedName name="UnitOfMeasure159">'Бланк заказа'!$T$290:$T$290</definedName>
    <definedName name="UnitOfMeasure16">'Бланк заказа'!$T$59:$T$59</definedName>
    <definedName name="UnitOfMeasure160">'Бланк заказа'!$T$291:$T$291</definedName>
    <definedName name="UnitOfMeasure161">'Бланк заказа'!$T$295:$T$295</definedName>
    <definedName name="UnitOfMeasure162">'Бланк заказа'!$T$296:$T$296</definedName>
    <definedName name="UnitOfMeasure163">'Бланк заказа'!$T$300:$T$300</definedName>
    <definedName name="UnitOfMeasure164">'Бланк заказа'!$T$304:$T$304</definedName>
    <definedName name="UnitOfMeasure165">'Бланк заказа'!$T$308:$T$308</definedName>
    <definedName name="UnitOfMeasure166">'Бланк заказа'!$T$313:$T$313</definedName>
    <definedName name="UnitOfMeasure167">'Бланк заказа'!$T$314:$T$314</definedName>
    <definedName name="UnitOfMeasure168">'Бланк заказа'!$T$315:$T$315</definedName>
    <definedName name="UnitOfMeasure169">'Бланк заказа'!$T$316:$T$316</definedName>
    <definedName name="UnitOfMeasure17">'Бланк заказа'!$T$60:$T$60</definedName>
    <definedName name="UnitOfMeasure170">'Бланк заказа'!$T$320:$T$320</definedName>
    <definedName name="UnitOfMeasure171">'Бланк заказа'!$T$321:$T$321</definedName>
    <definedName name="UnitOfMeasure172">'Бланк заказа'!$T$325:$T$325</definedName>
    <definedName name="UnitOfMeasure173">'Бланк заказа'!$T$326:$T$326</definedName>
    <definedName name="UnitOfMeasure174">'Бланк заказа'!$T$327:$T$327</definedName>
    <definedName name="UnitOfMeasure175">'Бланк заказа'!$T$328:$T$328</definedName>
    <definedName name="UnitOfMeasure176">'Бланк заказа'!$T$332:$T$332</definedName>
    <definedName name="UnitOfMeasure177">'Бланк заказа'!$T$338:$T$338</definedName>
    <definedName name="UnitOfMeasure178">'Бланк заказа'!$T$339:$T$339</definedName>
    <definedName name="UnitOfMeasure179">'Бланк заказа'!$T$343:$T$343</definedName>
    <definedName name="UnitOfMeasure18">'Бланк заказа'!$T$61:$T$61</definedName>
    <definedName name="UnitOfMeasure180">'Бланк заказа'!$T$344:$T$344</definedName>
    <definedName name="UnitOfMeasure181">'Бланк заказа'!$T$345:$T$345</definedName>
    <definedName name="UnitOfMeasure182">'Бланк заказа'!$T$346:$T$346</definedName>
    <definedName name="UnitOfMeasure183">'Бланк заказа'!$T$347:$T$347</definedName>
    <definedName name="UnitOfMeasure184">'Бланк заказа'!$T$348:$T$348</definedName>
    <definedName name="UnitOfMeasure185">'Бланк заказа'!$T$349:$T$349</definedName>
    <definedName name="UnitOfMeasure186">'Бланк заказа'!$T$350:$T$350</definedName>
    <definedName name="UnitOfMeasure187">'Бланк заказа'!$T$351:$T$351</definedName>
    <definedName name="UnitOfMeasure188">'Бланк заказа'!$T$352:$T$352</definedName>
    <definedName name="UnitOfMeasure189">'Бланк заказа'!$T$353:$T$353</definedName>
    <definedName name="UnitOfMeasure19">'Бланк заказа'!$T$62:$T$62</definedName>
    <definedName name="UnitOfMeasure190">'Бланк заказа'!$T$354:$T$354</definedName>
    <definedName name="UnitOfMeasure191">'Бланк заказа'!$T$355:$T$355</definedName>
    <definedName name="UnitOfMeasure192">'Бланк заказа'!$T$359:$T$359</definedName>
    <definedName name="UnitOfMeasure193">'Бланк заказа'!$T$360:$T$360</definedName>
    <definedName name="UnitOfMeasure194">'Бланк заказа'!$T$361:$T$361</definedName>
    <definedName name="UnitOfMeasure195">'Бланк заказа'!$T$362:$T$362</definedName>
    <definedName name="UnitOfMeasure196">'Бланк заказа'!$T$366:$T$366</definedName>
    <definedName name="UnitOfMeasure197">'Бланк заказа'!$T$370:$T$370</definedName>
    <definedName name="UnitOfMeasure198">'Бланк заказа'!$T$371:$T$371</definedName>
    <definedName name="UnitOfMeasure199">'Бланк заказа'!$T$372:$T$372</definedName>
    <definedName name="UnitOfMeasure2">'Бланк заказа'!$T$26:$T$26</definedName>
    <definedName name="UnitOfMeasure20">'Бланк заказа'!$T$63:$T$63</definedName>
    <definedName name="UnitOfMeasure200">'Бланк заказа'!$T$376:$T$376</definedName>
    <definedName name="UnitOfMeasure201">'Бланк заказа'!$T$381:$T$381</definedName>
    <definedName name="UnitOfMeasure202">'Бланк заказа'!$T$382:$T$382</definedName>
    <definedName name="UnitOfMeasure203">'Бланк заказа'!$T$386:$T$386</definedName>
    <definedName name="UnitOfMeasure204">'Бланк заказа'!$T$387:$T$387</definedName>
    <definedName name="UnitOfMeasure205">'Бланк заказа'!$T$388:$T$388</definedName>
    <definedName name="UnitOfMeasure206">'Бланк заказа'!$T$389:$T$389</definedName>
    <definedName name="UnitOfMeasure207">'Бланк заказа'!$T$390:$T$390</definedName>
    <definedName name="UnitOfMeasure208">'Бланк заказа'!$T$391:$T$391</definedName>
    <definedName name="UnitOfMeasure209">'Бланк заказа'!$T$392:$T$392</definedName>
    <definedName name="UnitOfMeasure21">'Бланк заказа'!$T$64:$T$64</definedName>
    <definedName name="UnitOfMeasure210">'Бланк заказа'!$T$396:$T$396</definedName>
    <definedName name="UnitOfMeasure211">'Бланк заказа'!$T$400:$T$400</definedName>
    <definedName name="UnitOfMeasure212">'Бланк заказа'!$T$406:$T$406</definedName>
    <definedName name="UnitOfMeasure213">'Бланк заказа'!$T$407:$T$407</definedName>
    <definedName name="UnitOfMeasure214">'Бланк заказа'!$T$408:$T$408</definedName>
    <definedName name="UnitOfMeasure215">'Бланк заказа'!$T$409:$T$409</definedName>
    <definedName name="UnitOfMeasure216">'Бланк заказа'!$T$410:$T$410</definedName>
    <definedName name="UnitOfMeasure217">'Бланк заказа'!$T$411:$T$411</definedName>
    <definedName name="UnitOfMeasure218">'Бланк заказа'!$T$412:$T$412</definedName>
    <definedName name="UnitOfMeasure219">'Бланк заказа'!$T$413:$T$413</definedName>
    <definedName name="UnitOfMeasure22">'Бланк заказа'!$T$65:$T$65</definedName>
    <definedName name="UnitOfMeasure220">'Бланк заказа'!$T$414:$T$414</definedName>
    <definedName name="UnitOfMeasure221">'Бланк заказа'!$T$418:$T$418</definedName>
    <definedName name="UnitOfMeasure222">'Бланк заказа'!$T$419:$T$419</definedName>
    <definedName name="UnitOfMeasure223">'Бланк заказа'!$T$423:$T$423</definedName>
    <definedName name="UnitOfMeasure224">'Бланк заказа'!$T$424:$T$424</definedName>
    <definedName name="UnitOfMeasure225">'Бланк заказа'!$T$425:$T$425</definedName>
    <definedName name="UnitOfMeasure226">'Бланк заказа'!$T$426:$T$426</definedName>
    <definedName name="UnitOfMeasure227">'Бланк заказа'!$T$427:$T$427</definedName>
    <definedName name="UnitOfMeasure228">'Бланк заказа'!$T$428:$T$428</definedName>
    <definedName name="UnitOfMeasure229">'Бланк заказа'!$T$432:$T$432</definedName>
    <definedName name="UnitOfMeasure23">'Бланк заказа'!$T$66:$T$66</definedName>
    <definedName name="UnitOfMeasure230">'Бланк заказа'!$T$433:$T$433</definedName>
    <definedName name="UnitOfMeasure231">'Бланк заказа'!$T$439:$T$439</definedName>
    <definedName name="UnitOfMeasure232">'Бланк заказа'!$T$440:$T$440</definedName>
    <definedName name="UnitOfMeasure233">'Бланк заказа'!$T$444:$T$444</definedName>
    <definedName name="UnitOfMeasure234">'Бланк заказа'!$T$445:$T$445</definedName>
    <definedName name="UnitOfMeasure235">'Бланк заказа'!$T$449:$T$449</definedName>
    <definedName name="UnitOfMeasure236">'Бланк заказа'!$T$450:$T$450</definedName>
    <definedName name="UnitOfMeasure237">'Бланк заказа'!$T$454:$T$454</definedName>
    <definedName name="UnitOfMeasure238">'Бланк заказа'!$T$455:$T$455</definedName>
    <definedName name="UnitOfMeasure239">'Бланк заказа'!$T$460:$T$460</definedName>
    <definedName name="UnitOfMeasure24">'Бланк заказа'!$T$67:$T$67</definedName>
    <definedName name="UnitOfMeasure25">'Бланк заказа'!$T$68:$T$68</definedName>
    <definedName name="UnitOfMeasure26">'Бланк заказа'!$T$69:$T$69</definedName>
    <definedName name="UnitOfMeasure27">'Бланк заказа'!$T$70:$T$70</definedName>
    <definedName name="UnitOfMeasure28">'Бланк заказа'!$T$71:$T$71</definedName>
    <definedName name="UnitOfMeasure29">'Бланк заказа'!$T$72:$T$72</definedName>
    <definedName name="UnitOfMeasure3">'Бланк заказа'!$T$27:$T$27</definedName>
    <definedName name="UnitOfMeasure30">'Бланк заказа'!$T$73:$T$73</definedName>
    <definedName name="UnitOfMeasure31">'Бланк заказа'!$T$74:$T$74</definedName>
    <definedName name="UnitOfMeasure32">'Бланк заказа'!$T$78:$T$78</definedName>
    <definedName name="UnitOfMeasure33">'Бланк заказа'!$T$79:$T$79</definedName>
    <definedName name="UnitOfMeasure34">'Бланк заказа'!$T$80:$T$80</definedName>
    <definedName name="UnitOfMeasure35">'Бланк заказа'!$T$81:$T$81</definedName>
    <definedName name="UnitOfMeasure36">'Бланк заказа'!$T$82:$T$82</definedName>
    <definedName name="UnitOfMeasure37">'Бланк заказа'!$T$83:$T$83</definedName>
    <definedName name="UnitOfMeasure38">'Бланк заказа'!$T$84:$T$84</definedName>
    <definedName name="UnitOfMeasure39">'Бланк заказа'!$T$88:$T$88</definedName>
    <definedName name="UnitOfMeasure4">'Бланк заказа'!$T$28:$T$28</definedName>
    <definedName name="UnitOfMeasure40">'Бланк заказа'!$T$89:$T$89</definedName>
    <definedName name="UnitOfMeasure41">'Бланк заказа'!$T$90:$T$90</definedName>
    <definedName name="UnitOfMeasure42">'Бланк заказа'!$T$91:$T$91</definedName>
    <definedName name="UnitOfMeasure43">'Бланк заказа'!$T$92:$T$92</definedName>
    <definedName name="UnitOfMeasure44">'Бланк заказа'!$T$93:$T$93</definedName>
    <definedName name="UnitOfMeasure45">'Бланк заказа'!$T$94:$T$94</definedName>
    <definedName name="UnitOfMeasure46">'Бланк заказа'!$T$95:$T$95</definedName>
    <definedName name="UnitOfMeasure47">'Бланк заказа'!$T$96:$T$96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заказа'!$T$102:$T$102</definedName>
    <definedName name="UnitOfMeasure51">'Бланк заказа'!$T$103:$T$103</definedName>
    <definedName name="UnitOfMeasure52">'Бланк заказа'!$T$104:$T$104</definedName>
    <definedName name="UnitOfMeasure53">'Бланк заказа'!$T$105:$T$105</definedName>
    <definedName name="UnitOfMeasure54">'Бланк заказа'!$T$106:$T$106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заказа'!$T$118:$T$118</definedName>
    <definedName name="UnitOfMeasure6">'Бланк заказа'!$T$30:$T$30</definedName>
    <definedName name="UnitOfMeasure60">'Бланк заказа'!$T$119:$T$119</definedName>
    <definedName name="UnitOfMeasure61">'Бланк заказа'!$T$120:$T$120</definedName>
    <definedName name="UnitOfMeasure62">'Бланк заказа'!$T$121:$T$121</definedName>
    <definedName name="UnitOfMeasure63">'Бланк заказа'!$T$127:$T$127</definedName>
    <definedName name="UnitOfMeasure64">'Бланк заказа'!$T$128:$T$128</definedName>
    <definedName name="UnitOfMeasure65">'Бланк заказа'!$T$129:$T$129</definedName>
    <definedName name="UnitOfMeasure66">'Бланк заказа'!$T$134:$T$134</definedName>
    <definedName name="UnitOfMeasure67">'Бланк заказа'!$T$135:$T$135</definedName>
    <definedName name="UnitOfMeasure68">'Бланк заказа'!$T$136:$T$136</definedName>
    <definedName name="UnitOfMeasure69">'Бланк заказа'!$T$137:$T$137</definedName>
    <definedName name="UnitOfMeasure7">'Бланк заказа'!$T$31:$T$31</definedName>
    <definedName name="UnitOfMeasure70">'Бланк заказа'!$T$138:$T$138</definedName>
    <definedName name="UnitOfMeasure71">'Бланк заказа'!$T$139:$T$139</definedName>
    <definedName name="UnitOfMeasure72">'Бланк заказа'!$T$140:$T$140</definedName>
    <definedName name="UnitOfMeasure73">'Бланк заказа'!$T$141:$T$141</definedName>
    <definedName name="UnitOfMeasure74">'Бланк заказа'!$T$146:$T$146</definedName>
    <definedName name="UnitOfMeasure75">'Бланк заказа'!$T$147:$T$147</definedName>
    <definedName name="UnitOfMeasure76">'Бланк заказа'!$T$151:$T$151</definedName>
    <definedName name="UnitOfMeasure77">'Бланк заказа'!$T$152:$T$152</definedName>
    <definedName name="UnitOfMeasure78">'Бланк заказа'!$T$156:$T$156</definedName>
    <definedName name="UnitOfMeasure79">'Бланк заказа'!$T$157:$T$157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заказа'!$T$163:$T$163</definedName>
    <definedName name="UnitOfMeasure83">'Бланк заказа'!$T$164:$T$164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заказа'!$T$169:$T$169</definedName>
    <definedName name="UnitOfMeasure89">'Бланк заказа'!$T$170:$T$170</definedName>
    <definedName name="UnitOfMeasure9">'Бланк заказа'!$T$36:$T$36</definedName>
    <definedName name="UnitOfMeasure90">'Бланк заказа'!$T$171:$T$171</definedName>
    <definedName name="UnitOfMeasure91">'Бланк заказа'!$T$172:$T$172</definedName>
    <definedName name="UnitOfMeasure92">'Бланк заказа'!$T$173:$T$173</definedName>
    <definedName name="UnitOfMeasure93">'Бланк заказа'!$T$174:$T$174</definedName>
    <definedName name="UnitOfMeasure94">'Бланк заказа'!$T$175:$T$175</definedName>
    <definedName name="UnitOfMeasure95">'Бланк заказа'!$T$176:$T$176</definedName>
    <definedName name="UnitOfMeasure96">'Бланк заказа'!$T$177:$T$177</definedName>
    <definedName name="UnitOfMeasure97">'Бланк заказа'!$T$178:$T$178</definedName>
    <definedName name="UnitOfMeasure98">'Бланк заказа'!$T$179:$T$179</definedName>
    <definedName name="UnitOfMeasure99">'Бланк заказа'!$T$183:$T$183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465" i="1" l="1"/>
  <c r="U464" i="1"/>
  <c r="U462" i="1"/>
  <c r="U461" i="1"/>
  <c r="V460" i="1"/>
  <c r="M460" i="1"/>
  <c r="U457" i="1"/>
  <c r="U456" i="1"/>
  <c r="V455" i="1"/>
  <c r="W455" i="1" s="1"/>
  <c r="M455" i="1"/>
  <c r="W454" i="1"/>
  <c r="W456" i="1" s="1"/>
  <c r="V454" i="1"/>
  <c r="M454" i="1"/>
  <c r="U452" i="1"/>
  <c r="V451" i="1"/>
  <c r="U451" i="1"/>
  <c r="W450" i="1"/>
  <c r="V450" i="1"/>
  <c r="M450" i="1"/>
  <c r="V449" i="1"/>
  <c r="M449" i="1"/>
  <c r="U447" i="1"/>
  <c r="U446" i="1"/>
  <c r="V445" i="1"/>
  <c r="W445" i="1" s="1"/>
  <c r="M445" i="1"/>
  <c r="W444" i="1"/>
  <c r="W446" i="1" s="1"/>
  <c r="V444" i="1"/>
  <c r="V446" i="1" s="1"/>
  <c r="M444" i="1"/>
  <c r="U442" i="1"/>
  <c r="U441" i="1"/>
  <c r="W440" i="1"/>
  <c r="V440" i="1"/>
  <c r="M440" i="1"/>
  <c r="V439" i="1"/>
  <c r="V441" i="1" s="1"/>
  <c r="M439" i="1"/>
  <c r="U435" i="1"/>
  <c r="U434" i="1"/>
  <c r="V433" i="1"/>
  <c r="W433" i="1" s="1"/>
  <c r="M433" i="1"/>
  <c r="W432" i="1"/>
  <c r="W434" i="1" s="1"/>
  <c r="V432" i="1"/>
  <c r="M432" i="1"/>
  <c r="U430" i="1"/>
  <c r="V429" i="1"/>
  <c r="U429" i="1"/>
  <c r="W428" i="1"/>
  <c r="V428" i="1"/>
  <c r="W427" i="1"/>
  <c r="V427" i="1"/>
  <c r="W426" i="1"/>
  <c r="V426" i="1"/>
  <c r="W425" i="1"/>
  <c r="V425" i="1"/>
  <c r="M425" i="1"/>
  <c r="V424" i="1"/>
  <c r="W424" i="1" s="1"/>
  <c r="M424" i="1"/>
  <c r="W423" i="1"/>
  <c r="V423" i="1"/>
  <c r="V430" i="1" s="1"/>
  <c r="M423" i="1"/>
  <c r="U421" i="1"/>
  <c r="U420" i="1"/>
  <c r="W419" i="1"/>
  <c r="V419" i="1"/>
  <c r="M419" i="1"/>
  <c r="V418" i="1"/>
  <c r="V420" i="1" s="1"/>
  <c r="M418" i="1"/>
  <c r="U416" i="1"/>
  <c r="U415" i="1"/>
  <c r="V414" i="1"/>
  <c r="W414" i="1" s="1"/>
  <c r="M414" i="1"/>
  <c r="W413" i="1"/>
  <c r="V413" i="1"/>
  <c r="M413" i="1"/>
  <c r="V412" i="1"/>
  <c r="W412" i="1" s="1"/>
  <c r="M412" i="1"/>
  <c r="W411" i="1"/>
  <c r="V411" i="1"/>
  <c r="M411" i="1"/>
  <c r="V410" i="1"/>
  <c r="W410" i="1" s="1"/>
  <c r="M410" i="1"/>
  <c r="W409" i="1"/>
  <c r="V409" i="1"/>
  <c r="M409" i="1"/>
  <c r="V408" i="1"/>
  <c r="W408" i="1" s="1"/>
  <c r="M408" i="1"/>
  <c r="W407" i="1"/>
  <c r="V407" i="1"/>
  <c r="M407" i="1"/>
  <c r="V406" i="1"/>
  <c r="M406" i="1"/>
  <c r="U402" i="1"/>
  <c r="U401" i="1"/>
  <c r="V400" i="1"/>
  <c r="M400" i="1"/>
  <c r="U398" i="1"/>
  <c r="U397" i="1"/>
  <c r="V396" i="1"/>
  <c r="M396" i="1"/>
  <c r="U394" i="1"/>
  <c r="U393" i="1"/>
  <c r="V392" i="1"/>
  <c r="W392" i="1" s="1"/>
  <c r="M392" i="1"/>
  <c r="W391" i="1"/>
  <c r="V391" i="1"/>
  <c r="M391" i="1"/>
  <c r="V390" i="1"/>
  <c r="W390" i="1" s="1"/>
  <c r="M390" i="1"/>
  <c r="W389" i="1"/>
  <c r="V389" i="1"/>
  <c r="W388" i="1"/>
  <c r="V388" i="1"/>
  <c r="M388" i="1"/>
  <c r="V387" i="1"/>
  <c r="W387" i="1" s="1"/>
  <c r="M387" i="1"/>
  <c r="W386" i="1"/>
  <c r="W393" i="1" s="1"/>
  <c r="V386" i="1"/>
  <c r="M386" i="1"/>
  <c r="U384" i="1"/>
  <c r="V383" i="1"/>
  <c r="U383" i="1"/>
  <c r="W382" i="1"/>
  <c r="V382" i="1"/>
  <c r="M382" i="1"/>
  <c r="V381" i="1"/>
  <c r="M381" i="1"/>
  <c r="U378" i="1"/>
  <c r="U377" i="1"/>
  <c r="V376" i="1"/>
  <c r="U374" i="1"/>
  <c r="U373" i="1"/>
  <c r="W372" i="1"/>
  <c r="V372" i="1"/>
  <c r="M372" i="1"/>
  <c r="V371" i="1"/>
  <c r="W371" i="1" s="1"/>
  <c r="M371" i="1"/>
  <c r="W370" i="1"/>
  <c r="W373" i="1" s="1"/>
  <c r="V370" i="1"/>
  <c r="M370" i="1"/>
  <c r="U368" i="1"/>
  <c r="V367" i="1"/>
  <c r="U367" i="1"/>
  <c r="W366" i="1"/>
  <c r="W367" i="1" s="1"/>
  <c r="V366" i="1"/>
  <c r="V368" i="1" s="1"/>
  <c r="M366" i="1"/>
  <c r="U364" i="1"/>
  <c r="U363" i="1"/>
  <c r="W362" i="1"/>
  <c r="V362" i="1"/>
  <c r="M362" i="1"/>
  <c r="V361" i="1"/>
  <c r="W361" i="1" s="1"/>
  <c r="M361" i="1"/>
  <c r="W360" i="1"/>
  <c r="V360" i="1"/>
  <c r="M360" i="1"/>
  <c r="V359" i="1"/>
  <c r="M359" i="1"/>
  <c r="U357" i="1"/>
  <c r="U356" i="1"/>
  <c r="V355" i="1"/>
  <c r="W355" i="1" s="1"/>
  <c r="V354" i="1"/>
  <c r="W354" i="1" s="1"/>
  <c r="M354" i="1"/>
  <c r="W353" i="1"/>
  <c r="V353" i="1"/>
  <c r="M353" i="1"/>
  <c r="V352" i="1"/>
  <c r="W352" i="1" s="1"/>
  <c r="M352" i="1"/>
  <c r="W351" i="1"/>
  <c r="V351" i="1"/>
  <c r="M351" i="1"/>
  <c r="V350" i="1"/>
  <c r="W350" i="1" s="1"/>
  <c r="M350" i="1"/>
  <c r="W349" i="1"/>
  <c r="V349" i="1"/>
  <c r="M349" i="1"/>
  <c r="V348" i="1"/>
  <c r="W348" i="1" s="1"/>
  <c r="M348" i="1"/>
  <c r="W347" i="1"/>
  <c r="V347" i="1"/>
  <c r="M347" i="1"/>
  <c r="V346" i="1"/>
  <c r="W346" i="1" s="1"/>
  <c r="M346" i="1"/>
  <c r="W345" i="1"/>
  <c r="V345" i="1"/>
  <c r="M345" i="1"/>
  <c r="V344" i="1"/>
  <c r="M344" i="1"/>
  <c r="W343" i="1"/>
  <c r="V343" i="1"/>
  <c r="M343" i="1"/>
  <c r="U341" i="1"/>
  <c r="V340" i="1"/>
  <c r="U340" i="1"/>
  <c r="W339" i="1"/>
  <c r="V339" i="1"/>
  <c r="M339" i="1"/>
  <c r="V338" i="1"/>
  <c r="M338" i="1"/>
  <c r="U334" i="1"/>
  <c r="U333" i="1"/>
  <c r="V332" i="1"/>
  <c r="M332" i="1"/>
  <c r="U330" i="1"/>
  <c r="U329" i="1"/>
  <c r="V328" i="1"/>
  <c r="W328" i="1" s="1"/>
  <c r="M328" i="1"/>
  <c r="W327" i="1"/>
  <c r="V327" i="1"/>
  <c r="M327" i="1"/>
  <c r="V326" i="1"/>
  <c r="M326" i="1"/>
  <c r="W325" i="1"/>
  <c r="V325" i="1"/>
  <c r="M325" i="1"/>
  <c r="U323" i="1"/>
  <c r="V322" i="1"/>
  <c r="U322" i="1"/>
  <c r="W321" i="1"/>
  <c r="V321" i="1"/>
  <c r="M321" i="1"/>
  <c r="V320" i="1"/>
  <c r="M320" i="1"/>
  <c r="U318" i="1"/>
  <c r="U317" i="1"/>
  <c r="V316" i="1"/>
  <c r="W316" i="1" s="1"/>
  <c r="M316" i="1"/>
  <c r="W315" i="1"/>
  <c r="V315" i="1"/>
  <c r="M315" i="1"/>
  <c r="V314" i="1"/>
  <c r="M314" i="1"/>
  <c r="W313" i="1"/>
  <c r="V313" i="1"/>
  <c r="M313" i="1"/>
  <c r="U310" i="1"/>
  <c r="V309" i="1"/>
  <c r="U309" i="1"/>
  <c r="W308" i="1"/>
  <c r="W309" i="1" s="1"/>
  <c r="V308" i="1"/>
  <c r="V310" i="1" s="1"/>
  <c r="M308" i="1"/>
  <c r="U306" i="1"/>
  <c r="V305" i="1"/>
  <c r="U305" i="1"/>
  <c r="W304" i="1"/>
  <c r="W305" i="1" s="1"/>
  <c r="V304" i="1"/>
  <c r="V306" i="1" s="1"/>
  <c r="M304" i="1"/>
  <c r="U302" i="1"/>
  <c r="V301" i="1"/>
  <c r="U301" i="1"/>
  <c r="W300" i="1"/>
  <c r="W301" i="1" s="1"/>
  <c r="V300" i="1"/>
  <c r="V302" i="1" s="1"/>
  <c r="M300" i="1"/>
  <c r="U298" i="1"/>
  <c r="V297" i="1"/>
  <c r="U297" i="1"/>
  <c r="W296" i="1"/>
  <c r="V296" i="1"/>
  <c r="M296" i="1"/>
  <c r="V295" i="1"/>
  <c r="M295" i="1"/>
  <c r="U293" i="1"/>
  <c r="U292" i="1"/>
  <c r="V291" i="1"/>
  <c r="W291" i="1" s="1"/>
  <c r="M291" i="1"/>
  <c r="W290" i="1"/>
  <c r="V290" i="1"/>
  <c r="M290" i="1"/>
  <c r="V289" i="1"/>
  <c r="W289" i="1" s="1"/>
  <c r="V288" i="1"/>
  <c r="W288" i="1" s="1"/>
  <c r="M288" i="1"/>
  <c r="W287" i="1"/>
  <c r="V287" i="1"/>
  <c r="M287" i="1"/>
  <c r="V286" i="1"/>
  <c r="W286" i="1" s="1"/>
  <c r="M286" i="1"/>
  <c r="W285" i="1"/>
  <c r="V285" i="1"/>
  <c r="M285" i="1"/>
  <c r="V284" i="1"/>
  <c r="M284" i="1"/>
  <c r="U280" i="1"/>
  <c r="U279" i="1"/>
  <c r="V278" i="1"/>
  <c r="M278" i="1"/>
  <c r="U276" i="1"/>
  <c r="U275" i="1"/>
  <c r="V274" i="1"/>
  <c r="M274" i="1"/>
  <c r="U272" i="1"/>
  <c r="U271" i="1"/>
  <c r="V270" i="1"/>
  <c r="W270" i="1" s="1"/>
  <c r="M270" i="1"/>
  <c r="W269" i="1"/>
  <c r="V269" i="1"/>
  <c r="M269" i="1"/>
  <c r="V268" i="1"/>
  <c r="V272" i="1" s="1"/>
  <c r="M268" i="1"/>
  <c r="U266" i="1"/>
  <c r="U265" i="1"/>
  <c r="V264" i="1"/>
  <c r="W264" i="1" s="1"/>
  <c r="M264" i="1"/>
  <c r="W263" i="1"/>
  <c r="W265" i="1" s="1"/>
  <c r="V263" i="1"/>
  <c r="M263" i="1"/>
  <c r="U260" i="1"/>
  <c r="V259" i="1"/>
  <c r="U259" i="1"/>
  <c r="W258" i="1"/>
  <c r="V258" i="1"/>
  <c r="M258" i="1"/>
  <c r="V257" i="1"/>
  <c r="M257" i="1"/>
  <c r="U255" i="1"/>
  <c r="U254" i="1"/>
  <c r="V253" i="1"/>
  <c r="W253" i="1" s="1"/>
  <c r="M253" i="1"/>
  <c r="W252" i="1"/>
  <c r="V252" i="1"/>
  <c r="M252" i="1"/>
  <c r="V251" i="1"/>
  <c r="W251" i="1" s="1"/>
  <c r="M251" i="1"/>
  <c r="W250" i="1"/>
  <c r="V250" i="1"/>
  <c r="M250" i="1"/>
  <c r="V249" i="1"/>
  <c r="W249" i="1" s="1"/>
  <c r="M249" i="1"/>
  <c r="W248" i="1"/>
  <c r="V248" i="1"/>
  <c r="M248" i="1"/>
  <c r="V247" i="1"/>
  <c r="V255" i="1" s="1"/>
  <c r="M247" i="1"/>
  <c r="U244" i="1"/>
  <c r="U243" i="1"/>
  <c r="V242" i="1"/>
  <c r="W242" i="1" s="1"/>
  <c r="M242" i="1"/>
  <c r="W241" i="1"/>
  <c r="V241" i="1"/>
  <c r="M241" i="1"/>
  <c r="V240" i="1"/>
  <c r="M240" i="1"/>
  <c r="U238" i="1"/>
  <c r="U237" i="1"/>
  <c r="V236" i="1"/>
  <c r="W236" i="1" s="1"/>
  <c r="M236" i="1"/>
  <c r="W235" i="1"/>
  <c r="V235" i="1"/>
  <c r="W234" i="1"/>
  <c r="W237" i="1" s="1"/>
  <c r="V234" i="1"/>
  <c r="V237" i="1" s="1"/>
  <c r="U232" i="1"/>
  <c r="U231" i="1"/>
  <c r="V230" i="1"/>
  <c r="W230" i="1" s="1"/>
  <c r="M230" i="1"/>
  <c r="W229" i="1"/>
  <c r="V229" i="1"/>
  <c r="M229" i="1"/>
  <c r="V228" i="1"/>
  <c r="W228" i="1" s="1"/>
  <c r="M228" i="1"/>
  <c r="W227" i="1"/>
  <c r="W231" i="1" s="1"/>
  <c r="V227" i="1"/>
  <c r="M227" i="1"/>
  <c r="U225" i="1"/>
  <c r="U224" i="1"/>
  <c r="W223" i="1"/>
  <c r="V223" i="1"/>
  <c r="M223" i="1"/>
  <c r="V222" i="1"/>
  <c r="W222" i="1" s="1"/>
  <c r="M222" i="1"/>
  <c r="W221" i="1"/>
  <c r="V221" i="1"/>
  <c r="M221" i="1"/>
  <c r="V220" i="1"/>
  <c r="W220" i="1" s="1"/>
  <c r="M220" i="1"/>
  <c r="W219" i="1"/>
  <c r="V219" i="1"/>
  <c r="M219" i="1"/>
  <c r="V218" i="1"/>
  <c r="M218" i="1"/>
  <c r="U216" i="1"/>
  <c r="U215" i="1"/>
  <c r="V214" i="1"/>
  <c r="W214" i="1" s="1"/>
  <c r="M214" i="1"/>
  <c r="W213" i="1"/>
  <c r="V213" i="1"/>
  <c r="M213" i="1"/>
  <c r="V212" i="1"/>
  <c r="W212" i="1" s="1"/>
  <c r="M212" i="1"/>
  <c r="W211" i="1"/>
  <c r="W215" i="1" s="1"/>
  <c r="V211" i="1"/>
  <c r="M211" i="1"/>
  <c r="U209" i="1"/>
  <c r="V208" i="1"/>
  <c r="U208" i="1"/>
  <c r="W207" i="1"/>
  <c r="W208" i="1" s="1"/>
  <c r="V207" i="1"/>
  <c r="V209" i="1" s="1"/>
  <c r="M207" i="1"/>
  <c r="U205" i="1"/>
  <c r="U204" i="1"/>
  <c r="W203" i="1"/>
  <c r="V203" i="1"/>
  <c r="M203" i="1"/>
  <c r="V202" i="1"/>
  <c r="W202" i="1" s="1"/>
  <c r="M202" i="1"/>
  <c r="W201" i="1"/>
  <c r="V201" i="1"/>
  <c r="M201" i="1"/>
  <c r="V200" i="1"/>
  <c r="W200" i="1" s="1"/>
  <c r="M200" i="1"/>
  <c r="W199" i="1"/>
  <c r="V199" i="1"/>
  <c r="M199" i="1"/>
  <c r="V198" i="1"/>
  <c r="W198" i="1" s="1"/>
  <c r="M198" i="1"/>
  <c r="W197" i="1"/>
  <c r="V197" i="1"/>
  <c r="M197" i="1"/>
  <c r="V196" i="1"/>
  <c r="W196" i="1" s="1"/>
  <c r="M196" i="1"/>
  <c r="W195" i="1"/>
  <c r="V195" i="1"/>
  <c r="M195" i="1"/>
  <c r="V194" i="1"/>
  <c r="W194" i="1" s="1"/>
  <c r="M194" i="1"/>
  <c r="W193" i="1"/>
  <c r="V193" i="1"/>
  <c r="M193" i="1"/>
  <c r="V192" i="1"/>
  <c r="W192" i="1" s="1"/>
  <c r="M192" i="1"/>
  <c r="W191" i="1"/>
  <c r="V191" i="1"/>
  <c r="M191" i="1"/>
  <c r="V190" i="1"/>
  <c r="V204" i="1" s="1"/>
  <c r="M190" i="1"/>
  <c r="W189" i="1"/>
  <c r="V189" i="1"/>
  <c r="M189" i="1"/>
  <c r="U186" i="1"/>
  <c r="U185" i="1"/>
  <c r="W184" i="1"/>
  <c r="V184" i="1"/>
  <c r="M184" i="1"/>
  <c r="V183" i="1"/>
  <c r="V185" i="1" s="1"/>
  <c r="M183" i="1"/>
  <c r="U181" i="1"/>
  <c r="U180" i="1"/>
  <c r="V179" i="1"/>
  <c r="W179" i="1" s="1"/>
  <c r="M179" i="1"/>
  <c r="W178" i="1"/>
  <c r="V178" i="1"/>
  <c r="M178" i="1"/>
  <c r="V177" i="1"/>
  <c r="W177" i="1" s="1"/>
  <c r="M177" i="1"/>
  <c r="W176" i="1"/>
  <c r="V176" i="1"/>
  <c r="M176" i="1"/>
  <c r="V175" i="1"/>
  <c r="W175" i="1" s="1"/>
  <c r="M175" i="1"/>
  <c r="W174" i="1"/>
  <c r="V174" i="1"/>
  <c r="M174" i="1"/>
  <c r="V173" i="1"/>
  <c r="W173" i="1" s="1"/>
  <c r="M173" i="1"/>
  <c r="W172" i="1"/>
  <c r="V172" i="1"/>
  <c r="M172" i="1"/>
  <c r="V171" i="1"/>
  <c r="W171" i="1" s="1"/>
  <c r="M171" i="1"/>
  <c r="W170" i="1"/>
  <c r="V170" i="1"/>
  <c r="M170" i="1"/>
  <c r="V169" i="1"/>
  <c r="W169" i="1" s="1"/>
  <c r="M169" i="1"/>
  <c r="W168" i="1"/>
  <c r="V168" i="1"/>
  <c r="M168" i="1"/>
  <c r="V167" i="1"/>
  <c r="W167" i="1" s="1"/>
  <c r="M167" i="1"/>
  <c r="W166" i="1"/>
  <c r="V166" i="1"/>
  <c r="M166" i="1"/>
  <c r="V165" i="1"/>
  <c r="W165" i="1" s="1"/>
  <c r="M165" i="1"/>
  <c r="W164" i="1"/>
  <c r="V164" i="1"/>
  <c r="M164" i="1"/>
  <c r="V163" i="1"/>
  <c r="V181" i="1" s="1"/>
  <c r="M163" i="1"/>
  <c r="U161" i="1"/>
  <c r="U160" i="1"/>
  <c r="V159" i="1"/>
  <c r="W159" i="1" s="1"/>
  <c r="M159" i="1"/>
  <c r="W158" i="1"/>
  <c r="V158" i="1"/>
  <c r="M158" i="1"/>
  <c r="V157" i="1"/>
  <c r="V161" i="1" s="1"/>
  <c r="M157" i="1"/>
  <c r="W156" i="1"/>
  <c r="V156" i="1"/>
  <c r="V160" i="1" s="1"/>
  <c r="M156" i="1"/>
  <c r="U154" i="1"/>
  <c r="U153" i="1"/>
  <c r="W152" i="1"/>
  <c r="V152" i="1"/>
  <c r="M152" i="1"/>
  <c r="V151" i="1"/>
  <c r="V153" i="1" s="1"/>
  <c r="U149" i="1"/>
  <c r="U148" i="1"/>
  <c r="W147" i="1"/>
  <c r="V147" i="1"/>
  <c r="M147" i="1"/>
  <c r="V146" i="1"/>
  <c r="I473" i="1" s="1"/>
  <c r="M146" i="1"/>
  <c r="U143" i="1"/>
  <c r="U142" i="1"/>
  <c r="V141" i="1"/>
  <c r="W141" i="1" s="1"/>
  <c r="M141" i="1"/>
  <c r="W140" i="1"/>
  <c r="V140" i="1"/>
  <c r="M140" i="1"/>
  <c r="V139" i="1"/>
  <c r="W139" i="1" s="1"/>
  <c r="M139" i="1"/>
  <c r="W138" i="1"/>
  <c r="V138" i="1"/>
  <c r="M138" i="1"/>
  <c r="V137" i="1"/>
  <c r="W137" i="1" s="1"/>
  <c r="M137" i="1"/>
  <c r="W136" i="1"/>
  <c r="V136" i="1"/>
  <c r="M136" i="1"/>
  <c r="V135" i="1"/>
  <c r="V143" i="1" s="1"/>
  <c r="M135" i="1"/>
  <c r="W134" i="1"/>
  <c r="V134" i="1"/>
  <c r="M134" i="1"/>
  <c r="U131" i="1"/>
  <c r="U130" i="1"/>
  <c r="W129" i="1"/>
  <c r="V129" i="1"/>
  <c r="M129" i="1"/>
  <c r="V128" i="1"/>
  <c r="V130" i="1" s="1"/>
  <c r="M128" i="1"/>
  <c r="W127" i="1"/>
  <c r="V127" i="1"/>
  <c r="M127" i="1"/>
  <c r="U123" i="1"/>
  <c r="U122" i="1"/>
  <c r="W121" i="1"/>
  <c r="V121" i="1"/>
  <c r="M121" i="1"/>
  <c r="V120" i="1"/>
  <c r="W120" i="1" s="1"/>
  <c r="M120" i="1"/>
  <c r="W119" i="1"/>
  <c r="V119" i="1"/>
  <c r="M119" i="1"/>
  <c r="V118" i="1"/>
  <c r="F473" i="1" s="1"/>
  <c r="M118" i="1"/>
  <c r="U115" i="1"/>
  <c r="U114" i="1"/>
  <c r="V113" i="1"/>
  <c r="W113" i="1" s="1"/>
  <c r="V112" i="1"/>
  <c r="W112" i="1" s="1"/>
  <c r="M112" i="1"/>
  <c r="W111" i="1"/>
  <c r="V111" i="1"/>
  <c r="M111" i="1"/>
  <c r="V110" i="1"/>
  <c r="V115" i="1" s="1"/>
  <c r="M110" i="1"/>
  <c r="U108" i="1"/>
  <c r="U107" i="1"/>
  <c r="V106" i="1"/>
  <c r="W106" i="1" s="1"/>
  <c r="M106" i="1"/>
  <c r="W105" i="1"/>
  <c r="V105" i="1"/>
  <c r="W104" i="1"/>
  <c r="V104" i="1"/>
  <c r="W103" i="1"/>
  <c r="V103" i="1"/>
  <c r="W102" i="1"/>
  <c r="V102" i="1"/>
  <c r="M102" i="1"/>
  <c r="V101" i="1"/>
  <c r="V108" i="1" s="1"/>
  <c r="M101" i="1"/>
  <c r="W100" i="1"/>
  <c r="V100" i="1"/>
  <c r="V107" i="1" s="1"/>
  <c r="U98" i="1"/>
  <c r="U97" i="1"/>
  <c r="V96" i="1"/>
  <c r="W96" i="1" s="1"/>
  <c r="M96" i="1"/>
  <c r="W95" i="1"/>
  <c r="V95" i="1"/>
  <c r="M95" i="1"/>
  <c r="V94" i="1"/>
  <c r="W94" i="1" s="1"/>
  <c r="M94" i="1"/>
  <c r="W93" i="1"/>
  <c r="V93" i="1"/>
  <c r="M93" i="1"/>
  <c r="V92" i="1"/>
  <c r="W92" i="1" s="1"/>
  <c r="M92" i="1"/>
  <c r="W91" i="1"/>
  <c r="V91" i="1"/>
  <c r="M91" i="1"/>
  <c r="V90" i="1"/>
  <c r="W90" i="1" s="1"/>
  <c r="M90" i="1"/>
  <c r="W89" i="1"/>
  <c r="V89" i="1"/>
  <c r="M89" i="1"/>
  <c r="V88" i="1"/>
  <c r="V98" i="1" s="1"/>
  <c r="M88" i="1"/>
  <c r="U86" i="1"/>
  <c r="U85" i="1"/>
  <c r="V84" i="1"/>
  <c r="W84" i="1" s="1"/>
  <c r="M84" i="1"/>
  <c r="W83" i="1"/>
  <c r="V83" i="1"/>
  <c r="M83" i="1"/>
  <c r="V82" i="1"/>
  <c r="W82" i="1" s="1"/>
  <c r="V81" i="1"/>
  <c r="W81" i="1" s="1"/>
  <c r="V80" i="1"/>
  <c r="V86" i="1" s="1"/>
  <c r="M80" i="1"/>
  <c r="W79" i="1"/>
  <c r="V79" i="1"/>
  <c r="W78" i="1"/>
  <c r="V78" i="1"/>
  <c r="V85" i="1" s="1"/>
  <c r="M78" i="1"/>
  <c r="U76" i="1"/>
  <c r="U75" i="1"/>
  <c r="W74" i="1"/>
  <c r="V74" i="1"/>
  <c r="M74" i="1"/>
  <c r="V73" i="1"/>
  <c r="W73" i="1" s="1"/>
  <c r="M73" i="1"/>
  <c r="W72" i="1"/>
  <c r="V72" i="1"/>
  <c r="M72" i="1"/>
  <c r="V71" i="1"/>
  <c r="W71" i="1" s="1"/>
  <c r="M71" i="1"/>
  <c r="W70" i="1"/>
  <c r="V70" i="1"/>
  <c r="M70" i="1"/>
  <c r="V69" i="1"/>
  <c r="W69" i="1" s="1"/>
  <c r="M69" i="1"/>
  <c r="W68" i="1"/>
  <c r="V68" i="1"/>
  <c r="M68" i="1"/>
  <c r="V67" i="1"/>
  <c r="W67" i="1" s="1"/>
  <c r="M67" i="1"/>
  <c r="W66" i="1"/>
  <c r="V66" i="1"/>
  <c r="M66" i="1"/>
  <c r="V65" i="1"/>
  <c r="W65" i="1" s="1"/>
  <c r="M65" i="1"/>
  <c r="W64" i="1"/>
  <c r="V64" i="1"/>
  <c r="M64" i="1"/>
  <c r="V63" i="1"/>
  <c r="W63" i="1" s="1"/>
  <c r="M63" i="1"/>
  <c r="W62" i="1"/>
  <c r="V62" i="1"/>
  <c r="M62" i="1"/>
  <c r="V61" i="1"/>
  <c r="W61" i="1" s="1"/>
  <c r="M61" i="1"/>
  <c r="W60" i="1"/>
  <c r="V60" i="1"/>
  <c r="M60" i="1"/>
  <c r="V59" i="1"/>
  <c r="E473" i="1" s="1"/>
  <c r="M59" i="1"/>
  <c r="U56" i="1"/>
  <c r="U55" i="1"/>
  <c r="V54" i="1"/>
  <c r="W54" i="1" s="1"/>
  <c r="V53" i="1"/>
  <c r="V56" i="1" s="1"/>
  <c r="M53" i="1"/>
  <c r="W52" i="1"/>
  <c r="V52" i="1"/>
  <c r="M52" i="1"/>
  <c r="U49" i="1"/>
  <c r="U48" i="1"/>
  <c r="W47" i="1"/>
  <c r="V47" i="1"/>
  <c r="M47" i="1"/>
  <c r="V46" i="1"/>
  <c r="C473" i="1" s="1"/>
  <c r="M46" i="1"/>
  <c r="U42" i="1"/>
  <c r="U41" i="1"/>
  <c r="V40" i="1"/>
  <c r="V42" i="1" s="1"/>
  <c r="M40" i="1"/>
  <c r="U38" i="1"/>
  <c r="U37" i="1"/>
  <c r="V36" i="1"/>
  <c r="V38" i="1" s="1"/>
  <c r="M36" i="1"/>
  <c r="W35" i="1"/>
  <c r="V35" i="1"/>
  <c r="V37" i="1" s="1"/>
  <c r="M35" i="1"/>
  <c r="U33" i="1"/>
  <c r="U32" i="1"/>
  <c r="W31" i="1"/>
  <c r="V31" i="1"/>
  <c r="M31" i="1"/>
  <c r="V30" i="1"/>
  <c r="W30" i="1" s="1"/>
  <c r="M30" i="1"/>
  <c r="W29" i="1"/>
  <c r="V29" i="1"/>
  <c r="M29" i="1"/>
  <c r="V28" i="1"/>
  <c r="W28" i="1" s="1"/>
  <c r="M28" i="1"/>
  <c r="W27" i="1"/>
  <c r="V27" i="1"/>
  <c r="M27" i="1"/>
  <c r="V26" i="1"/>
  <c r="V32" i="1" s="1"/>
  <c r="M26" i="1"/>
  <c r="U24" i="1"/>
  <c r="U23" i="1"/>
  <c r="U467" i="1" s="1"/>
  <c r="V22" i="1"/>
  <c r="V23" i="1" s="1"/>
  <c r="M22" i="1"/>
  <c r="H10" i="1"/>
  <c r="A9" i="1"/>
  <c r="A10" i="1" s="1"/>
  <c r="D7" i="1"/>
  <c r="N6" i="1"/>
  <c r="M2" i="1"/>
  <c r="U466" i="1" l="1"/>
  <c r="F9" i="1"/>
  <c r="J9" i="1"/>
  <c r="F10" i="1"/>
  <c r="W22" i="1"/>
  <c r="W23" i="1" s="1"/>
  <c r="U463" i="1"/>
  <c r="W26" i="1"/>
  <c r="W32" i="1" s="1"/>
  <c r="V33" i="1"/>
  <c r="W36" i="1"/>
  <c r="W37" i="1" s="1"/>
  <c r="W40" i="1"/>
  <c r="W41" i="1" s="1"/>
  <c r="V41" i="1"/>
  <c r="W46" i="1"/>
  <c r="W48" i="1" s="1"/>
  <c r="V49" i="1"/>
  <c r="D473" i="1"/>
  <c r="W53" i="1"/>
  <c r="W55" i="1" s="1"/>
  <c r="V55" i="1"/>
  <c r="W59" i="1"/>
  <c r="W75" i="1" s="1"/>
  <c r="V76" i="1"/>
  <c r="W80" i="1"/>
  <c r="W85" i="1" s="1"/>
  <c r="W88" i="1"/>
  <c r="W97" i="1" s="1"/>
  <c r="V97" i="1"/>
  <c r="W101" i="1"/>
  <c r="W107" i="1" s="1"/>
  <c r="W110" i="1"/>
  <c r="W114" i="1" s="1"/>
  <c r="V114" i="1"/>
  <c r="W118" i="1"/>
  <c r="W122" i="1" s="1"/>
  <c r="V123" i="1"/>
  <c r="G473" i="1"/>
  <c r="W128" i="1"/>
  <c r="W130" i="1" s="1"/>
  <c r="V131" i="1"/>
  <c r="H473" i="1"/>
  <c r="W135" i="1"/>
  <c r="W142" i="1" s="1"/>
  <c r="V142" i="1"/>
  <c r="W146" i="1"/>
  <c r="W148" i="1" s="1"/>
  <c r="V149" i="1"/>
  <c r="W151" i="1"/>
  <c r="W153" i="1" s="1"/>
  <c r="V154" i="1"/>
  <c r="W157" i="1"/>
  <c r="W160" i="1" s="1"/>
  <c r="W163" i="1"/>
  <c r="W180" i="1" s="1"/>
  <c r="V180" i="1"/>
  <c r="W183" i="1"/>
  <c r="W185" i="1" s="1"/>
  <c r="V186" i="1"/>
  <c r="J473" i="1"/>
  <c r="V205" i="1"/>
  <c r="W190" i="1"/>
  <c r="V215" i="1"/>
  <c r="V216" i="1"/>
  <c r="V225" i="1"/>
  <c r="W218" i="1"/>
  <c r="W224" i="1" s="1"/>
  <c r="V231" i="1"/>
  <c r="V232" i="1"/>
  <c r="V238" i="1"/>
  <c r="V243" i="1"/>
  <c r="W240" i="1"/>
  <c r="W243" i="1" s="1"/>
  <c r="V260" i="1"/>
  <c r="W257" i="1"/>
  <c r="W259" i="1" s="1"/>
  <c r="L473" i="1"/>
  <c r="V275" i="1"/>
  <c r="W274" i="1"/>
  <c r="W275" i="1" s="1"/>
  <c r="V276" i="1"/>
  <c r="V279" i="1"/>
  <c r="W278" i="1"/>
  <c r="W279" i="1" s="1"/>
  <c r="V280" i="1"/>
  <c r="M473" i="1"/>
  <c r="V292" i="1"/>
  <c r="W284" i="1"/>
  <c r="W292" i="1" s="1"/>
  <c r="V293" i="1"/>
  <c r="V298" i="1"/>
  <c r="W295" i="1"/>
  <c r="W297" i="1" s="1"/>
  <c r="H9" i="1"/>
  <c r="B473" i="1"/>
  <c r="V465" i="1"/>
  <c r="V464" i="1"/>
  <c r="V24" i="1"/>
  <c r="V48" i="1"/>
  <c r="V75" i="1"/>
  <c r="V122" i="1"/>
  <c r="V148" i="1"/>
  <c r="W204" i="1"/>
  <c r="V224" i="1"/>
  <c r="V244" i="1"/>
  <c r="K473" i="1"/>
  <c r="V254" i="1"/>
  <c r="W247" i="1"/>
  <c r="W254" i="1" s="1"/>
  <c r="V266" i="1"/>
  <c r="V271" i="1"/>
  <c r="W268" i="1"/>
  <c r="W271" i="1" s="1"/>
  <c r="W317" i="1"/>
  <c r="W314" i="1"/>
  <c r="N473" i="1"/>
  <c r="V318" i="1"/>
  <c r="W329" i="1"/>
  <c r="W326" i="1"/>
  <c r="V330" i="1"/>
  <c r="W344" i="1"/>
  <c r="W356" i="1" s="1"/>
  <c r="V357" i="1"/>
  <c r="V265" i="1"/>
  <c r="V317" i="1"/>
  <c r="V323" i="1"/>
  <c r="W320" i="1"/>
  <c r="W322" i="1" s="1"/>
  <c r="V329" i="1"/>
  <c r="V333" i="1"/>
  <c r="W332" i="1"/>
  <c r="W333" i="1" s="1"/>
  <c r="V334" i="1"/>
  <c r="O473" i="1"/>
  <c r="V341" i="1"/>
  <c r="W338" i="1"/>
  <c r="W340" i="1" s="1"/>
  <c r="V356" i="1"/>
  <c r="V374" i="1"/>
  <c r="V373" i="1"/>
  <c r="V377" i="1"/>
  <c r="W376" i="1"/>
  <c r="W377" i="1" s="1"/>
  <c r="V378" i="1"/>
  <c r="V384" i="1"/>
  <c r="W381" i="1"/>
  <c r="W383" i="1" s="1"/>
  <c r="V393" i="1"/>
  <c r="W429" i="1"/>
  <c r="V434" i="1"/>
  <c r="V447" i="1"/>
  <c r="V452" i="1"/>
  <c r="W449" i="1"/>
  <c r="W451" i="1" s="1"/>
  <c r="V456" i="1"/>
  <c r="P473" i="1"/>
  <c r="V364" i="1"/>
  <c r="W359" i="1"/>
  <c r="W363" i="1" s="1"/>
  <c r="V363" i="1"/>
  <c r="V394" i="1"/>
  <c r="V397" i="1"/>
  <c r="W396" i="1"/>
  <c r="W397" i="1" s="1"/>
  <c r="V398" i="1"/>
  <c r="V401" i="1"/>
  <c r="W400" i="1"/>
  <c r="W401" i="1" s="1"/>
  <c r="V402" i="1"/>
  <c r="Q473" i="1"/>
  <c r="V415" i="1"/>
  <c r="W406" i="1"/>
  <c r="W415" i="1" s="1"/>
  <c r="V416" i="1"/>
  <c r="V421" i="1"/>
  <c r="W418" i="1"/>
  <c r="W420" i="1" s="1"/>
  <c r="V435" i="1"/>
  <c r="V442" i="1"/>
  <c r="W439" i="1"/>
  <c r="W441" i="1" s="1"/>
  <c r="V457" i="1"/>
  <c r="S473" i="1"/>
  <c r="V461" i="1"/>
  <c r="W460" i="1"/>
  <c r="W461" i="1" s="1"/>
  <c r="V462" i="1"/>
  <c r="R473" i="1"/>
  <c r="V467" i="1" l="1"/>
  <c r="W468" i="1"/>
  <c r="V463" i="1"/>
  <c r="V466" i="1"/>
</calcChain>
</file>

<file path=xl/sharedStrings.xml><?xml version="1.0" encoding="utf-8"?>
<sst xmlns="http://schemas.openxmlformats.org/spreadsheetml/2006/main" count="1692" uniqueCount="648">
  <si>
    <t xml:space="preserve">  БЛАНК ЗАКАЗА </t>
  </si>
  <si>
    <t>КИ</t>
  </si>
  <si>
    <t>на отгрузку продукции с ООО Трейд-Сервис с</t>
  </si>
  <si>
    <t>04.09.2023</t>
  </si>
  <si>
    <t>бланк создан</t>
  </si>
  <si>
    <t>31.08.2023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</si>
  <si>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</si>
  <si>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</si>
  <si>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</si>
  <si>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</si>
  <si>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</si>
  <si>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</si>
  <si>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</si>
  <si>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</si>
  <si>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</si>
  <si>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</si>
  <si>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</si>
  <si>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</si>
  <si>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</si>
  <si>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</si>
  <si>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</si>
  <si>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</si>
  <si>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</si>
  <si>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</si>
  <si>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</si>
  <si>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</si>
  <si>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</si>
  <si>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</si>
  <si>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</si>
  <si>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</si>
  <si>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</si>
  <si>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</si>
  <si>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</si>
  <si>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</si>
  <si>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</si>
  <si>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</si>
  <si>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</si>
  <si>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</si>
  <si>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</si>
  <si>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</si>
  <si>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</si>
  <si>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</si>
  <si>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</si>
  <si>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</si>
  <si>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</si>
  <si>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</si>
  <si>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</si>
  <si>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</si>
  <si>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</si>
  <si>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</si>
  <si>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</si>
  <si>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</si>
  <si>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</si>
  <si>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</si>
  <si>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</si>
  <si>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</si>
  <si>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</si>
  <si>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</si>
  <si>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</si>
  <si>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</si>
  <si>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</si>
  <si>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</si>
  <si>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</si>
  <si>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</si>
  <si>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</si>
  <si>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</si>
  <si>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</si>
  <si>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</si>
  <si>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</si>
  <si>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</si>
  <si>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</si>
  <si>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</si>
  <si>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</si>
  <si>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</si>
  <si>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</si>
  <si>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</si>
  <si>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</si>
  <si>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</si>
  <si>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</si>
  <si>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</si>
  <si>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</si>
  <si>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</si>
  <si>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</si>
  <si>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</si>
  <si>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</si>
  <si>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</si>
  <si>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</si>
  <si>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</si>
  <si>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</si>
  <si>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</si>
  <si>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</si>
  <si>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</si>
  <si>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</si>
  <si>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</si>
  <si>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</si>
  <si>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</si>
  <si>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</si>
  <si>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</si>
  <si>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</si>
  <si>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</si>
  <si>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</si>
  <si>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</si>
  <si>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</si>
  <si>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</si>
  <si>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</si>
  <si>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</si>
  <si>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</si>
  <si>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</si>
  <si>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</si>
  <si>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P002478</t>
  </si>
  <si>
    <t>SU000722</t>
  </si>
  <si>
    <t>P003011</t>
  </si>
  <si>
    <t>SU002830</t>
  </si>
  <si>
    <t>P003239</t>
  </si>
  <si>
    <t>СК4</t>
  </si>
  <si>
    <t>SU001904</t>
  </si>
  <si>
    <t>P001681</t>
  </si>
  <si>
    <t>SU002928</t>
  </si>
  <si>
    <t>P003357</t>
  </si>
  <si>
    <t>SU000125</t>
  </si>
  <si>
    <t>P002479</t>
  </si>
  <si>
    <t>SU001485</t>
  </si>
  <si>
    <t>P003008</t>
  </si>
  <si>
    <t>СК3</t>
  </si>
  <si>
    <t>SU002986</t>
  </si>
  <si>
    <t>P003429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</si>
  <si>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</si>
  <si>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</si>
  <si>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</si>
  <si>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</si>
  <si>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</si>
  <si>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</si>
  <si>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</si>
  <si>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</si>
  <si>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</si>
  <si>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</si>
  <si>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</si>
  <si>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</si>
  <si>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</si>
  <si>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</si>
  <si>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</si>
  <si>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</si>
  <si>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SU001944</t>
  </si>
  <si>
    <t>P001620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</si>
  <si>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</si>
  <si>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</si>
  <si>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</si>
  <si>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</si>
  <si>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</si>
  <si>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</si>
  <si>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</si>
  <si>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</si>
  <si>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SU003037</t>
  </si>
  <si>
    <t>P003575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</si>
  <si>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</si>
  <si>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</si>
  <si>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</si>
  <si>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</si>
  <si>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</si>
  <si>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</si>
  <si>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</si>
  <si>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</si>
  <si>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</si>
  <si>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</si>
  <si>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</si>
  <si>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</si>
  <si>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</si>
  <si>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</si>
  <si>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</si>
  <si>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</si>
  <si>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</si>
  <si>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</si>
  <si>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</si>
  <si>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</si>
  <si>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</si>
  <si>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</si>
  <si>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</si>
  <si>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</si>
  <si>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</si>
  <si>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</si>
  <si>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</si>
  <si>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</si>
  <si>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</si>
  <si>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</si>
  <si>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</si>
  <si>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</si>
  <si>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</si>
  <si>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</si>
  <si>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</si>
  <si>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</si>
  <si>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</si>
  <si>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</si>
  <si>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</si>
  <si>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</si>
  <si>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</si>
  <si>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Сардельки</t>
  </si>
  <si>
    <t>SU002071</t>
  </si>
  <si>
    <t>P002233</t>
  </si>
  <si>
    <t>SU002835</t>
  </si>
  <si>
    <t>P003237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</si>
  <si>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</si>
  <si>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</si>
  <si>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</si>
  <si>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</si>
  <si>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</si>
  <si>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</si>
  <si>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</si>
  <si>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</si>
  <si>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</si>
  <si>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</si>
  <si>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</si>
  <si>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</si>
  <si>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</si>
  <si>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</si>
  <si>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</si>
  <si>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</si>
  <si>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</si>
  <si>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</si>
  <si>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</si>
  <si>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</si>
  <si>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</si>
  <si>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</si>
  <si>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</si>
  <si>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</si>
  <si>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</si>
  <si>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</si>
  <si>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</si>
  <si>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</si>
  <si>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</si>
  <si>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</si>
  <si>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</si>
  <si>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</si>
  <si>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</si>
  <si>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</si>
  <si>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</si>
  <si>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</si>
  <si>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</si>
  <si>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</si>
  <si>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</si>
  <si>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</si>
  <si>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</si>
  <si>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</si>
  <si>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</si>
  <si>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</si>
  <si>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</si>
  <si>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</si>
  <si>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</si>
  <si>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</si>
  <si>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</si>
  <si>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</si>
  <si>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</si>
  <si>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</si>
  <si>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</si>
  <si>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</si>
  <si>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</si>
  <si>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</si>
  <si>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</si>
  <si>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</si>
  <si>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</si>
  <si>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</si>
  <si>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P003404</t>
  </si>
  <si>
    <t>SU002843</t>
  </si>
  <si>
    <t>P003263</t>
  </si>
  <si>
    <t>SU002858</t>
  </si>
  <si>
    <t>P003322</t>
  </si>
  <si>
    <t>SU002795</t>
  </si>
  <si>
    <t>P003203</t>
  </si>
  <si>
    <t>SU002845</t>
  </si>
  <si>
    <t>P003266</t>
  </si>
  <si>
    <t>SU002801</t>
  </si>
  <si>
    <t>P003200</t>
  </si>
  <si>
    <t>SU002802</t>
  </si>
  <si>
    <t>P003321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</si>
  <si>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</si>
  <si>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</si>
  <si>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</si>
  <si>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</si>
  <si>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</si>
  <si>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</si>
  <si>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</si>
  <si>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</si>
  <si>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</si>
  <si>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</si>
  <si>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</si>
  <si>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</si>
  <si>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</si>
  <si>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</si>
  <si>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</si>
  <si>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</si>
  <si>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</si>
  <si>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</si>
  <si>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</si>
  <si>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</si>
  <si>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</si>
  <si>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</si>
  <si>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</si>
  <si>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</si>
  <si>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</si>
  <si>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</si>
  <si>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</si>
  <si>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</si>
  <si>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</si>
  <si>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</si>
  <si>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</si>
  <si>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</si>
  <si>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</si>
  <si>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</si>
  <si>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</si>
  <si>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</si>
  <si>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</si>
  <si>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</si>
  <si>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</si>
  <si>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</si>
  <si>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</si>
  <si>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</si>
  <si>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</si>
  <si>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</si>
  <si>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</si>
  <si>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</si>
  <si>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</si>
  <si>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</si>
  <si>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</si>
  <si>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</si>
  <si>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</si>
  <si>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</si>
  <si>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</si>
  <si>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</si>
  <si>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</si>
  <si>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</si>
  <si>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</si>
  <si>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</si>
  <si>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</si>
  <si>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</si>
  <si>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</si>
  <si>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</si>
  <si>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</si>
  <si>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</si>
  <si>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</si>
  <si>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</si>
  <si>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</si>
  <si>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</si>
  <si>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</si>
  <si>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</si>
  <si>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</si>
  <si>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</si>
  <si>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</si>
  <si>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</si>
  <si>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</si>
  <si>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</si>
  <si>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</si>
  <si>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</si>
  <si>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</si>
  <si>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</si>
  <si>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SU002691</t>
  </si>
  <si>
    <t>P003055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</si>
  <si>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</si>
  <si>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</si>
  <si>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</si>
  <si>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</si>
  <si>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</si>
  <si>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</si>
  <si>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</si>
  <si>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</si>
  <si>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</si>
  <si>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</si>
  <si>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</si>
  <si>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</si>
  <si>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</si>
  <si>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</si>
  <si>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</si>
  <si>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</si>
  <si>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</si>
  <si>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</si>
  <si>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</si>
  <si>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</si>
  <si>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</si>
  <si>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</si>
  <si>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</si>
  <si>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</si>
  <si>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</si>
  <si>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</si>
  <si>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</si>
  <si>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</si>
  <si>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</si>
  <si>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</si>
  <si>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</si>
  <si>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</si>
  <si>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</si>
  <si>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</si>
  <si>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SU002061</t>
  </si>
  <si>
    <t>P002232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</si>
  <si>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</si>
  <si>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</si>
  <si>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</si>
  <si>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</si>
  <si>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</si>
  <si>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</si>
  <si>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</si>
  <si>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</si>
  <si>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</si>
  <si>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</si>
  <si>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</si>
  <si>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</si>
  <si>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</si>
  <si>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</si>
  <si>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</si>
  <si>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</si>
  <si>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</si>
  <si>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</si>
  <si>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</si>
  <si>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</si>
  <si>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</si>
  <si>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</si>
  <si>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</si>
  <si>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</si>
  <si>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</si>
  <si>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</si>
  <si>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</si>
  <si>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</si>
  <si>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</si>
  <si>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</si>
  <si>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</si>
  <si>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</si>
  <si>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SU002364</t>
  </si>
  <si>
    <t>P002633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</si>
  <si>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</si>
  <si>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</si>
  <si>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</si>
  <si>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</si>
  <si>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</si>
  <si>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</si>
  <si>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</si>
  <si>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</si>
  <si>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</si>
  <si>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</si>
  <si>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</si>
  <si>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</si>
  <si>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</si>
  <si>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</si>
  <si>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</si>
  <si>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</si>
  <si>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</si>
  <si>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</si>
  <si>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</si>
  <si>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</si>
  <si>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</si>
  <si>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</si>
  <si>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</si>
  <si>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</si>
  <si>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</si>
  <si>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</si>
  <si>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</si>
  <si>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</si>
  <si>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</si>
  <si>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</si>
  <si>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</si>
  <si>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</si>
  <si>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</si>
  <si>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</si>
  <si>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</si>
  <si>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</si>
  <si>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</si>
  <si>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</si>
  <si>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</si>
  <si>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</si>
  <si>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</si>
  <si>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</si>
  <si>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</si>
  <si>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</si>
  <si>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</si>
  <si>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</si>
  <si>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</si>
  <si>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</si>
  <si>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</si>
  <si>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</si>
  <si>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</si>
  <si>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</si>
  <si>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</si>
  <si>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</si>
  <si>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</si>
  <si>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</si>
  <si>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</si>
  <si>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</si>
  <si>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</si>
  <si>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</si>
  <si>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</si>
  <si>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</si>
  <si>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</si>
  <si>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</si>
  <si>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</si>
  <si>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</si>
  <si>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</si>
  <si>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</si>
  <si>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</si>
  <si>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</si>
  <si>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</si>
  <si>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</si>
  <si>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</si>
  <si>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</si>
  <si>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</si>
  <si>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</si>
  <si>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</si>
  <si>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Сыровяленые колбасы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</si>
  <si>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</si>
  <si>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</si>
  <si>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</si>
  <si>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</si>
  <si>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</si>
  <si>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</si>
  <si>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</si>
  <si>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</si>
  <si>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</si>
  <si>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</si>
  <si>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</si>
  <si>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</si>
  <si>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</si>
  <si>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</si>
  <si>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</si>
  <si>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</si>
  <si>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</si>
  <si>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</si>
  <si>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</si>
  <si>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</si>
  <si>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</si>
  <si>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</si>
  <si>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</si>
  <si>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</si>
  <si>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</si>
  <si>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</si>
  <si>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</si>
  <si>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</si>
  <si>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</si>
  <si>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</si>
  <si>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</si>
  <si>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</si>
  <si>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</si>
  <si>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</si>
  <si>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</si>
  <si>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</si>
  <si>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</si>
  <si>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</si>
  <si>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</si>
  <si>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</si>
  <si>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</si>
  <si>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</si>
  <si>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</si>
  <si>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</si>
  <si>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</si>
  <si>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</si>
  <si>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</si>
  <si>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</si>
  <si>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</si>
  <si>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</si>
  <si>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</si>
  <si>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</si>
  <si>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</si>
  <si>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</si>
  <si>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</si>
  <si>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</si>
  <si>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</si>
  <si>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</si>
  <si>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</si>
  <si>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</si>
  <si>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</si>
  <si>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</si>
  <si>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</si>
  <si>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</si>
  <si>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</si>
  <si>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</si>
  <si>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</si>
  <si>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</si>
  <si>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</si>
  <si>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</si>
  <si>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</si>
  <si>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</si>
  <si>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</si>
  <si>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</si>
  <si>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</si>
  <si>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SU002806</t>
  </si>
  <si>
    <t>P003207</t>
  </si>
  <si>
    <t>SU002811</t>
  </si>
  <si>
    <t>P003208</t>
  </si>
  <si>
    <t>SU002805</t>
  </si>
  <si>
    <t>P003206</t>
  </si>
  <si>
    <t>SU002809</t>
  </si>
  <si>
    <t>P003216</t>
  </si>
  <si>
    <t>SU002803</t>
  </si>
  <si>
    <t>P003204</t>
  </si>
  <si>
    <t>SU002804</t>
  </si>
  <si>
    <t>P003205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</si>
  <si>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</si>
  <si>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</si>
  <si>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</si>
  <si>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</si>
  <si>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</si>
  <si>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</si>
  <si>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</si>
  <si>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</si>
  <si>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</si>
  <si>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</si>
  <si>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</si>
  <si>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</si>
  <si>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</si>
  <si>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</si>
  <si>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</si>
  <si>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</si>
  <si>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</si>
  <si>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</si>
  <si>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</si>
  <si>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</si>
  <si>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</si>
  <si>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</si>
  <si>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</si>
  <si>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</si>
  <si>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</si>
  <si>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</si>
  <si>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</si>
  <si>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</si>
  <si>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</si>
  <si>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</si>
  <si>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Строительный пер, д. 10А,</t>
  </si>
  <si>
    <t>590704_7</t>
  </si>
  <si>
    <t>6</t>
  </si>
  <si>
    <t>ЛП, ООО, Краснодарский край, Краснодар г, им Вишняковой проезд, д. 1/5,</t>
  </si>
  <si>
    <t>590704_8</t>
  </si>
  <si>
    <t>7</t>
  </si>
  <si>
    <t>ЛП, ООО, Ростовская обл, Ростов-на-Дону г, Фермерский пер, д. 66, литер Д,</t>
  </si>
  <si>
    <t>590704_9</t>
  </si>
  <si>
    <t>8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</si>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</sst>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7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49" fontId="36" fillId="0" borderId="24" xfId="0" applyNumberFormat="1" applyFont="1" applyBorder="1" applyAlignment="1">
      <alignment horizontal="center" vertical="center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59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0" fillId="0" borderId="40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0" fillId="0" borderId="41" xfId="0" applyBorder="1" applyProtection="1"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Z473"/>
  <sheetViews>
    <sheetView showGridLines="0" tabSelected="1" topLeftCell="F1" zoomScaleNormal="100" zoomScaleSheetLayoutView="100" workbookViewId="0">
      <selection activeCell="U22" sqref="U22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299" customFormat="1" ht="45" customHeight="1" x14ac:dyDescent="0.2">
      <c r="A1" s="42"/>
      <c r="B1" s="42"/>
      <c r="C1" s="42"/>
      <c r="D1" s="309" t="s">
        <v>0</v>
      </c>
      <c r="E1" s="310"/>
      <c r="F1" s="310"/>
      <c r="G1" s="13" t="s">
        <v>1</v>
      </c>
      <c r="H1" s="309" t="s">
        <v>2</v>
      </c>
      <c r="I1" s="310"/>
      <c r="J1" s="310"/>
      <c r="K1" s="310"/>
      <c r="L1" s="310"/>
      <c r="M1" s="310"/>
      <c r="N1" s="310"/>
      <c r="O1" s="311" t="s">
        <v>3</v>
      </c>
      <c r="P1" s="310"/>
      <c r="Q1" s="310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299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31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13"/>
      <c r="O2" s="313"/>
      <c r="P2" s="313"/>
      <c r="Q2" s="313"/>
      <c r="R2" s="313"/>
      <c r="S2" s="313"/>
      <c r="T2" s="313"/>
      <c r="U2" s="17"/>
      <c r="V2" s="17"/>
      <c r="W2" s="17"/>
      <c r="X2" s="17"/>
      <c r="Y2" s="52"/>
      <c r="Z2" s="52"/>
      <c r="AA2" s="52"/>
    </row>
    <row r="3" spans="1:28" s="299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13"/>
      <c r="N3" s="313"/>
      <c r="O3" s="313"/>
      <c r="P3" s="313"/>
      <c r="Q3" s="313"/>
      <c r="R3" s="313"/>
      <c r="S3" s="313"/>
      <c r="T3" s="313"/>
      <c r="U3" s="17"/>
      <c r="V3" s="17"/>
      <c r="W3" s="17"/>
      <c r="X3" s="17"/>
      <c r="Y3" s="52"/>
      <c r="Z3" s="52"/>
      <c r="AA3" s="52"/>
    </row>
    <row r="4" spans="1:28" s="299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299" customFormat="1" ht="23.45" customHeight="1" x14ac:dyDescent="0.2">
      <c r="A5" s="314" t="s">
        <v>8</v>
      </c>
      <c r="B5" s="315"/>
      <c r="C5" s="316"/>
      <c r="D5" s="317"/>
      <c r="E5" s="318"/>
      <c r="F5" s="319" t="s">
        <v>9</v>
      </c>
      <c r="G5" s="316"/>
      <c r="H5" s="317"/>
      <c r="I5" s="320"/>
      <c r="J5" s="320"/>
      <c r="K5" s="318"/>
      <c r="M5" s="25" t="s">
        <v>10</v>
      </c>
      <c r="N5" s="321">
        <v>45177</v>
      </c>
      <c r="O5" s="322"/>
      <c r="Q5" s="323" t="s">
        <v>11</v>
      </c>
      <c r="R5" s="324"/>
      <c r="S5" s="325" t="s">
        <v>12</v>
      </c>
      <c r="T5" s="322"/>
      <c r="Y5" s="52"/>
      <c r="Z5" s="52"/>
      <c r="AA5" s="52"/>
    </row>
    <row r="6" spans="1:28" s="299" customFormat="1" ht="24" customHeight="1" x14ac:dyDescent="0.2">
      <c r="A6" s="314" t="s">
        <v>13</v>
      </c>
      <c r="B6" s="315"/>
      <c r="C6" s="316"/>
      <c r="D6" s="326" t="s">
        <v>620</v>
      </c>
      <c r="E6" s="327"/>
      <c r="F6" s="327"/>
      <c r="G6" s="327"/>
      <c r="H6" s="327"/>
      <c r="I6" s="327"/>
      <c r="J6" s="327"/>
      <c r="K6" s="322"/>
      <c r="M6" s="25" t="s">
        <v>15</v>
      </c>
      <c r="N6" s="328" t="str">
        <f>IF(N5=0," ",CHOOSE(WEEKDAY(N5,2),"Понедельник","Вторник","Среда","Четверг","Пятница","Суббота","Воскресенье"))</f>
        <v>Пятница</v>
      </c>
      <c r="O6" s="329"/>
      <c r="Q6" s="330" t="s">
        <v>16</v>
      </c>
      <c r="R6" s="324"/>
      <c r="S6" s="331" t="s">
        <v>17</v>
      </c>
      <c r="T6" s="332"/>
      <c r="Y6" s="52"/>
      <c r="Z6" s="52"/>
      <c r="AA6" s="52"/>
    </row>
    <row r="7" spans="1:28" s="299" customFormat="1" ht="21.75" hidden="1" customHeight="1" x14ac:dyDescent="0.2">
      <c r="A7" s="56"/>
      <c r="B7" s="56"/>
      <c r="C7" s="56"/>
      <c r="D7" s="337" t="str">
        <f>IFERROR(VLOOKUP(DeliveryAddress,Table,3,0),1)</f>
        <v>6</v>
      </c>
      <c r="E7" s="338"/>
      <c r="F7" s="338"/>
      <c r="G7" s="338"/>
      <c r="H7" s="338"/>
      <c r="I7" s="338"/>
      <c r="J7" s="338"/>
      <c r="K7" s="339"/>
      <c r="M7" s="25"/>
      <c r="N7" s="43"/>
      <c r="O7" s="43"/>
      <c r="Q7" s="313"/>
      <c r="R7" s="324"/>
      <c r="S7" s="333"/>
      <c r="T7" s="334"/>
      <c r="Y7" s="52"/>
      <c r="Z7" s="52"/>
      <c r="AA7" s="52"/>
    </row>
    <row r="8" spans="1:28" s="299" customFormat="1" ht="25.5" customHeight="1" x14ac:dyDescent="0.2">
      <c r="A8" s="340" t="s">
        <v>18</v>
      </c>
      <c r="B8" s="341"/>
      <c r="C8" s="342"/>
      <c r="D8" s="343"/>
      <c r="E8" s="344"/>
      <c r="F8" s="344"/>
      <c r="G8" s="344"/>
      <c r="H8" s="344"/>
      <c r="I8" s="344"/>
      <c r="J8" s="344"/>
      <c r="K8" s="345"/>
      <c r="M8" s="25" t="s">
        <v>19</v>
      </c>
      <c r="N8" s="346">
        <v>0.41666666666666669</v>
      </c>
      <c r="O8" s="322"/>
      <c r="Q8" s="313"/>
      <c r="R8" s="324"/>
      <c r="S8" s="333"/>
      <c r="T8" s="334"/>
      <c r="Y8" s="52"/>
      <c r="Z8" s="52"/>
      <c r="AA8" s="52"/>
    </row>
    <row r="9" spans="1:28" s="299" customFormat="1" ht="39.950000000000003" customHeight="1" x14ac:dyDescent="0.2">
      <c r="A9" s="34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3"/>
      <c r="C9" s="313"/>
      <c r="D9" s="348"/>
      <c r="E9" s="349"/>
      <c r="F9" s="34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3"/>
      <c r="H9" s="350" t="str">
        <f>IF(AND($A$9="Тип доверенности/получателя при получении в адресе перегруза:",$D$9="Разовая доверенность"),"Введите ФИО","")</f>
        <v/>
      </c>
      <c r="I9" s="349"/>
      <c r="J9" s="35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49"/>
      <c r="M9" s="27" t="s">
        <v>20</v>
      </c>
      <c r="N9" s="321"/>
      <c r="O9" s="322"/>
      <c r="Q9" s="313"/>
      <c r="R9" s="324"/>
      <c r="S9" s="335"/>
      <c r="T9" s="336"/>
      <c r="U9" s="44"/>
      <c r="V9" s="44"/>
      <c r="W9" s="44"/>
      <c r="X9" s="44"/>
      <c r="Y9" s="52"/>
      <c r="Z9" s="52"/>
      <c r="AA9" s="52"/>
    </row>
    <row r="10" spans="1:28" s="299" customFormat="1" ht="26.45" customHeight="1" x14ac:dyDescent="0.2">
      <c r="A10" s="34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3"/>
      <c r="C10" s="313"/>
      <c r="D10" s="348"/>
      <c r="E10" s="349"/>
      <c r="F10" s="34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3"/>
      <c r="H10" s="351" t="str">
        <f>IFERROR(VLOOKUP($D$10,Proxy,2,FALSE),"")</f>
        <v/>
      </c>
      <c r="I10" s="313"/>
      <c r="J10" s="313"/>
      <c r="K10" s="313"/>
      <c r="M10" s="27" t="s">
        <v>21</v>
      </c>
      <c r="N10" s="346"/>
      <c r="O10" s="322"/>
      <c r="R10" s="25" t="s">
        <v>22</v>
      </c>
      <c r="S10" s="352" t="s">
        <v>23</v>
      </c>
      <c r="T10" s="332"/>
      <c r="U10" s="45"/>
      <c r="V10" s="45"/>
      <c r="W10" s="45"/>
      <c r="X10" s="45"/>
      <c r="Y10" s="52"/>
      <c r="Z10" s="52"/>
      <c r="AA10" s="52"/>
    </row>
    <row r="11" spans="1:28" s="299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346"/>
      <c r="O11" s="322"/>
      <c r="R11" s="25" t="s">
        <v>26</v>
      </c>
      <c r="S11" s="353" t="s">
        <v>27</v>
      </c>
      <c r="T11" s="354"/>
      <c r="U11" s="46"/>
      <c r="V11" s="46"/>
      <c r="W11" s="46"/>
      <c r="X11" s="46"/>
      <c r="Y11" s="52"/>
      <c r="Z11" s="52"/>
      <c r="AA11" s="52"/>
    </row>
    <row r="12" spans="1:28" s="299" customFormat="1" ht="18.600000000000001" customHeight="1" x14ac:dyDescent="0.2">
      <c r="A12" s="355" t="s">
        <v>28</v>
      </c>
      <c r="B12" s="315"/>
      <c r="C12" s="315"/>
      <c r="D12" s="315"/>
      <c r="E12" s="315"/>
      <c r="F12" s="315"/>
      <c r="G12" s="315"/>
      <c r="H12" s="315"/>
      <c r="I12" s="315"/>
      <c r="J12" s="315"/>
      <c r="K12" s="316"/>
      <c r="M12" s="25" t="s">
        <v>29</v>
      </c>
      <c r="N12" s="356"/>
      <c r="O12" s="339"/>
      <c r="P12" s="24"/>
      <c r="R12" s="25"/>
      <c r="S12" s="310"/>
      <c r="T12" s="313"/>
      <c r="Y12" s="52"/>
      <c r="Z12" s="52"/>
      <c r="AA12" s="52"/>
    </row>
    <row r="13" spans="1:28" s="299" customFormat="1" ht="23.25" customHeight="1" x14ac:dyDescent="0.2">
      <c r="A13" s="355" t="s">
        <v>30</v>
      </c>
      <c r="B13" s="315"/>
      <c r="C13" s="315"/>
      <c r="D13" s="315"/>
      <c r="E13" s="315"/>
      <c r="F13" s="315"/>
      <c r="G13" s="315"/>
      <c r="H13" s="315"/>
      <c r="I13" s="315"/>
      <c r="J13" s="315"/>
      <c r="K13" s="316"/>
      <c r="L13" s="27"/>
      <c r="M13" s="27" t="s">
        <v>31</v>
      </c>
      <c r="N13" s="353"/>
      <c r="O13" s="354"/>
      <c r="P13" s="24"/>
      <c r="U13" s="50"/>
      <c r="V13" s="50"/>
      <c r="W13" s="50"/>
      <c r="X13" s="50"/>
      <c r="Y13" s="52"/>
      <c r="Z13" s="52"/>
      <c r="AA13" s="52"/>
    </row>
    <row r="14" spans="1:28" s="299" customFormat="1" ht="18.600000000000001" customHeight="1" x14ac:dyDescent="0.2">
      <c r="A14" s="355" t="s">
        <v>32</v>
      </c>
      <c r="B14" s="315"/>
      <c r="C14" s="315"/>
      <c r="D14" s="315"/>
      <c r="E14" s="315"/>
      <c r="F14" s="315"/>
      <c r="G14" s="315"/>
      <c r="H14" s="315"/>
      <c r="I14" s="315"/>
      <c r="J14" s="315"/>
      <c r="K14" s="316"/>
      <c r="U14" s="51"/>
      <c r="V14" s="51"/>
      <c r="W14" s="51"/>
      <c r="X14" s="51"/>
      <c r="Y14" s="52"/>
      <c r="Z14" s="52"/>
      <c r="AA14" s="52"/>
    </row>
    <row r="15" spans="1:28" s="299" customFormat="1" ht="22.5" customHeight="1" x14ac:dyDescent="0.2">
      <c r="A15" s="357" t="s">
        <v>33</v>
      </c>
      <c r="B15" s="315"/>
      <c r="C15" s="315"/>
      <c r="D15" s="315"/>
      <c r="E15" s="315"/>
      <c r="F15" s="315"/>
      <c r="G15" s="315"/>
      <c r="H15" s="315"/>
      <c r="I15" s="315"/>
      <c r="J15" s="315"/>
      <c r="K15" s="316"/>
      <c r="M15" s="358" t="s">
        <v>34</v>
      </c>
      <c r="N15" s="310"/>
      <c r="O15" s="310"/>
      <c r="P15" s="310"/>
      <c r="Q15" s="310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359"/>
      <c r="N16" s="359"/>
      <c r="O16" s="359"/>
      <c r="P16" s="359"/>
      <c r="Q16" s="359"/>
      <c r="R16" s="8"/>
      <c r="S16" s="8"/>
      <c r="T16" s="9"/>
      <c r="U16" s="10"/>
      <c r="V16" s="10"/>
      <c r="W16" s="10"/>
      <c r="X16" s="10"/>
      <c r="Y16" s="10"/>
    </row>
    <row r="17" spans="1:52" ht="27.75" customHeight="1" x14ac:dyDescent="0.2">
      <c r="A17" s="361" t="s">
        <v>35</v>
      </c>
      <c r="B17" s="361" t="s">
        <v>36</v>
      </c>
      <c r="C17" s="363" t="s">
        <v>37</v>
      </c>
      <c r="D17" s="361" t="s">
        <v>38</v>
      </c>
      <c r="E17" s="364"/>
      <c r="F17" s="361" t="s">
        <v>39</v>
      </c>
      <c r="G17" s="361" t="s">
        <v>40</v>
      </c>
      <c r="H17" s="361" t="s">
        <v>41</v>
      </c>
      <c r="I17" s="361" t="s">
        <v>42</v>
      </c>
      <c r="J17" s="361" t="s">
        <v>43</v>
      </c>
      <c r="K17" s="361" t="s">
        <v>44</v>
      </c>
      <c r="L17" s="361" t="s">
        <v>45</v>
      </c>
      <c r="M17" s="361" t="s">
        <v>46</v>
      </c>
      <c r="N17" s="367"/>
      <c r="O17" s="367"/>
      <c r="P17" s="367"/>
      <c r="Q17" s="364"/>
      <c r="R17" s="360" t="s">
        <v>47</v>
      </c>
      <c r="S17" s="316"/>
      <c r="T17" s="361" t="s">
        <v>48</v>
      </c>
      <c r="U17" s="361" t="s">
        <v>49</v>
      </c>
      <c r="V17" s="369" t="s">
        <v>50</v>
      </c>
      <c r="W17" s="361" t="s">
        <v>51</v>
      </c>
      <c r="X17" s="371" t="s">
        <v>52</v>
      </c>
      <c r="Y17" s="371" t="s">
        <v>53</v>
      </c>
      <c r="Z17" s="371" t="s">
        <v>54</v>
      </c>
      <c r="AA17" s="373"/>
      <c r="AB17" s="374"/>
      <c r="AC17" s="378"/>
      <c r="AZ17" s="380" t="s">
        <v>55</v>
      </c>
    </row>
    <row r="18" spans="1:52" ht="14.25" customHeight="1" x14ac:dyDescent="0.2">
      <c r="A18" s="362"/>
      <c r="B18" s="362"/>
      <c r="C18" s="362"/>
      <c r="D18" s="365"/>
      <c r="E18" s="366"/>
      <c r="F18" s="362"/>
      <c r="G18" s="362"/>
      <c r="H18" s="362"/>
      <c r="I18" s="362"/>
      <c r="J18" s="362"/>
      <c r="K18" s="362"/>
      <c r="L18" s="362"/>
      <c r="M18" s="365"/>
      <c r="N18" s="368"/>
      <c r="O18" s="368"/>
      <c r="P18" s="368"/>
      <c r="Q18" s="366"/>
      <c r="R18" s="300" t="s">
        <v>56</v>
      </c>
      <c r="S18" s="300" t="s">
        <v>57</v>
      </c>
      <c r="T18" s="362"/>
      <c r="U18" s="362"/>
      <c r="V18" s="370"/>
      <c r="W18" s="362"/>
      <c r="X18" s="372"/>
      <c r="Y18" s="372"/>
      <c r="Z18" s="375"/>
      <c r="AA18" s="376"/>
      <c r="AB18" s="377"/>
      <c r="AC18" s="379"/>
      <c r="AZ18" s="313"/>
    </row>
    <row r="19" spans="1:52" ht="27.75" customHeight="1" x14ac:dyDescent="0.2">
      <c r="A19" s="381" t="s">
        <v>58</v>
      </c>
      <c r="B19" s="382"/>
      <c r="C19" s="382"/>
      <c r="D19" s="382"/>
      <c r="E19" s="382"/>
      <c r="F19" s="382"/>
      <c r="G19" s="382"/>
      <c r="H19" s="382"/>
      <c r="I19" s="382"/>
      <c r="J19" s="382"/>
      <c r="K19" s="382"/>
      <c r="L19" s="382"/>
      <c r="M19" s="382"/>
      <c r="N19" s="382"/>
      <c r="O19" s="382"/>
      <c r="P19" s="382"/>
      <c r="Q19" s="382"/>
      <c r="R19" s="382"/>
      <c r="S19" s="382"/>
      <c r="T19" s="382"/>
      <c r="U19" s="382"/>
      <c r="V19" s="382"/>
      <c r="W19" s="382"/>
      <c r="X19" s="49"/>
      <c r="Y19" s="49"/>
    </row>
    <row r="20" spans="1:52" ht="16.5" customHeight="1" x14ac:dyDescent="0.25">
      <c r="A20" s="383" t="s">
        <v>58</v>
      </c>
      <c r="B20" s="313"/>
      <c r="C20" s="313"/>
      <c r="D20" s="313"/>
      <c r="E20" s="313"/>
      <c r="F20" s="313"/>
      <c r="G20" s="313"/>
      <c r="H20" s="313"/>
      <c r="I20" s="313"/>
      <c r="J20" s="313"/>
      <c r="K20" s="313"/>
      <c r="L20" s="313"/>
      <c r="M20" s="313"/>
      <c r="N20" s="313"/>
      <c r="O20" s="313"/>
      <c r="P20" s="313"/>
      <c r="Q20" s="313"/>
      <c r="R20" s="313"/>
      <c r="S20" s="313"/>
      <c r="T20" s="313"/>
      <c r="U20" s="313"/>
      <c r="V20" s="313"/>
      <c r="W20" s="313"/>
      <c r="X20" s="301"/>
      <c r="Y20" s="301"/>
    </row>
    <row r="21" spans="1:52" ht="14.25" customHeight="1" x14ac:dyDescent="0.25">
      <c r="A21" s="384" t="s">
        <v>59</v>
      </c>
      <c r="B21" s="313"/>
      <c r="C21" s="313"/>
      <c r="D21" s="313"/>
      <c r="E21" s="313"/>
      <c r="F21" s="313"/>
      <c r="G21" s="313"/>
      <c r="H21" s="313"/>
      <c r="I21" s="313"/>
      <c r="J21" s="313"/>
      <c r="K21" s="313"/>
      <c r="L21" s="313"/>
      <c r="M21" s="313"/>
      <c r="N21" s="313"/>
      <c r="O21" s="313"/>
      <c r="P21" s="313"/>
      <c r="Q21" s="313"/>
      <c r="R21" s="313"/>
      <c r="S21" s="313"/>
      <c r="T21" s="313"/>
      <c r="U21" s="313"/>
      <c r="V21" s="313"/>
      <c r="W21" s="313"/>
      <c r="X21" s="302"/>
      <c r="Y21" s="302"/>
    </row>
    <row r="22" spans="1:52" ht="27" customHeight="1" x14ac:dyDescent="0.25">
      <c r="A22" s="55" t="s">
        <v>60</v>
      </c>
      <c r="B22" s="55" t="s">
        <v>61</v>
      </c>
      <c r="C22" s="32">
        <v>4301031106</v>
      </c>
      <c r="D22" s="385">
        <v>4607091389258</v>
      </c>
      <c r="E22" s="329"/>
      <c r="F22" s="304">
        <v>0.3</v>
      </c>
      <c r="G22" s="33">
        <v>6</v>
      </c>
      <c r="H22" s="304">
        <v>1.8</v>
      </c>
      <c r="I22" s="304">
        <v>2</v>
      </c>
      <c r="J22" s="33">
        <v>156</v>
      </c>
      <c r="K22" s="34" t="s">
        <v>62</v>
      </c>
      <c r="L22" s="33">
        <v>35</v>
      </c>
      <c r="M22" s="386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87"/>
      <c r="O22" s="387"/>
      <c r="P22" s="387"/>
      <c r="Q22" s="329"/>
      <c r="R22" s="35"/>
      <c r="S22" s="35"/>
      <c r="T22" s="36" t="s">
        <v>63</v>
      </c>
      <c r="U22" s="305">
        <v>0</v>
      </c>
      <c r="V22" s="306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/>
      <c r="AZ22" s="60" t="s">
        <v>1</v>
      </c>
    </row>
    <row r="23" spans="1:52" x14ac:dyDescent="0.2">
      <c r="A23" s="389"/>
      <c r="B23" s="313"/>
      <c r="C23" s="313"/>
      <c r="D23" s="313"/>
      <c r="E23" s="313"/>
      <c r="F23" s="313"/>
      <c r="G23" s="313"/>
      <c r="H23" s="313"/>
      <c r="I23" s="313"/>
      <c r="J23" s="313"/>
      <c r="K23" s="313"/>
      <c r="L23" s="390"/>
      <c r="M23" s="388" t="s">
        <v>64</v>
      </c>
      <c r="N23" s="341"/>
      <c r="O23" s="341"/>
      <c r="P23" s="341"/>
      <c r="Q23" s="341"/>
      <c r="R23" s="341"/>
      <c r="S23" s="342"/>
      <c r="T23" s="38" t="s">
        <v>65</v>
      </c>
      <c r="U23" s="307">
        <f>IFERROR(U22/H22,"0")</f>
        <v>0</v>
      </c>
      <c r="V23" s="307">
        <f>IFERROR(V22/H22,"0")</f>
        <v>0</v>
      </c>
      <c r="W23" s="307">
        <f>IFERROR(IF(W22="",0,W22),"0")</f>
        <v>0</v>
      </c>
      <c r="X23" s="308"/>
      <c r="Y23" s="308"/>
    </row>
    <row r="24" spans="1:52" x14ac:dyDescent="0.2">
      <c r="A24" s="313"/>
      <c r="B24" s="313"/>
      <c r="C24" s="313"/>
      <c r="D24" s="313"/>
      <c r="E24" s="313"/>
      <c r="F24" s="313"/>
      <c r="G24" s="313"/>
      <c r="H24" s="313"/>
      <c r="I24" s="313"/>
      <c r="J24" s="313"/>
      <c r="K24" s="313"/>
      <c r="L24" s="390"/>
      <c r="M24" s="388" t="s">
        <v>64</v>
      </c>
      <c r="N24" s="341"/>
      <c r="O24" s="341"/>
      <c r="P24" s="341"/>
      <c r="Q24" s="341"/>
      <c r="R24" s="341"/>
      <c r="S24" s="342"/>
      <c r="T24" s="38" t="s">
        <v>63</v>
      </c>
      <c r="U24" s="307">
        <f>IFERROR(SUM(U22:U22),"0")</f>
        <v>0</v>
      </c>
      <c r="V24" s="307">
        <f>IFERROR(SUM(V22:V22),"0")</f>
        <v>0</v>
      </c>
      <c r="W24" s="38"/>
      <c r="X24" s="308"/>
      <c r="Y24" s="308"/>
    </row>
    <row r="25" spans="1:52" ht="14.25" customHeight="1" x14ac:dyDescent="0.25">
      <c r="A25" s="384" t="s">
        <v>66</v>
      </c>
      <c r="B25" s="313"/>
      <c r="C25" s="313"/>
      <c r="D25" s="313"/>
      <c r="E25" s="313"/>
      <c r="F25" s="313"/>
      <c r="G25" s="313"/>
      <c r="H25" s="313"/>
      <c r="I25" s="313"/>
      <c r="J25" s="313"/>
      <c r="K25" s="313"/>
      <c r="L25" s="313"/>
      <c r="M25" s="313"/>
      <c r="N25" s="313"/>
      <c r="O25" s="313"/>
      <c r="P25" s="313"/>
      <c r="Q25" s="313"/>
      <c r="R25" s="313"/>
      <c r="S25" s="313"/>
      <c r="T25" s="313"/>
      <c r="U25" s="313"/>
      <c r="V25" s="313"/>
      <c r="W25" s="313"/>
      <c r="X25" s="302"/>
      <c r="Y25" s="302"/>
    </row>
    <row r="26" spans="1:52" ht="27" customHeight="1" x14ac:dyDescent="0.25">
      <c r="A26" s="55" t="s">
        <v>67</v>
      </c>
      <c r="B26" s="55" t="s">
        <v>68</v>
      </c>
      <c r="C26" s="32">
        <v>4301051176</v>
      </c>
      <c r="D26" s="385">
        <v>4607091383881</v>
      </c>
      <c r="E26" s="329"/>
      <c r="F26" s="304">
        <v>0.33</v>
      </c>
      <c r="G26" s="33">
        <v>6</v>
      </c>
      <c r="H26" s="304">
        <v>1.98</v>
      </c>
      <c r="I26" s="304">
        <v>2.246</v>
      </c>
      <c r="J26" s="33">
        <v>156</v>
      </c>
      <c r="K26" s="34" t="s">
        <v>62</v>
      </c>
      <c r="L26" s="33">
        <v>35</v>
      </c>
      <c r="M26" s="391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87"/>
      <c r="O26" s="387"/>
      <c r="P26" s="387"/>
      <c r="Q26" s="329"/>
      <c r="R26" s="35"/>
      <c r="S26" s="35"/>
      <c r="T26" s="36" t="s">
        <v>63</v>
      </c>
      <c r="U26" s="305">
        <v>0</v>
      </c>
      <c r="V26" s="306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59"/>
      <c r="AZ26" s="61" t="s">
        <v>1</v>
      </c>
    </row>
    <row r="27" spans="1:52" ht="27" customHeight="1" x14ac:dyDescent="0.25">
      <c r="A27" s="55" t="s">
        <v>69</v>
      </c>
      <c r="B27" s="55" t="s">
        <v>70</v>
      </c>
      <c r="C27" s="32">
        <v>4301051172</v>
      </c>
      <c r="D27" s="385">
        <v>4607091388237</v>
      </c>
      <c r="E27" s="329"/>
      <c r="F27" s="304">
        <v>0.42</v>
      </c>
      <c r="G27" s="33">
        <v>6</v>
      </c>
      <c r="H27" s="304">
        <v>2.52</v>
      </c>
      <c r="I27" s="304">
        <v>2.786</v>
      </c>
      <c r="J27" s="33">
        <v>156</v>
      </c>
      <c r="K27" s="34" t="s">
        <v>62</v>
      </c>
      <c r="L27" s="33">
        <v>35</v>
      </c>
      <c r="M27" s="392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87"/>
      <c r="O27" s="387"/>
      <c r="P27" s="387"/>
      <c r="Q27" s="329"/>
      <c r="R27" s="35"/>
      <c r="S27" s="35"/>
      <c r="T27" s="36" t="s">
        <v>63</v>
      </c>
      <c r="U27" s="305">
        <v>0</v>
      </c>
      <c r="V27" s="306">
        <f t="shared" si="0"/>
        <v>0</v>
      </c>
      <c r="W27" s="37" t="str">
        <f t="shared" si="1"/>
        <v/>
      </c>
      <c r="X27" s="57"/>
      <c r="Y27" s="58"/>
      <c r="AC27" s="59"/>
      <c r="AZ27" s="62" t="s">
        <v>1</v>
      </c>
    </row>
    <row r="28" spans="1:52" ht="27" customHeight="1" x14ac:dyDescent="0.25">
      <c r="A28" s="55" t="s">
        <v>71</v>
      </c>
      <c r="B28" s="55" t="s">
        <v>72</v>
      </c>
      <c r="C28" s="32">
        <v>4301051180</v>
      </c>
      <c r="D28" s="385">
        <v>4607091383935</v>
      </c>
      <c r="E28" s="329"/>
      <c r="F28" s="304">
        <v>0.33</v>
      </c>
      <c r="G28" s="33">
        <v>6</v>
      </c>
      <c r="H28" s="304">
        <v>1.98</v>
      </c>
      <c r="I28" s="304">
        <v>2.246</v>
      </c>
      <c r="J28" s="33">
        <v>156</v>
      </c>
      <c r="K28" s="34" t="s">
        <v>62</v>
      </c>
      <c r="L28" s="33">
        <v>30</v>
      </c>
      <c r="M28" s="393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87"/>
      <c r="O28" s="387"/>
      <c r="P28" s="387"/>
      <c r="Q28" s="329"/>
      <c r="R28" s="35"/>
      <c r="S28" s="35"/>
      <c r="T28" s="36" t="s">
        <v>63</v>
      </c>
      <c r="U28" s="305">
        <v>0</v>
      </c>
      <c r="V28" s="306">
        <f t="shared" si="0"/>
        <v>0</v>
      </c>
      <c r="W28" s="37" t="str">
        <f t="shared" si="1"/>
        <v/>
      </c>
      <c r="X28" s="57"/>
      <c r="Y28" s="58"/>
      <c r="AC28" s="59"/>
      <c r="AZ28" s="63" t="s">
        <v>1</v>
      </c>
    </row>
    <row r="29" spans="1:52" ht="27" customHeight="1" x14ac:dyDescent="0.25">
      <c r="A29" s="55" t="s">
        <v>73</v>
      </c>
      <c r="B29" s="55" t="s">
        <v>74</v>
      </c>
      <c r="C29" s="32">
        <v>4301051426</v>
      </c>
      <c r="D29" s="385">
        <v>4680115881853</v>
      </c>
      <c r="E29" s="329"/>
      <c r="F29" s="304">
        <v>0.33</v>
      </c>
      <c r="G29" s="33">
        <v>6</v>
      </c>
      <c r="H29" s="304">
        <v>1.98</v>
      </c>
      <c r="I29" s="304">
        <v>2.246</v>
      </c>
      <c r="J29" s="33">
        <v>156</v>
      </c>
      <c r="K29" s="34" t="s">
        <v>62</v>
      </c>
      <c r="L29" s="33">
        <v>30</v>
      </c>
      <c r="M29" s="394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87"/>
      <c r="O29" s="387"/>
      <c r="P29" s="387"/>
      <c r="Q29" s="329"/>
      <c r="R29" s="35"/>
      <c r="S29" s="35"/>
      <c r="T29" s="36" t="s">
        <v>63</v>
      </c>
      <c r="U29" s="305">
        <v>0</v>
      </c>
      <c r="V29" s="306">
        <f t="shared" si="0"/>
        <v>0</v>
      </c>
      <c r="W29" s="37" t="str">
        <f t="shared" si="1"/>
        <v/>
      </c>
      <c r="X29" s="57"/>
      <c r="Y29" s="58"/>
      <c r="AC29" s="59"/>
      <c r="AZ29" s="64" t="s">
        <v>1</v>
      </c>
    </row>
    <row r="30" spans="1:52" ht="27" customHeight="1" x14ac:dyDescent="0.25">
      <c r="A30" s="55" t="s">
        <v>75</v>
      </c>
      <c r="B30" s="55" t="s">
        <v>76</v>
      </c>
      <c r="C30" s="32">
        <v>4301051178</v>
      </c>
      <c r="D30" s="385">
        <v>4607091383911</v>
      </c>
      <c r="E30" s="329"/>
      <c r="F30" s="304">
        <v>0.33</v>
      </c>
      <c r="G30" s="33">
        <v>6</v>
      </c>
      <c r="H30" s="304">
        <v>1.98</v>
      </c>
      <c r="I30" s="304">
        <v>2.246</v>
      </c>
      <c r="J30" s="33">
        <v>156</v>
      </c>
      <c r="K30" s="34" t="s">
        <v>62</v>
      </c>
      <c r="L30" s="33">
        <v>35</v>
      </c>
      <c r="M30" s="395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87"/>
      <c r="O30" s="387"/>
      <c r="P30" s="387"/>
      <c r="Q30" s="329"/>
      <c r="R30" s="35"/>
      <c r="S30" s="35"/>
      <c r="T30" s="36" t="s">
        <v>63</v>
      </c>
      <c r="U30" s="305">
        <v>0</v>
      </c>
      <c r="V30" s="306">
        <f t="shared" si="0"/>
        <v>0</v>
      </c>
      <c r="W30" s="37" t="str">
        <f t="shared" si="1"/>
        <v/>
      </c>
      <c r="X30" s="57"/>
      <c r="Y30" s="58"/>
      <c r="AC30" s="59"/>
      <c r="AZ30" s="65" t="s">
        <v>1</v>
      </c>
    </row>
    <row r="31" spans="1:52" ht="27" customHeight="1" x14ac:dyDescent="0.25">
      <c r="A31" s="55" t="s">
        <v>77</v>
      </c>
      <c r="B31" s="55" t="s">
        <v>78</v>
      </c>
      <c r="C31" s="32">
        <v>4301051174</v>
      </c>
      <c r="D31" s="385">
        <v>4607091388244</v>
      </c>
      <c r="E31" s="329"/>
      <c r="F31" s="304">
        <v>0.42</v>
      </c>
      <c r="G31" s="33">
        <v>6</v>
      </c>
      <c r="H31" s="304">
        <v>2.52</v>
      </c>
      <c r="I31" s="304">
        <v>2.786</v>
      </c>
      <c r="J31" s="33">
        <v>156</v>
      </c>
      <c r="K31" s="34" t="s">
        <v>62</v>
      </c>
      <c r="L31" s="33">
        <v>35</v>
      </c>
      <c r="M31" s="396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87"/>
      <c r="O31" s="387"/>
      <c r="P31" s="387"/>
      <c r="Q31" s="329"/>
      <c r="R31" s="35"/>
      <c r="S31" s="35"/>
      <c r="T31" s="36" t="s">
        <v>63</v>
      </c>
      <c r="U31" s="305">
        <v>0</v>
      </c>
      <c r="V31" s="306">
        <f t="shared" si="0"/>
        <v>0</v>
      </c>
      <c r="W31" s="37" t="str">
        <f t="shared" si="1"/>
        <v/>
      </c>
      <c r="X31" s="57"/>
      <c r="Y31" s="58"/>
      <c r="AC31" s="59"/>
      <c r="AZ31" s="66" t="s">
        <v>1</v>
      </c>
    </row>
    <row r="32" spans="1:52" x14ac:dyDescent="0.2">
      <c r="A32" s="389"/>
      <c r="B32" s="313"/>
      <c r="C32" s="313"/>
      <c r="D32" s="313"/>
      <c r="E32" s="313"/>
      <c r="F32" s="313"/>
      <c r="G32" s="313"/>
      <c r="H32" s="313"/>
      <c r="I32" s="313"/>
      <c r="J32" s="313"/>
      <c r="K32" s="313"/>
      <c r="L32" s="390"/>
      <c r="M32" s="388" t="s">
        <v>64</v>
      </c>
      <c r="N32" s="341"/>
      <c r="O32" s="341"/>
      <c r="P32" s="341"/>
      <c r="Q32" s="341"/>
      <c r="R32" s="341"/>
      <c r="S32" s="342"/>
      <c r="T32" s="38" t="s">
        <v>65</v>
      </c>
      <c r="U32" s="307">
        <f>IFERROR(U26/H26,"0")+IFERROR(U27/H27,"0")+IFERROR(U28/H28,"0")+IFERROR(U29/H29,"0")+IFERROR(U30/H30,"0")+IFERROR(U31/H31,"0")</f>
        <v>0</v>
      </c>
      <c r="V32" s="307">
        <f>IFERROR(V26/H26,"0")+IFERROR(V27/H27,"0")+IFERROR(V28/H28,"0")+IFERROR(V29/H29,"0")+IFERROR(V30/H30,"0")+IFERROR(V31/H31,"0")</f>
        <v>0</v>
      </c>
      <c r="W32" s="307">
        <f>IFERROR(IF(W26="",0,W26),"0")+IFERROR(IF(W27="",0,W27),"0")+IFERROR(IF(W28="",0,W28),"0")+IFERROR(IF(W29="",0,W29),"0")+IFERROR(IF(W30="",0,W30),"0")+IFERROR(IF(W31="",0,W31),"0")</f>
        <v>0</v>
      </c>
      <c r="X32" s="308"/>
      <c r="Y32" s="308"/>
    </row>
    <row r="33" spans="1:52" x14ac:dyDescent="0.2">
      <c r="A33" s="313"/>
      <c r="B33" s="313"/>
      <c r="C33" s="313"/>
      <c r="D33" s="313"/>
      <c r="E33" s="313"/>
      <c r="F33" s="313"/>
      <c r="G33" s="313"/>
      <c r="H33" s="313"/>
      <c r="I33" s="313"/>
      <c r="J33" s="313"/>
      <c r="K33" s="313"/>
      <c r="L33" s="390"/>
      <c r="M33" s="388" t="s">
        <v>64</v>
      </c>
      <c r="N33" s="341"/>
      <c r="O33" s="341"/>
      <c r="P33" s="341"/>
      <c r="Q33" s="341"/>
      <c r="R33" s="341"/>
      <c r="S33" s="342"/>
      <c r="T33" s="38" t="s">
        <v>63</v>
      </c>
      <c r="U33" s="307">
        <f>IFERROR(SUM(U26:U31),"0")</f>
        <v>0</v>
      </c>
      <c r="V33" s="307">
        <f>IFERROR(SUM(V26:V31),"0")</f>
        <v>0</v>
      </c>
      <c r="W33" s="38"/>
      <c r="X33" s="308"/>
      <c r="Y33" s="308"/>
    </row>
    <row r="34" spans="1:52" ht="14.25" customHeight="1" x14ac:dyDescent="0.25">
      <c r="A34" s="384" t="s">
        <v>79</v>
      </c>
      <c r="B34" s="313"/>
      <c r="C34" s="313"/>
      <c r="D34" s="313"/>
      <c r="E34" s="313"/>
      <c r="F34" s="313"/>
      <c r="G34" s="313"/>
      <c r="H34" s="313"/>
      <c r="I34" s="313"/>
      <c r="J34" s="313"/>
      <c r="K34" s="313"/>
      <c r="L34" s="313"/>
      <c r="M34" s="313"/>
      <c r="N34" s="313"/>
      <c r="O34" s="313"/>
      <c r="P34" s="313"/>
      <c r="Q34" s="313"/>
      <c r="R34" s="313"/>
      <c r="S34" s="313"/>
      <c r="T34" s="313"/>
      <c r="U34" s="313"/>
      <c r="V34" s="313"/>
      <c r="W34" s="313"/>
      <c r="X34" s="302"/>
      <c r="Y34" s="302"/>
    </row>
    <row r="35" spans="1:52" ht="27" customHeight="1" x14ac:dyDescent="0.25">
      <c r="A35" s="55" t="s">
        <v>80</v>
      </c>
      <c r="B35" s="55" t="s">
        <v>81</v>
      </c>
      <c r="C35" s="32">
        <v>4301032013</v>
      </c>
      <c r="D35" s="385">
        <v>4607091388503</v>
      </c>
      <c r="E35" s="329"/>
      <c r="F35" s="304">
        <v>0.05</v>
      </c>
      <c r="G35" s="33">
        <v>12</v>
      </c>
      <c r="H35" s="304">
        <v>0.6</v>
      </c>
      <c r="I35" s="304">
        <v>0.84199999999999997</v>
      </c>
      <c r="J35" s="33">
        <v>156</v>
      </c>
      <c r="K35" s="34" t="s">
        <v>82</v>
      </c>
      <c r="L35" s="33">
        <v>120</v>
      </c>
      <c r="M35" s="39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87"/>
      <c r="O35" s="387"/>
      <c r="P35" s="387"/>
      <c r="Q35" s="329"/>
      <c r="R35" s="35"/>
      <c r="S35" s="35"/>
      <c r="T35" s="36" t="s">
        <v>63</v>
      </c>
      <c r="U35" s="305">
        <v>0</v>
      </c>
      <c r="V35" s="306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59"/>
      <c r="AZ35" s="67" t="s">
        <v>83</v>
      </c>
    </row>
    <row r="36" spans="1:52" ht="27" customHeight="1" x14ac:dyDescent="0.25">
      <c r="A36" s="55" t="s">
        <v>84</v>
      </c>
      <c r="B36" s="55" t="s">
        <v>85</v>
      </c>
      <c r="C36" s="32">
        <v>4301032036</v>
      </c>
      <c r="D36" s="385">
        <v>4680115880139</v>
      </c>
      <c r="E36" s="329"/>
      <c r="F36" s="304">
        <v>2.5000000000000001E-2</v>
      </c>
      <c r="G36" s="33">
        <v>10</v>
      </c>
      <c r="H36" s="304">
        <v>0.25</v>
      </c>
      <c r="I36" s="304">
        <v>0.41</v>
      </c>
      <c r="J36" s="33">
        <v>234</v>
      </c>
      <c r="K36" s="34" t="s">
        <v>86</v>
      </c>
      <c r="L36" s="33">
        <v>120</v>
      </c>
      <c r="M36" s="398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87"/>
      <c r="O36" s="387"/>
      <c r="P36" s="387"/>
      <c r="Q36" s="329"/>
      <c r="R36" s="35"/>
      <c r="S36" s="35"/>
      <c r="T36" s="36" t="s">
        <v>63</v>
      </c>
      <c r="U36" s="305">
        <v>0</v>
      </c>
      <c r="V36" s="306">
        <f>IFERROR(IF(U36="",0,CEILING((U36/$H36),1)*$H36),"")</f>
        <v>0</v>
      </c>
      <c r="W36" s="37" t="str">
        <f>IFERROR(IF(V36=0,"",ROUNDUP(V36/H36,0)*0.00502),"")</f>
        <v/>
      </c>
      <c r="X36" s="57"/>
      <c r="Y36" s="58"/>
      <c r="AC36" s="59"/>
      <c r="AZ36" s="68" t="s">
        <v>83</v>
      </c>
    </row>
    <row r="37" spans="1:52" x14ac:dyDescent="0.2">
      <c r="A37" s="389"/>
      <c r="B37" s="313"/>
      <c r="C37" s="313"/>
      <c r="D37" s="313"/>
      <c r="E37" s="313"/>
      <c r="F37" s="313"/>
      <c r="G37" s="313"/>
      <c r="H37" s="313"/>
      <c r="I37" s="313"/>
      <c r="J37" s="313"/>
      <c r="K37" s="313"/>
      <c r="L37" s="390"/>
      <c r="M37" s="388" t="s">
        <v>64</v>
      </c>
      <c r="N37" s="341"/>
      <c r="O37" s="341"/>
      <c r="P37" s="341"/>
      <c r="Q37" s="341"/>
      <c r="R37" s="341"/>
      <c r="S37" s="342"/>
      <c r="T37" s="38" t="s">
        <v>65</v>
      </c>
      <c r="U37" s="307">
        <f>IFERROR(U35/H35,"0")+IFERROR(U36/H36,"0")</f>
        <v>0</v>
      </c>
      <c r="V37" s="307">
        <f>IFERROR(V35/H35,"0")+IFERROR(V36/H36,"0")</f>
        <v>0</v>
      </c>
      <c r="W37" s="307">
        <f>IFERROR(IF(W35="",0,W35),"0")+IFERROR(IF(W36="",0,W36),"0")</f>
        <v>0</v>
      </c>
      <c r="X37" s="308"/>
      <c r="Y37" s="308"/>
    </row>
    <row r="38" spans="1:52" x14ac:dyDescent="0.2">
      <c r="A38" s="313"/>
      <c r="B38" s="313"/>
      <c r="C38" s="313"/>
      <c r="D38" s="313"/>
      <c r="E38" s="313"/>
      <c r="F38" s="313"/>
      <c r="G38" s="313"/>
      <c r="H38" s="313"/>
      <c r="I38" s="313"/>
      <c r="J38" s="313"/>
      <c r="K38" s="313"/>
      <c r="L38" s="390"/>
      <c r="M38" s="388" t="s">
        <v>64</v>
      </c>
      <c r="N38" s="341"/>
      <c r="O38" s="341"/>
      <c r="P38" s="341"/>
      <c r="Q38" s="341"/>
      <c r="R38" s="341"/>
      <c r="S38" s="342"/>
      <c r="T38" s="38" t="s">
        <v>63</v>
      </c>
      <c r="U38" s="307">
        <f>IFERROR(SUM(U35:U36),"0")</f>
        <v>0</v>
      </c>
      <c r="V38" s="307">
        <f>IFERROR(SUM(V35:V36),"0")</f>
        <v>0</v>
      </c>
      <c r="W38" s="38"/>
      <c r="X38" s="308"/>
      <c r="Y38" s="308"/>
    </row>
    <row r="39" spans="1:52" ht="14.25" customHeight="1" x14ac:dyDescent="0.25">
      <c r="A39" s="384" t="s">
        <v>87</v>
      </c>
      <c r="B39" s="313"/>
      <c r="C39" s="313"/>
      <c r="D39" s="313"/>
      <c r="E39" s="313"/>
      <c r="F39" s="313"/>
      <c r="G39" s="313"/>
      <c r="H39" s="313"/>
      <c r="I39" s="313"/>
      <c r="J39" s="313"/>
      <c r="K39" s="313"/>
      <c r="L39" s="313"/>
      <c r="M39" s="313"/>
      <c r="N39" s="313"/>
      <c r="O39" s="313"/>
      <c r="P39" s="313"/>
      <c r="Q39" s="313"/>
      <c r="R39" s="313"/>
      <c r="S39" s="313"/>
      <c r="T39" s="313"/>
      <c r="U39" s="313"/>
      <c r="V39" s="313"/>
      <c r="W39" s="313"/>
      <c r="X39" s="302"/>
      <c r="Y39" s="302"/>
    </row>
    <row r="40" spans="1:52" ht="80.25" customHeight="1" x14ac:dyDescent="0.25">
      <c r="A40" s="55" t="s">
        <v>88</v>
      </c>
      <c r="B40" s="55" t="s">
        <v>89</v>
      </c>
      <c r="C40" s="32">
        <v>4301160001</v>
      </c>
      <c r="D40" s="385">
        <v>4607091388282</v>
      </c>
      <c r="E40" s="329"/>
      <c r="F40" s="304">
        <v>0.3</v>
      </c>
      <c r="G40" s="33">
        <v>6</v>
      </c>
      <c r="H40" s="304">
        <v>1.8</v>
      </c>
      <c r="I40" s="304">
        <v>2.0840000000000001</v>
      </c>
      <c r="J40" s="33">
        <v>156</v>
      </c>
      <c r="K40" s="34" t="s">
        <v>82</v>
      </c>
      <c r="L40" s="33">
        <v>30</v>
      </c>
      <c r="M40" s="399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87"/>
      <c r="O40" s="387"/>
      <c r="P40" s="387"/>
      <c r="Q40" s="329"/>
      <c r="R40" s="35"/>
      <c r="S40" s="35"/>
      <c r="T40" s="36" t="s">
        <v>63</v>
      </c>
      <c r="U40" s="305">
        <v>0</v>
      </c>
      <c r="V40" s="306">
        <f>IFERROR(IF(U40="",0,CEILING((U40/$H40),1)*$H40),"")</f>
        <v>0</v>
      </c>
      <c r="W40" s="37" t="str">
        <f>IFERROR(IF(V40=0,"",ROUNDUP(V40/H40,0)*0.00753),"")</f>
        <v/>
      </c>
      <c r="X40" s="57" t="s">
        <v>90</v>
      </c>
      <c r="Y40" s="58"/>
      <c r="AC40" s="59"/>
      <c r="AZ40" s="69" t="s">
        <v>1</v>
      </c>
    </row>
    <row r="41" spans="1:52" x14ac:dyDescent="0.2">
      <c r="A41" s="389"/>
      <c r="B41" s="313"/>
      <c r="C41" s="313"/>
      <c r="D41" s="313"/>
      <c r="E41" s="313"/>
      <c r="F41" s="313"/>
      <c r="G41" s="313"/>
      <c r="H41" s="313"/>
      <c r="I41" s="313"/>
      <c r="J41" s="313"/>
      <c r="K41" s="313"/>
      <c r="L41" s="390"/>
      <c r="M41" s="388" t="s">
        <v>64</v>
      </c>
      <c r="N41" s="341"/>
      <c r="O41" s="341"/>
      <c r="P41" s="341"/>
      <c r="Q41" s="341"/>
      <c r="R41" s="341"/>
      <c r="S41" s="342"/>
      <c r="T41" s="38" t="s">
        <v>65</v>
      </c>
      <c r="U41" s="307">
        <f>IFERROR(U40/H40,"0")</f>
        <v>0</v>
      </c>
      <c r="V41" s="307">
        <f>IFERROR(V40/H40,"0")</f>
        <v>0</v>
      </c>
      <c r="W41" s="307">
        <f>IFERROR(IF(W40="",0,W40),"0")</f>
        <v>0</v>
      </c>
      <c r="X41" s="308"/>
      <c r="Y41" s="308"/>
    </row>
    <row r="42" spans="1:52" x14ac:dyDescent="0.2">
      <c r="A42" s="313"/>
      <c r="B42" s="313"/>
      <c r="C42" s="313"/>
      <c r="D42" s="313"/>
      <c r="E42" s="313"/>
      <c r="F42" s="313"/>
      <c r="G42" s="313"/>
      <c r="H42" s="313"/>
      <c r="I42" s="313"/>
      <c r="J42" s="313"/>
      <c r="K42" s="313"/>
      <c r="L42" s="390"/>
      <c r="M42" s="388" t="s">
        <v>64</v>
      </c>
      <c r="N42" s="341"/>
      <c r="O42" s="341"/>
      <c r="P42" s="341"/>
      <c r="Q42" s="341"/>
      <c r="R42" s="341"/>
      <c r="S42" s="342"/>
      <c r="T42" s="38" t="s">
        <v>63</v>
      </c>
      <c r="U42" s="307">
        <f>IFERROR(SUM(U40:U40),"0")</f>
        <v>0</v>
      </c>
      <c r="V42" s="307">
        <f>IFERROR(SUM(V40:V40),"0")</f>
        <v>0</v>
      </c>
      <c r="W42" s="38"/>
      <c r="X42" s="308"/>
      <c r="Y42" s="308"/>
    </row>
    <row r="43" spans="1:52" ht="27.75" customHeight="1" x14ac:dyDescent="0.2">
      <c r="A43" s="381" t="s">
        <v>91</v>
      </c>
      <c r="B43" s="382"/>
      <c r="C43" s="382"/>
      <c r="D43" s="382"/>
      <c r="E43" s="382"/>
      <c r="F43" s="382"/>
      <c r="G43" s="382"/>
      <c r="H43" s="382"/>
      <c r="I43" s="382"/>
      <c r="J43" s="382"/>
      <c r="K43" s="382"/>
      <c r="L43" s="382"/>
      <c r="M43" s="382"/>
      <c r="N43" s="382"/>
      <c r="O43" s="382"/>
      <c r="P43" s="382"/>
      <c r="Q43" s="382"/>
      <c r="R43" s="382"/>
      <c r="S43" s="382"/>
      <c r="T43" s="382"/>
      <c r="U43" s="382"/>
      <c r="V43" s="382"/>
      <c r="W43" s="382"/>
      <c r="X43" s="49"/>
      <c r="Y43" s="49"/>
    </row>
    <row r="44" spans="1:52" ht="16.5" customHeight="1" x14ac:dyDescent="0.25">
      <c r="A44" s="383" t="s">
        <v>92</v>
      </c>
      <c r="B44" s="313"/>
      <c r="C44" s="313"/>
      <c r="D44" s="313"/>
      <c r="E44" s="313"/>
      <c r="F44" s="313"/>
      <c r="G44" s="313"/>
      <c r="H44" s="313"/>
      <c r="I44" s="313"/>
      <c r="J44" s="313"/>
      <c r="K44" s="313"/>
      <c r="L44" s="313"/>
      <c r="M44" s="313"/>
      <c r="N44" s="313"/>
      <c r="O44" s="313"/>
      <c r="P44" s="313"/>
      <c r="Q44" s="313"/>
      <c r="R44" s="313"/>
      <c r="S44" s="313"/>
      <c r="T44" s="313"/>
      <c r="U44" s="313"/>
      <c r="V44" s="313"/>
      <c r="W44" s="313"/>
      <c r="X44" s="301"/>
      <c r="Y44" s="301"/>
    </row>
    <row r="45" spans="1:52" ht="14.25" customHeight="1" x14ac:dyDescent="0.25">
      <c r="A45" s="384" t="s">
        <v>93</v>
      </c>
      <c r="B45" s="313"/>
      <c r="C45" s="313"/>
      <c r="D45" s="313"/>
      <c r="E45" s="313"/>
      <c r="F45" s="313"/>
      <c r="G45" s="313"/>
      <c r="H45" s="313"/>
      <c r="I45" s="313"/>
      <c r="J45" s="313"/>
      <c r="K45" s="313"/>
      <c r="L45" s="313"/>
      <c r="M45" s="313"/>
      <c r="N45" s="313"/>
      <c r="O45" s="313"/>
      <c r="P45" s="313"/>
      <c r="Q45" s="313"/>
      <c r="R45" s="313"/>
      <c r="S45" s="313"/>
      <c r="T45" s="313"/>
      <c r="U45" s="313"/>
      <c r="V45" s="313"/>
      <c r="W45" s="313"/>
      <c r="X45" s="302"/>
      <c r="Y45" s="302"/>
    </row>
    <row r="46" spans="1:52" ht="27" customHeight="1" x14ac:dyDescent="0.25">
      <c r="A46" s="55" t="s">
        <v>94</v>
      </c>
      <c r="B46" s="55" t="s">
        <v>95</v>
      </c>
      <c r="C46" s="32">
        <v>4301020234</v>
      </c>
      <c r="D46" s="385">
        <v>4680115881440</v>
      </c>
      <c r="E46" s="329"/>
      <c r="F46" s="304">
        <v>1.35</v>
      </c>
      <c r="G46" s="33">
        <v>8</v>
      </c>
      <c r="H46" s="304">
        <v>10.8</v>
      </c>
      <c r="I46" s="304">
        <v>11.28</v>
      </c>
      <c r="J46" s="33">
        <v>56</v>
      </c>
      <c r="K46" s="34" t="s">
        <v>96</v>
      </c>
      <c r="L46" s="33">
        <v>50</v>
      </c>
      <c r="M46" s="40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46" s="387"/>
      <c r="O46" s="387"/>
      <c r="P46" s="387"/>
      <c r="Q46" s="329"/>
      <c r="R46" s="35"/>
      <c r="S46" s="35"/>
      <c r="T46" s="36" t="s">
        <v>63</v>
      </c>
      <c r="U46" s="305">
        <v>150</v>
      </c>
      <c r="V46" s="306">
        <f>IFERROR(IF(U46="",0,CEILING((U46/$H46),1)*$H46),"")</f>
        <v>151.20000000000002</v>
      </c>
      <c r="W46" s="37">
        <f>IFERROR(IF(V46=0,"",ROUNDUP(V46/H46,0)*0.02175),"")</f>
        <v>0.30449999999999999</v>
      </c>
      <c r="X46" s="57"/>
      <c r="Y46" s="58"/>
      <c r="AC46" s="59"/>
      <c r="AZ46" s="70" t="s">
        <v>1</v>
      </c>
    </row>
    <row r="47" spans="1:52" ht="27" customHeight="1" x14ac:dyDescent="0.25">
      <c r="A47" s="55" t="s">
        <v>97</v>
      </c>
      <c r="B47" s="55" t="s">
        <v>98</v>
      </c>
      <c r="C47" s="32">
        <v>4301020232</v>
      </c>
      <c r="D47" s="385">
        <v>4680115881433</v>
      </c>
      <c r="E47" s="329"/>
      <c r="F47" s="304">
        <v>0.45</v>
      </c>
      <c r="G47" s="33">
        <v>6</v>
      </c>
      <c r="H47" s="304">
        <v>2.7</v>
      </c>
      <c r="I47" s="304">
        <v>2.9</v>
      </c>
      <c r="J47" s="33">
        <v>156</v>
      </c>
      <c r="K47" s="34" t="s">
        <v>96</v>
      </c>
      <c r="L47" s="33">
        <v>50</v>
      </c>
      <c r="M47" s="40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47" s="387"/>
      <c r="O47" s="387"/>
      <c r="P47" s="387"/>
      <c r="Q47" s="329"/>
      <c r="R47" s="35"/>
      <c r="S47" s="35"/>
      <c r="T47" s="36" t="s">
        <v>63</v>
      </c>
      <c r="U47" s="305">
        <v>0</v>
      </c>
      <c r="V47" s="306">
        <f>IFERROR(IF(U47="",0,CEILING((U47/$H47),1)*$H47),"")</f>
        <v>0</v>
      </c>
      <c r="W47" s="37" t="str">
        <f>IFERROR(IF(V47=0,"",ROUNDUP(V47/H47,0)*0.00753),"")</f>
        <v/>
      </c>
      <c r="X47" s="57"/>
      <c r="Y47" s="58"/>
      <c r="AC47" s="59"/>
      <c r="AZ47" s="71" t="s">
        <v>1</v>
      </c>
    </row>
    <row r="48" spans="1:52" x14ac:dyDescent="0.2">
      <c r="A48" s="389"/>
      <c r="B48" s="313"/>
      <c r="C48" s="313"/>
      <c r="D48" s="313"/>
      <c r="E48" s="313"/>
      <c r="F48" s="313"/>
      <c r="G48" s="313"/>
      <c r="H48" s="313"/>
      <c r="I48" s="313"/>
      <c r="J48" s="313"/>
      <c r="K48" s="313"/>
      <c r="L48" s="390"/>
      <c r="M48" s="388" t="s">
        <v>64</v>
      </c>
      <c r="N48" s="341"/>
      <c r="O48" s="341"/>
      <c r="P48" s="341"/>
      <c r="Q48" s="341"/>
      <c r="R48" s="341"/>
      <c r="S48" s="342"/>
      <c r="T48" s="38" t="s">
        <v>65</v>
      </c>
      <c r="U48" s="307">
        <f>IFERROR(U46/H46,"0")+IFERROR(U47/H47,"0")</f>
        <v>13.888888888888888</v>
      </c>
      <c r="V48" s="307">
        <f>IFERROR(V46/H46,"0")+IFERROR(V47/H47,"0")</f>
        <v>14</v>
      </c>
      <c r="W48" s="307">
        <f>IFERROR(IF(W46="",0,W46),"0")+IFERROR(IF(W47="",0,W47),"0")</f>
        <v>0.30449999999999999</v>
      </c>
      <c r="X48" s="308"/>
      <c r="Y48" s="308"/>
    </row>
    <row r="49" spans="1:52" x14ac:dyDescent="0.2">
      <c r="A49" s="313"/>
      <c r="B49" s="313"/>
      <c r="C49" s="313"/>
      <c r="D49" s="313"/>
      <c r="E49" s="313"/>
      <c r="F49" s="313"/>
      <c r="G49" s="313"/>
      <c r="H49" s="313"/>
      <c r="I49" s="313"/>
      <c r="J49" s="313"/>
      <c r="K49" s="313"/>
      <c r="L49" s="390"/>
      <c r="M49" s="388" t="s">
        <v>64</v>
      </c>
      <c r="N49" s="341"/>
      <c r="O49" s="341"/>
      <c r="P49" s="341"/>
      <c r="Q49" s="341"/>
      <c r="R49" s="341"/>
      <c r="S49" s="342"/>
      <c r="T49" s="38" t="s">
        <v>63</v>
      </c>
      <c r="U49" s="307">
        <f>IFERROR(SUM(U46:U47),"0")</f>
        <v>150</v>
      </c>
      <c r="V49" s="307">
        <f>IFERROR(SUM(V46:V47),"0")</f>
        <v>151.20000000000002</v>
      </c>
      <c r="W49" s="38"/>
      <c r="X49" s="308"/>
      <c r="Y49" s="308"/>
    </row>
    <row r="50" spans="1:52" ht="16.5" customHeight="1" x14ac:dyDescent="0.25">
      <c r="A50" s="383" t="s">
        <v>99</v>
      </c>
      <c r="B50" s="313"/>
      <c r="C50" s="313"/>
      <c r="D50" s="313"/>
      <c r="E50" s="313"/>
      <c r="F50" s="313"/>
      <c r="G50" s="313"/>
      <c r="H50" s="313"/>
      <c r="I50" s="313"/>
      <c r="J50" s="313"/>
      <c r="K50" s="313"/>
      <c r="L50" s="313"/>
      <c r="M50" s="313"/>
      <c r="N50" s="313"/>
      <c r="O50" s="313"/>
      <c r="P50" s="313"/>
      <c r="Q50" s="313"/>
      <c r="R50" s="313"/>
      <c r="S50" s="313"/>
      <c r="T50" s="313"/>
      <c r="U50" s="313"/>
      <c r="V50" s="313"/>
      <c r="W50" s="313"/>
      <c r="X50" s="301"/>
      <c r="Y50" s="301"/>
    </row>
    <row r="51" spans="1:52" ht="14.25" customHeight="1" x14ac:dyDescent="0.25">
      <c r="A51" s="384" t="s">
        <v>100</v>
      </c>
      <c r="B51" s="313"/>
      <c r="C51" s="313"/>
      <c r="D51" s="313"/>
      <c r="E51" s="313"/>
      <c r="F51" s="313"/>
      <c r="G51" s="313"/>
      <c r="H51" s="313"/>
      <c r="I51" s="313"/>
      <c r="J51" s="313"/>
      <c r="K51" s="313"/>
      <c r="L51" s="313"/>
      <c r="M51" s="313"/>
      <c r="N51" s="313"/>
      <c r="O51" s="313"/>
      <c r="P51" s="313"/>
      <c r="Q51" s="313"/>
      <c r="R51" s="313"/>
      <c r="S51" s="313"/>
      <c r="T51" s="313"/>
      <c r="U51" s="313"/>
      <c r="V51" s="313"/>
      <c r="W51" s="313"/>
      <c r="X51" s="302"/>
      <c r="Y51" s="302"/>
    </row>
    <row r="52" spans="1:52" ht="27" customHeight="1" x14ac:dyDescent="0.25">
      <c r="A52" s="55" t="s">
        <v>101</v>
      </c>
      <c r="B52" s="55" t="s">
        <v>102</v>
      </c>
      <c r="C52" s="32">
        <v>4301011452</v>
      </c>
      <c r="D52" s="385">
        <v>4680115881426</v>
      </c>
      <c r="E52" s="329"/>
      <c r="F52" s="304">
        <v>1.35</v>
      </c>
      <c r="G52" s="33">
        <v>8</v>
      </c>
      <c r="H52" s="304">
        <v>10.8</v>
      </c>
      <c r="I52" s="304">
        <v>11.28</v>
      </c>
      <c r="J52" s="33">
        <v>56</v>
      </c>
      <c r="K52" s="34" t="s">
        <v>96</v>
      </c>
      <c r="L52" s="33">
        <v>50</v>
      </c>
      <c r="M52" s="40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2" s="387"/>
      <c r="O52" s="387"/>
      <c r="P52" s="387"/>
      <c r="Q52" s="329"/>
      <c r="R52" s="35"/>
      <c r="S52" s="35"/>
      <c r="T52" s="36" t="s">
        <v>63</v>
      </c>
      <c r="U52" s="305">
        <v>330</v>
      </c>
      <c r="V52" s="306">
        <f>IFERROR(IF(U52="",0,CEILING((U52/$H52),1)*$H52),"")</f>
        <v>334.8</v>
      </c>
      <c r="W52" s="37">
        <f>IFERROR(IF(V52=0,"",ROUNDUP(V52/H52,0)*0.02175),"")</f>
        <v>0.6742499999999999</v>
      </c>
      <c r="X52" s="57"/>
      <c r="Y52" s="58"/>
      <c r="AC52" s="59"/>
      <c r="AZ52" s="72" t="s">
        <v>1</v>
      </c>
    </row>
    <row r="53" spans="1:52" ht="27" customHeight="1" x14ac:dyDescent="0.25">
      <c r="A53" s="55" t="s">
        <v>103</v>
      </c>
      <c r="B53" s="55" t="s">
        <v>104</v>
      </c>
      <c r="C53" s="32">
        <v>4301011437</v>
      </c>
      <c r="D53" s="385">
        <v>4680115881419</v>
      </c>
      <c r="E53" s="329"/>
      <c r="F53" s="304">
        <v>0.45</v>
      </c>
      <c r="G53" s="33">
        <v>10</v>
      </c>
      <c r="H53" s="304">
        <v>4.5</v>
      </c>
      <c r="I53" s="304">
        <v>4.74</v>
      </c>
      <c r="J53" s="33">
        <v>120</v>
      </c>
      <c r="K53" s="34" t="s">
        <v>96</v>
      </c>
      <c r="L53" s="33">
        <v>50</v>
      </c>
      <c r="M53" s="40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3" s="387"/>
      <c r="O53" s="387"/>
      <c r="P53" s="387"/>
      <c r="Q53" s="329"/>
      <c r="R53" s="35"/>
      <c r="S53" s="35"/>
      <c r="T53" s="36" t="s">
        <v>63</v>
      </c>
      <c r="U53" s="305">
        <v>134</v>
      </c>
      <c r="V53" s="306">
        <f>IFERROR(IF(U53="",0,CEILING((U53/$H53),1)*$H53),"")</f>
        <v>135</v>
      </c>
      <c r="W53" s="37">
        <f>IFERROR(IF(V53=0,"",ROUNDUP(V53/H53,0)*0.00937),"")</f>
        <v>0.28110000000000002</v>
      </c>
      <c r="X53" s="57"/>
      <c r="Y53" s="58"/>
      <c r="AC53" s="59"/>
      <c r="AZ53" s="73" t="s">
        <v>1</v>
      </c>
    </row>
    <row r="54" spans="1:52" ht="27" customHeight="1" x14ac:dyDescent="0.25">
      <c r="A54" s="55" t="s">
        <v>105</v>
      </c>
      <c r="B54" s="55" t="s">
        <v>106</v>
      </c>
      <c r="C54" s="32">
        <v>4301011458</v>
      </c>
      <c r="D54" s="385">
        <v>4680115881525</v>
      </c>
      <c r="E54" s="329"/>
      <c r="F54" s="304">
        <v>0.4</v>
      </c>
      <c r="G54" s="33">
        <v>10</v>
      </c>
      <c r="H54" s="304">
        <v>4</v>
      </c>
      <c r="I54" s="304">
        <v>4.24</v>
      </c>
      <c r="J54" s="33">
        <v>120</v>
      </c>
      <c r="K54" s="34" t="s">
        <v>96</v>
      </c>
      <c r="L54" s="33">
        <v>50</v>
      </c>
      <c r="M54" s="404" t="s">
        <v>107</v>
      </c>
      <c r="N54" s="387"/>
      <c r="O54" s="387"/>
      <c r="P54" s="387"/>
      <c r="Q54" s="329"/>
      <c r="R54" s="35"/>
      <c r="S54" s="35"/>
      <c r="T54" s="36" t="s">
        <v>63</v>
      </c>
      <c r="U54" s="305">
        <v>0</v>
      </c>
      <c r="V54" s="306">
        <f>IFERROR(IF(U54="",0,CEILING((U54/$H54),1)*$H54),"")</f>
        <v>0</v>
      </c>
      <c r="W54" s="37" t="str">
        <f>IFERROR(IF(V54=0,"",ROUNDUP(V54/H54,0)*0.00937),"")</f>
        <v/>
      </c>
      <c r="X54" s="57"/>
      <c r="Y54" s="58"/>
      <c r="AC54" s="59"/>
      <c r="AZ54" s="74" t="s">
        <v>1</v>
      </c>
    </row>
    <row r="55" spans="1:52" x14ac:dyDescent="0.2">
      <c r="A55" s="389"/>
      <c r="B55" s="313"/>
      <c r="C55" s="313"/>
      <c r="D55" s="313"/>
      <c r="E55" s="313"/>
      <c r="F55" s="313"/>
      <c r="G55" s="313"/>
      <c r="H55" s="313"/>
      <c r="I55" s="313"/>
      <c r="J55" s="313"/>
      <c r="K55" s="313"/>
      <c r="L55" s="390"/>
      <c r="M55" s="388" t="s">
        <v>64</v>
      </c>
      <c r="N55" s="341"/>
      <c r="O55" s="341"/>
      <c r="P55" s="341"/>
      <c r="Q55" s="341"/>
      <c r="R55" s="341"/>
      <c r="S55" s="342"/>
      <c r="T55" s="38" t="s">
        <v>65</v>
      </c>
      <c r="U55" s="307">
        <f>IFERROR(U52/H52,"0")+IFERROR(U53/H53,"0")+IFERROR(U54/H54,"0")</f>
        <v>60.333333333333329</v>
      </c>
      <c r="V55" s="307">
        <f>IFERROR(V52/H52,"0")+IFERROR(V53/H53,"0")+IFERROR(V54/H54,"0")</f>
        <v>61</v>
      </c>
      <c r="W55" s="307">
        <f>IFERROR(IF(W52="",0,W52),"0")+IFERROR(IF(W53="",0,W53),"0")+IFERROR(IF(W54="",0,W54),"0")</f>
        <v>0.95534999999999992</v>
      </c>
      <c r="X55" s="308"/>
      <c r="Y55" s="308"/>
    </row>
    <row r="56" spans="1:52" x14ac:dyDescent="0.2">
      <c r="A56" s="313"/>
      <c r="B56" s="313"/>
      <c r="C56" s="313"/>
      <c r="D56" s="313"/>
      <c r="E56" s="313"/>
      <c r="F56" s="313"/>
      <c r="G56" s="313"/>
      <c r="H56" s="313"/>
      <c r="I56" s="313"/>
      <c r="J56" s="313"/>
      <c r="K56" s="313"/>
      <c r="L56" s="390"/>
      <c r="M56" s="388" t="s">
        <v>64</v>
      </c>
      <c r="N56" s="341"/>
      <c r="O56" s="341"/>
      <c r="P56" s="341"/>
      <c r="Q56" s="341"/>
      <c r="R56" s="341"/>
      <c r="S56" s="342"/>
      <c r="T56" s="38" t="s">
        <v>63</v>
      </c>
      <c r="U56" s="307">
        <f>IFERROR(SUM(U52:U54),"0")</f>
        <v>464</v>
      </c>
      <c r="V56" s="307">
        <f>IFERROR(SUM(V52:V54),"0")</f>
        <v>469.8</v>
      </c>
      <c r="W56" s="38"/>
      <c r="X56" s="308"/>
      <c r="Y56" s="308"/>
    </row>
    <row r="57" spans="1:52" ht="16.5" customHeight="1" x14ac:dyDescent="0.25">
      <c r="A57" s="383" t="s">
        <v>91</v>
      </c>
      <c r="B57" s="313"/>
      <c r="C57" s="313"/>
      <c r="D57" s="313"/>
      <c r="E57" s="313"/>
      <c r="F57" s="313"/>
      <c r="G57" s="313"/>
      <c r="H57" s="313"/>
      <c r="I57" s="313"/>
      <c r="J57" s="313"/>
      <c r="K57" s="313"/>
      <c r="L57" s="313"/>
      <c r="M57" s="313"/>
      <c r="N57" s="313"/>
      <c r="O57" s="313"/>
      <c r="P57" s="313"/>
      <c r="Q57" s="313"/>
      <c r="R57" s="313"/>
      <c r="S57" s="313"/>
      <c r="T57" s="313"/>
      <c r="U57" s="313"/>
      <c r="V57" s="313"/>
      <c r="W57" s="313"/>
      <c r="X57" s="301"/>
      <c r="Y57" s="301"/>
    </row>
    <row r="58" spans="1:52" ht="14.25" customHeight="1" x14ac:dyDescent="0.25">
      <c r="A58" s="384" t="s">
        <v>100</v>
      </c>
      <c r="B58" s="313"/>
      <c r="C58" s="313"/>
      <c r="D58" s="313"/>
      <c r="E58" s="313"/>
      <c r="F58" s="313"/>
      <c r="G58" s="313"/>
      <c r="H58" s="313"/>
      <c r="I58" s="313"/>
      <c r="J58" s="313"/>
      <c r="K58" s="313"/>
      <c r="L58" s="313"/>
      <c r="M58" s="313"/>
      <c r="N58" s="313"/>
      <c r="O58" s="313"/>
      <c r="P58" s="313"/>
      <c r="Q58" s="313"/>
      <c r="R58" s="313"/>
      <c r="S58" s="313"/>
      <c r="T58" s="313"/>
      <c r="U58" s="313"/>
      <c r="V58" s="313"/>
      <c r="W58" s="313"/>
      <c r="X58" s="302"/>
      <c r="Y58" s="302"/>
    </row>
    <row r="59" spans="1:52" ht="27" customHeight="1" x14ac:dyDescent="0.25">
      <c r="A59" s="55" t="s">
        <v>108</v>
      </c>
      <c r="B59" s="55" t="s">
        <v>109</v>
      </c>
      <c r="C59" s="32">
        <v>4301011191</v>
      </c>
      <c r="D59" s="385">
        <v>4607091382945</v>
      </c>
      <c r="E59" s="329"/>
      <c r="F59" s="304">
        <v>1.35</v>
      </c>
      <c r="G59" s="33">
        <v>8</v>
      </c>
      <c r="H59" s="304">
        <v>10.8</v>
      </c>
      <c r="I59" s="304">
        <v>11.28</v>
      </c>
      <c r="J59" s="33">
        <v>56</v>
      </c>
      <c r="K59" s="34" t="s">
        <v>96</v>
      </c>
      <c r="L59" s="33">
        <v>50</v>
      </c>
      <c r="M59" s="405" t="str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>Вареные колбасы Вязанка со шпиком Вязанка Весовые Вектор Вязанка</v>
      </c>
      <c r="N59" s="387"/>
      <c r="O59" s="387"/>
      <c r="P59" s="387"/>
      <c r="Q59" s="329"/>
      <c r="R59" s="35"/>
      <c r="S59" s="35"/>
      <c r="T59" s="36" t="s">
        <v>63</v>
      </c>
      <c r="U59" s="305">
        <v>0</v>
      </c>
      <c r="V59" s="306">
        <f t="shared" ref="V59:V74" si="2">IFERROR(IF(U59="",0,CEILING((U59/$H59),1)*$H59),"")</f>
        <v>0</v>
      </c>
      <c r="W59" s="37" t="str">
        <f>IFERROR(IF(V59=0,"",ROUNDUP(V59/H59,0)*0.02175),"")</f>
        <v/>
      </c>
      <c r="X59" s="57"/>
      <c r="Y59" s="58"/>
      <c r="AC59" s="59"/>
      <c r="AZ59" s="75" t="s">
        <v>1</v>
      </c>
    </row>
    <row r="60" spans="1:52" ht="27" customHeight="1" x14ac:dyDescent="0.25">
      <c r="A60" s="55" t="s">
        <v>110</v>
      </c>
      <c r="B60" s="55" t="s">
        <v>111</v>
      </c>
      <c r="C60" s="32">
        <v>4301011380</v>
      </c>
      <c r="D60" s="385">
        <v>4607091385670</v>
      </c>
      <c r="E60" s="329"/>
      <c r="F60" s="304">
        <v>1.35</v>
      </c>
      <c r="G60" s="33">
        <v>8</v>
      </c>
      <c r="H60" s="304">
        <v>10.8</v>
      </c>
      <c r="I60" s="304">
        <v>11.28</v>
      </c>
      <c r="J60" s="33">
        <v>56</v>
      </c>
      <c r="K60" s="34" t="s">
        <v>96</v>
      </c>
      <c r="L60" s="33">
        <v>50</v>
      </c>
      <c r="M60" s="406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0" s="387"/>
      <c r="O60" s="387"/>
      <c r="P60" s="387"/>
      <c r="Q60" s="329"/>
      <c r="R60" s="35"/>
      <c r="S60" s="35"/>
      <c r="T60" s="36" t="s">
        <v>63</v>
      </c>
      <c r="U60" s="305">
        <v>20</v>
      </c>
      <c r="V60" s="306">
        <f t="shared" si="2"/>
        <v>21.6</v>
      </c>
      <c r="W60" s="37">
        <f>IFERROR(IF(V60=0,"",ROUNDUP(V60/H60,0)*0.02175),"")</f>
        <v>4.3499999999999997E-2</v>
      </c>
      <c r="X60" s="57"/>
      <c r="Y60" s="58"/>
      <c r="AC60" s="59"/>
      <c r="AZ60" s="76" t="s">
        <v>1</v>
      </c>
    </row>
    <row r="61" spans="1:52" ht="27" customHeight="1" x14ac:dyDescent="0.25">
      <c r="A61" s="55" t="s">
        <v>112</v>
      </c>
      <c r="B61" s="55" t="s">
        <v>113</v>
      </c>
      <c r="C61" s="32">
        <v>4301011468</v>
      </c>
      <c r="D61" s="385">
        <v>4680115881327</v>
      </c>
      <c r="E61" s="329"/>
      <c r="F61" s="304">
        <v>1.35</v>
      </c>
      <c r="G61" s="33">
        <v>8</v>
      </c>
      <c r="H61" s="304">
        <v>10.8</v>
      </c>
      <c r="I61" s="304">
        <v>11.28</v>
      </c>
      <c r="J61" s="33">
        <v>56</v>
      </c>
      <c r="K61" s="34" t="s">
        <v>114</v>
      </c>
      <c r="L61" s="33">
        <v>50</v>
      </c>
      <c r="M61" s="407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1" s="387"/>
      <c r="O61" s="387"/>
      <c r="P61" s="387"/>
      <c r="Q61" s="329"/>
      <c r="R61" s="35"/>
      <c r="S61" s="35"/>
      <c r="T61" s="36" t="s">
        <v>63</v>
      </c>
      <c r="U61" s="305">
        <v>90</v>
      </c>
      <c r="V61" s="306">
        <f t="shared" si="2"/>
        <v>97.2</v>
      </c>
      <c r="W61" s="37">
        <f>IFERROR(IF(V61=0,"",ROUNDUP(V61/H61,0)*0.02175),"")</f>
        <v>0.19574999999999998</v>
      </c>
      <c r="X61" s="57"/>
      <c r="Y61" s="58"/>
      <c r="AC61" s="59"/>
      <c r="AZ61" s="77" t="s">
        <v>1</v>
      </c>
    </row>
    <row r="62" spans="1:52" ht="16.5" customHeight="1" x14ac:dyDescent="0.25">
      <c r="A62" s="55" t="s">
        <v>115</v>
      </c>
      <c r="B62" s="55" t="s">
        <v>116</v>
      </c>
      <c r="C62" s="32">
        <v>4301011348</v>
      </c>
      <c r="D62" s="385">
        <v>4607091388312</v>
      </c>
      <c r="E62" s="329"/>
      <c r="F62" s="304">
        <v>1.35</v>
      </c>
      <c r="G62" s="33">
        <v>8</v>
      </c>
      <c r="H62" s="304">
        <v>10.8</v>
      </c>
      <c r="I62" s="304">
        <v>11.28</v>
      </c>
      <c r="J62" s="33">
        <v>56</v>
      </c>
      <c r="K62" s="34" t="s">
        <v>96</v>
      </c>
      <c r="L62" s="33">
        <v>45</v>
      </c>
      <c r="M62" s="408" t="str">
        <f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2" s="387"/>
      <c r="O62" s="387"/>
      <c r="P62" s="387"/>
      <c r="Q62" s="329"/>
      <c r="R62" s="35"/>
      <c r="S62" s="35"/>
      <c r="T62" s="36" t="s">
        <v>63</v>
      </c>
      <c r="U62" s="305">
        <v>30</v>
      </c>
      <c r="V62" s="306">
        <f t="shared" si="2"/>
        <v>32.400000000000006</v>
      </c>
      <c r="W62" s="37">
        <f>IFERROR(IF(V62=0,"",ROUNDUP(V62/H62,0)*0.02175),"")</f>
        <v>6.5250000000000002E-2</v>
      </c>
      <c r="X62" s="57"/>
      <c r="Y62" s="58"/>
      <c r="AC62" s="59"/>
      <c r="AZ62" s="78" t="s">
        <v>1</v>
      </c>
    </row>
    <row r="63" spans="1:52" ht="16.5" customHeight="1" x14ac:dyDescent="0.25">
      <c r="A63" s="55" t="s">
        <v>117</v>
      </c>
      <c r="B63" s="55" t="s">
        <v>118</v>
      </c>
      <c r="C63" s="32">
        <v>4301011514</v>
      </c>
      <c r="D63" s="385">
        <v>4680115882133</v>
      </c>
      <c r="E63" s="329"/>
      <c r="F63" s="304">
        <v>1.35</v>
      </c>
      <c r="G63" s="33">
        <v>8</v>
      </c>
      <c r="H63" s="304">
        <v>10.8</v>
      </c>
      <c r="I63" s="304">
        <v>11.28</v>
      </c>
      <c r="J63" s="33">
        <v>56</v>
      </c>
      <c r="K63" s="34" t="s">
        <v>96</v>
      </c>
      <c r="L63" s="33">
        <v>50</v>
      </c>
      <c r="M63" s="409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3" s="387"/>
      <c r="O63" s="387"/>
      <c r="P63" s="387"/>
      <c r="Q63" s="329"/>
      <c r="R63" s="35"/>
      <c r="S63" s="35"/>
      <c r="T63" s="36" t="s">
        <v>63</v>
      </c>
      <c r="U63" s="305">
        <v>0</v>
      </c>
      <c r="V63" s="306">
        <f t="shared" si="2"/>
        <v>0</v>
      </c>
      <c r="W63" s="37" t="str">
        <f>IFERROR(IF(V63=0,"",ROUNDUP(V63/H63,0)*0.02175),"")</f>
        <v/>
      </c>
      <c r="X63" s="57"/>
      <c r="Y63" s="58"/>
      <c r="AC63" s="59"/>
      <c r="AZ63" s="79" t="s">
        <v>1</v>
      </c>
    </row>
    <row r="64" spans="1:52" ht="27" customHeight="1" x14ac:dyDescent="0.25">
      <c r="A64" s="55" t="s">
        <v>119</v>
      </c>
      <c r="B64" s="55" t="s">
        <v>120</v>
      </c>
      <c r="C64" s="32">
        <v>4301011192</v>
      </c>
      <c r="D64" s="385">
        <v>4607091382952</v>
      </c>
      <c r="E64" s="329"/>
      <c r="F64" s="304">
        <v>0.5</v>
      </c>
      <c r="G64" s="33">
        <v>6</v>
      </c>
      <c r="H64" s="304">
        <v>3</v>
      </c>
      <c r="I64" s="304">
        <v>3.2</v>
      </c>
      <c r="J64" s="33">
        <v>156</v>
      </c>
      <c r="K64" s="34" t="s">
        <v>96</v>
      </c>
      <c r="L64" s="33">
        <v>50</v>
      </c>
      <c r="M64" s="41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4" s="387"/>
      <c r="O64" s="387"/>
      <c r="P64" s="387"/>
      <c r="Q64" s="329"/>
      <c r="R64" s="35"/>
      <c r="S64" s="35"/>
      <c r="T64" s="36" t="s">
        <v>63</v>
      </c>
      <c r="U64" s="305">
        <v>0</v>
      </c>
      <c r="V64" s="306">
        <f t="shared" si="2"/>
        <v>0</v>
      </c>
      <c r="W64" s="37" t="str">
        <f>IFERROR(IF(V64=0,"",ROUNDUP(V64/H64,0)*0.00753),"")</f>
        <v/>
      </c>
      <c r="X64" s="57"/>
      <c r="Y64" s="58"/>
      <c r="AC64" s="59"/>
      <c r="AZ64" s="80" t="s">
        <v>1</v>
      </c>
    </row>
    <row r="65" spans="1:52" ht="27" customHeight="1" x14ac:dyDescent="0.25">
      <c r="A65" s="55" t="s">
        <v>121</v>
      </c>
      <c r="B65" s="55" t="s">
        <v>122</v>
      </c>
      <c r="C65" s="32">
        <v>4301011382</v>
      </c>
      <c r="D65" s="385">
        <v>4607091385687</v>
      </c>
      <c r="E65" s="329"/>
      <c r="F65" s="304">
        <v>0.4</v>
      </c>
      <c r="G65" s="33">
        <v>10</v>
      </c>
      <c r="H65" s="304">
        <v>4</v>
      </c>
      <c r="I65" s="304">
        <v>4.24</v>
      </c>
      <c r="J65" s="33">
        <v>120</v>
      </c>
      <c r="K65" s="34" t="s">
        <v>123</v>
      </c>
      <c r="L65" s="33">
        <v>50</v>
      </c>
      <c r="M65" s="41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5" s="387"/>
      <c r="O65" s="387"/>
      <c r="P65" s="387"/>
      <c r="Q65" s="329"/>
      <c r="R65" s="35"/>
      <c r="S65" s="35"/>
      <c r="T65" s="36" t="s">
        <v>63</v>
      </c>
      <c r="U65" s="305">
        <v>8</v>
      </c>
      <c r="V65" s="306">
        <f t="shared" si="2"/>
        <v>8</v>
      </c>
      <c r="W65" s="37">
        <f t="shared" ref="W65:W70" si="3">IFERROR(IF(V65=0,"",ROUNDUP(V65/H65,0)*0.00937),"")</f>
        <v>1.874E-2</v>
      </c>
      <c r="X65" s="57"/>
      <c r="Y65" s="58"/>
      <c r="AC65" s="59"/>
      <c r="AZ65" s="81" t="s">
        <v>1</v>
      </c>
    </row>
    <row r="66" spans="1:52" ht="27" customHeight="1" x14ac:dyDescent="0.25">
      <c r="A66" s="55" t="s">
        <v>124</v>
      </c>
      <c r="B66" s="55" t="s">
        <v>125</v>
      </c>
      <c r="C66" s="32">
        <v>4301011565</v>
      </c>
      <c r="D66" s="385">
        <v>4680115882539</v>
      </c>
      <c r="E66" s="329"/>
      <c r="F66" s="304">
        <v>0.37</v>
      </c>
      <c r="G66" s="33">
        <v>10</v>
      </c>
      <c r="H66" s="304">
        <v>3.7</v>
      </c>
      <c r="I66" s="304">
        <v>3.94</v>
      </c>
      <c r="J66" s="33">
        <v>120</v>
      </c>
      <c r="K66" s="34" t="s">
        <v>123</v>
      </c>
      <c r="L66" s="33">
        <v>50</v>
      </c>
      <c r="M66" s="412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6" s="387"/>
      <c r="O66" s="387"/>
      <c r="P66" s="387"/>
      <c r="Q66" s="329"/>
      <c r="R66" s="35"/>
      <c r="S66" s="35"/>
      <c r="T66" s="36" t="s">
        <v>63</v>
      </c>
      <c r="U66" s="305">
        <v>0</v>
      </c>
      <c r="V66" s="306">
        <f t="shared" si="2"/>
        <v>0</v>
      </c>
      <c r="W66" s="37" t="str">
        <f t="shared" si="3"/>
        <v/>
      </c>
      <c r="X66" s="57"/>
      <c r="Y66" s="58"/>
      <c r="AC66" s="59"/>
      <c r="AZ66" s="82" t="s">
        <v>1</v>
      </c>
    </row>
    <row r="67" spans="1:52" ht="27" customHeight="1" x14ac:dyDescent="0.25">
      <c r="A67" s="55" t="s">
        <v>126</v>
      </c>
      <c r="B67" s="55" t="s">
        <v>127</v>
      </c>
      <c r="C67" s="32">
        <v>4301011344</v>
      </c>
      <c r="D67" s="385">
        <v>4607091384604</v>
      </c>
      <c r="E67" s="329"/>
      <c r="F67" s="304">
        <v>0.4</v>
      </c>
      <c r="G67" s="33">
        <v>10</v>
      </c>
      <c r="H67" s="304">
        <v>4</v>
      </c>
      <c r="I67" s="304">
        <v>4.24</v>
      </c>
      <c r="J67" s="33">
        <v>120</v>
      </c>
      <c r="K67" s="34" t="s">
        <v>96</v>
      </c>
      <c r="L67" s="33">
        <v>50</v>
      </c>
      <c r="M67" s="413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67" s="387"/>
      <c r="O67" s="387"/>
      <c r="P67" s="387"/>
      <c r="Q67" s="329"/>
      <c r="R67" s="35"/>
      <c r="S67" s="35"/>
      <c r="T67" s="36" t="s">
        <v>63</v>
      </c>
      <c r="U67" s="305">
        <v>0</v>
      </c>
      <c r="V67" s="306">
        <f t="shared" si="2"/>
        <v>0</v>
      </c>
      <c r="W67" s="37" t="str">
        <f t="shared" si="3"/>
        <v/>
      </c>
      <c r="X67" s="57"/>
      <c r="Y67" s="58"/>
      <c r="AC67" s="59"/>
      <c r="AZ67" s="83" t="s">
        <v>1</v>
      </c>
    </row>
    <row r="68" spans="1:52" ht="27" customHeight="1" x14ac:dyDescent="0.25">
      <c r="A68" s="55" t="s">
        <v>128</v>
      </c>
      <c r="B68" s="55" t="s">
        <v>129</v>
      </c>
      <c r="C68" s="32">
        <v>4301011386</v>
      </c>
      <c r="D68" s="385">
        <v>4680115880283</v>
      </c>
      <c r="E68" s="329"/>
      <c r="F68" s="304">
        <v>0.6</v>
      </c>
      <c r="G68" s="33">
        <v>8</v>
      </c>
      <c r="H68" s="304">
        <v>4.8</v>
      </c>
      <c r="I68" s="304">
        <v>5.04</v>
      </c>
      <c r="J68" s="33">
        <v>120</v>
      </c>
      <c r="K68" s="34" t="s">
        <v>96</v>
      </c>
      <c r="L68" s="33">
        <v>45</v>
      </c>
      <c r="M68" s="414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68" s="387"/>
      <c r="O68" s="387"/>
      <c r="P68" s="387"/>
      <c r="Q68" s="329"/>
      <c r="R68" s="35"/>
      <c r="S68" s="35"/>
      <c r="T68" s="36" t="s">
        <v>63</v>
      </c>
      <c r="U68" s="305">
        <v>0</v>
      </c>
      <c r="V68" s="306">
        <f t="shared" si="2"/>
        <v>0</v>
      </c>
      <c r="W68" s="37" t="str">
        <f t="shared" si="3"/>
        <v/>
      </c>
      <c r="X68" s="57"/>
      <c r="Y68" s="58"/>
      <c r="AC68" s="59"/>
      <c r="AZ68" s="84" t="s">
        <v>1</v>
      </c>
    </row>
    <row r="69" spans="1:52" ht="16.5" customHeight="1" x14ac:dyDescent="0.25">
      <c r="A69" s="55" t="s">
        <v>130</v>
      </c>
      <c r="B69" s="55" t="s">
        <v>131</v>
      </c>
      <c r="C69" s="32">
        <v>4301011476</v>
      </c>
      <c r="D69" s="385">
        <v>4680115881518</v>
      </c>
      <c r="E69" s="329"/>
      <c r="F69" s="304">
        <v>0.4</v>
      </c>
      <c r="G69" s="33">
        <v>10</v>
      </c>
      <c r="H69" s="304">
        <v>4</v>
      </c>
      <c r="I69" s="304">
        <v>4.24</v>
      </c>
      <c r="J69" s="33">
        <v>120</v>
      </c>
      <c r="K69" s="34" t="s">
        <v>123</v>
      </c>
      <c r="L69" s="33">
        <v>50</v>
      </c>
      <c r="M69" s="415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69" s="387"/>
      <c r="O69" s="387"/>
      <c r="P69" s="387"/>
      <c r="Q69" s="329"/>
      <c r="R69" s="35"/>
      <c r="S69" s="35"/>
      <c r="T69" s="36" t="s">
        <v>63</v>
      </c>
      <c r="U69" s="305">
        <v>0</v>
      </c>
      <c r="V69" s="306">
        <f t="shared" si="2"/>
        <v>0</v>
      </c>
      <c r="W69" s="37" t="str">
        <f t="shared" si="3"/>
        <v/>
      </c>
      <c r="X69" s="57"/>
      <c r="Y69" s="58"/>
      <c r="AC69" s="59"/>
      <c r="AZ69" s="85" t="s">
        <v>1</v>
      </c>
    </row>
    <row r="70" spans="1:52" ht="27" customHeight="1" x14ac:dyDescent="0.25">
      <c r="A70" s="55" t="s">
        <v>132</v>
      </c>
      <c r="B70" s="55" t="s">
        <v>133</v>
      </c>
      <c r="C70" s="32">
        <v>4301011443</v>
      </c>
      <c r="D70" s="385">
        <v>4680115881303</v>
      </c>
      <c r="E70" s="329"/>
      <c r="F70" s="304">
        <v>0.45</v>
      </c>
      <c r="G70" s="33">
        <v>10</v>
      </c>
      <c r="H70" s="304">
        <v>4.5</v>
      </c>
      <c r="I70" s="304">
        <v>4.71</v>
      </c>
      <c r="J70" s="33">
        <v>120</v>
      </c>
      <c r="K70" s="34" t="s">
        <v>114</v>
      </c>
      <c r="L70" s="33">
        <v>50</v>
      </c>
      <c r="M70" s="41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0" s="387"/>
      <c r="O70" s="387"/>
      <c r="P70" s="387"/>
      <c r="Q70" s="329"/>
      <c r="R70" s="35"/>
      <c r="S70" s="35"/>
      <c r="T70" s="36" t="s">
        <v>63</v>
      </c>
      <c r="U70" s="305">
        <v>0</v>
      </c>
      <c r="V70" s="306">
        <f t="shared" si="2"/>
        <v>0</v>
      </c>
      <c r="W70" s="37" t="str">
        <f t="shared" si="3"/>
        <v/>
      </c>
      <c r="X70" s="57"/>
      <c r="Y70" s="58"/>
      <c r="AC70" s="59"/>
      <c r="AZ70" s="86" t="s">
        <v>1</v>
      </c>
    </row>
    <row r="71" spans="1:52" ht="27" customHeight="1" x14ac:dyDescent="0.25">
      <c r="A71" s="55" t="s">
        <v>134</v>
      </c>
      <c r="B71" s="55" t="s">
        <v>135</v>
      </c>
      <c r="C71" s="32">
        <v>4301011352</v>
      </c>
      <c r="D71" s="385">
        <v>4607091388466</v>
      </c>
      <c r="E71" s="329"/>
      <c r="F71" s="304">
        <v>0.45</v>
      </c>
      <c r="G71" s="33">
        <v>6</v>
      </c>
      <c r="H71" s="304">
        <v>2.7</v>
      </c>
      <c r="I71" s="304">
        <v>2.9</v>
      </c>
      <c r="J71" s="33">
        <v>156</v>
      </c>
      <c r="K71" s="34" t="s">
        <v>123</v>
      </c>
      <c r="L71" s="33">
        <v>45</v>
      </c>
      <c r="M71" s="417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1" s="387"/>
      <c r="O71" s="387"/>
      <c r="P71" s="387"/>
      <c r="Q71" s="329"/>
      <c r="R71" s="35"/>
      <c r="S71" s="35"/>
      <c r="T71" s="36" t="s">
        <v>63</v>
      </c>
      <c r="U71" s="305">
        <v>8</v>
      </c>
      <c r="V71" s="306">
        <f t="shared" si="2"/>
        <v>8.1000000000000014</v>
      </c>
      <c r="W71" s="37">
        <f>IFERROR(IF(V71=0,"",ROUNDUP(V71/H71,0)*0.00753),"")</f>
        <v>2.2589999999999999E-2</v>
      </c>
      <c r="X71" s="57"/>
      <c r="Y71" s="58"/>
      <c r="AC71" s="59"/>
      <c r="AZ71" s="87" t="s">
        <v>1</v>
      </c>
    </row>
    <row r="72" spans="1:52" ht="27" customHeight="1" x14ac:dyDescent="0.25">
      <c r="A72" s="55" t="s">
        <v>136</v>
      </c>
      <c r="B72" s="55" t="s">
        <v>137</v>
      </c>
      <c r="C72" s="32">
        <v>4301011417</v>
      </c>
      <c r="D72" s="385">
        <v>4680115880269</v>
      </c>
      <c r="E72" s="329"/>
      <c r="F72" s="304">
        <v>0.375</v>
      </c>
      <c r="G72" s="33">
        <v>10</v>
      </c>
      <c r="H72" s="304">
        <v>3.75</v>
      </c>
      <c r="I72" s="304">
        <v>3.99</v>
      </c>
      <c r="J72" s="33">
        <v>120</v>
      </c>
      <c r="K72" s="34" t="s">
        <v>123</v>
      </c>
      <c r="L72" s="33">
        <v>50</v>
      </c>
      <c r="M72" s="418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2" s="387"/>
      <c r="O72" s="387"/>
      <c r="P72" s="387"/>
      <c r="Q72" s="329"/>
      <c r="R72" s="35"/>
      <c r="S72" s="35"/>
      <c r="T72" s="36" t="s">
        <v>63</v>
      </c>
      <c r="U72" s="305">
        <v>0</v>
      </c>
      <c r="V72" s="306">
        <f t="shared" si="2"/>
        <v>0</v>
      </c>
      <c r="W72" s="37" t="str">
        <f>IFERROR(IF(V72=0,"",ROUNDUP(V72/H72,0)*0.00937),"")</f>
        <v/>
      </c>
      <c r="X72" s="57"/>
      <c r="Y72" s="58"/>
      <c r="AC72" s="59"/>
      <c r="AZ72" s="88" t="s">
        <v>1</v>
      </c>
    </row>
    <row r="73" spans="1:52" ht="16.5" customHeight="1" x14ac:dyDescent="0.25">
      <c r="A73" s="55" t="s">
        <v>138</v>
      </c>
      <c r="B73" s="55" t="s">
        <v>139</v>
      </c>
      <c r="C73" s="32">
        <v>4301011415</v>
      </c>
      <c r="D73" s="385">
        <v>4680115880429</v>
      </c>
      <c r="E73" s="329"/>
      <c r="F73" s="304">
        <v>0.45</v>
      </c>
      <c r="G73" s="33">
        <v>10</v>
      </c>
      <c r="H73" s="304">
        <v>4.5</v>
      </c>
      <c r="I73" s="304">
        <v>4.74</v>
      </c>
      <c r="J73" s="33">
        <v>120</v>
      </c>
      <c r="K73" s="34" t="s">
        <v>123</v>
      </c>
      <c r="L73" s="33">
        <v>50</v>
      </c>
      <c r="M73" s="419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3" s="387"/>
      <c r="O73" s="387"/>
      <c r="P73" s="387"/>
      <c r="Q73" s="329"/>
      <c r="R73" s="35"/>
      <c r="S73" s="35"/>
      <c r="T73" s="36" t="s">
        <v>63</v>
      </c>
      <c r="U73" s="305">
        <v>0</v>
      </c>
      <c r="V73" s="306">
        <f t="shared" si="2"/>
        <v>0</v>
      </c>
      <c r="W73" s="37" t="str">
        <f>IFERROR(IF(V73=0,"",ROUNDUP(V73/H73,0)*0.00937),"")</f>
        <v/>
      </c>
      <c r="X73" s="57"/>
      <c r="Y73" s="58"/>
      <c r="AC73" s="59"/>
      <c r="AZ73" s="89" t="s">
        <v>1</v>
      </c>
    </row>
    <row r="74" spans="1:52" ht="16.5" customHeight="1" x14ac:dyDescent="0.25">
      <c r="A74" s="55" t="s">
        <v>140</v>
      </c>
      <c r="B74" s="55" t="s">
        <v>141</v>
      </c>
      <c r="C74" s="32">
        <v>4301011462</v>
      </c>
      <c r="D74" s="385">
        <v>4680115881457</v>
      </c>
      <c r="E74" s="329"/>
      <c r="F74" s="304">
        <v>0.75</v>
      </c>
      <c r="G74" s="33">
        <v>6</v>
      </c>
      <c r="H74" s="304">
        <v>4.5</v>
      </c>
      <c r="I74" s="304">
        <v>4.74</v>
      </c>
      <c r="J74" s="33">
        <v>120</v>
      </c>
      <c r="K74" s="34" t="s">
        <v>123</v>
      </c>
      <c r="L74" s="33">
        <v>50</v>
      </c>
      <c r="M74" s="420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4" s="387"/>
      <c r="O74" s="387"/>
      <c r="P74" s="387"/>
      <c r="Q74" s="329"/>
      <c r="R74" s="35"/>
      <c r="S74" s="35"/>
      <c r="T74" s="36" t="s">
        <v>63</v>
      </c>
      <c r="U74" s="305">
        <v>0</v>
      </c>
      <c r="V74" s="306">
        <f t="shared" si="2"/>
        <v>0</v>
      </c>
      <c r="W74" s="37" t="str">
        <f>IFERROR(IF(V74=0,"",ROUNDUP(V74/H74,0)*0.00937),"")</f>
        <v/>
      </c>
      <c r="X74" s="57"/>
      <c r="Y74" s="58"/>
      <c r="AC74" s="59"/>
      <c r="AZ74" s="90" t="s">
        <v>1</v>
      </c>
    </row>
    <row r="75" spans="1:52" x14ac:dyDescent="0.2">
      <c r="A75" s="389"/>
      <c r="B75" s="313"/>
      <c r="C75" s="313"/>
      <c r="D75" s="313"/>
      <c r="E75" s="313"/>
      <c r="F75" s="313"/>
      <c r="G75" s="313"/>
      <c r="H75" s="313"/>
      <c r="I75" s="313"/>
      <c r="J75" s="313"/>
      <c r="K75" s="313"/>
      <c r="L75" s="390"/>
      <c r="M75" s="388" t="s">
        <v>64</v>
      </c>
      <c r="N75" s="341"/>
      <c r="O75" s="341"/>
      <c r="P75" s="341"/>
      <c r="Q75" s="341"/>
      <c r="R75" s="341"/>
      <c r="S75" s="342"/>
      <c r="T75" s="38" t="s">
        <v>65</v>
      </c>
      <c r="U75" s="307">
        <f>IFERROR(U59/H59,"0")+IFERROR(U60/H60,"0")+IFERROR(U61/H61,"0")+IFERROR(U62/H62,"0")+IFERROR(U63/H63,"0")+IFERROR(U64/H64,"0")+IFERROR(U65/H65,"0")+IFERROR(U66/H66,"0")+IFERROR(U67/H67,"0")+IFERROR(U68/H68,"0")+IFERROR(U69/H69,"0")+IFERROR(U70/H70,"0")+IFERROR(U71/H71,"0")+IFERROR(U72/H72,"0")+IFERROR(U73/H73,"0")+IFERROR(U74/H74,"0")</f>
        <v>17.925925925925924</v>
      </c>
      <c r="V75" s="307">
        <f>IFERROR(V59/H59,"0")+IFERROR(V60/H60,"0")+IFERROR(V61/H61,"0")+IFERROR(V62/H62,"0")+IFERROR(V63/H63,"0")+IFERROR(V64/H64,"0")+IFERROR(V65/H65,"0")+IFERROR(V66/H66,"0")+IFERROR(V67/H67,"0")+IFERROR(V68/H68,"0")+IFERROR(V69/H69,"0")+IFERROR(V70/H70,"0")+IFERROR(V71/H71,"0")+IFERROR(V72/H72,"0")+IFERROR(V73/H73,"0")+IFERROR(V74/H74,"0")</f>
        <v>19</v>
      </c>
      <c r="W75" s="307">
        <f>IFERROR(IF(W59="",0,W59),"0")+IFERROR(IF(W60="",0,W60),"0")+IFERROR(IF(W61="",0,W61),"0")+IFERROR(IF(W62="",0,W62),"0")+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</f>
        <v>0.34582999999999997</v>
      </c>
      <c r="X75" s="308"/>
      <c r="Y75" s="308"/>
    </row>
    <row r="76" spans="1:52" x14ac:dyDescent="0.2">
      <c r="A76" s="313"/>
      <c r="B76" s="313"/>
      <c r="C76" s="313"/>
      <c r="D76" s="313"/>
      <c r="E76" s="313"/>
      <c r="F76" s="313"/>
      <c r="G76" s="313"/>
      <c r="H76" s="313"/>
      <c r="I76" s="313"/>
      <c r="J76" s="313"/>
      <c r="K76" s="313"/>
      <c r="L76" s="390"/>
      <c r="M76" s="388" t="s">
        <v>64</v>
      </c>
      <c r="N76" s="341"/>
      <c r="O76" s="341"/>
      <c r="P76" s="341"/>
      <c r="Q76" s="341"/>
      <c r="R76" s="341"/>
      <c r="S76" s="342"/>
      <c r="T76" s="38" t="s">
        <v>63</v>
      </c>
      <c r="U76" s="307">
        <f>IFERROR(SUM(U59:U74),"0")</f>
        <v>156</v>
      </c>
      <c r="V76" s="307">
        <f>IFERROR(SUM(V59:V74),"0")</f>
        <v>167.3</v>
      </c>
      <c r="W76" s="38"/>
      <c r="X76" s="308"/>
      <c r="Y76" s="308"/>
    </row>
    <row r="77" spans="1:52" ht="14.25" customHeight="1" x14ac:dyDescent="0.25">
      <c r="A77" s="384" t="s">
        <v>93</v>
      </c>
      <c r="B77" s="313"/>
      <c r="C77" s="313"/>
      <c r="D77" s="313"/>
      <c r="E77" s="313"/>
      <c r="F77" s="313"/>
      <c r="G77" s="313"/>
      <c r="H77" s="313"/>
      <c r="I77" s="313"/>
      <c r="J77" s="313"/>
      <c r="K77" s="313"/>
      <c r="L77" s="313"/>
      <c r="M77" s="313"/>
      <c r="N77" s="313"/>
      <c r="O77" s="313"/>
      <c r="P77" s="313"/>
      <c r="Q77" s="313"/>
      <c r="R77" s="313"/>
      <c r="S77" s="313"/>
      <c r="T77" s="313"/>
      <c r="U77" s="313"/>
      <c r="V77" s="313"/>
      <c r="W77" s="313"/>
      <c r="X77" s="302"/>
      <c r="Y77" s="302"/>
    </row>
    <row r="78" spans="1:52" ht="16.5" customHeight="1" x14ac:dyDescent="0.25">
      <c r="A78" s="55" t="s">
        <v>142</v>
      </c>
      <c r="B78" s="55" t="s">
        <v>143</v>
      </c>
      <c r="C78" s="32">
        <v>4301020204</v>
      </c>
      <c r="D78" s="385">
        <v>4607091388442</v>
      </c>
      <c r="E78" s="329"/>
      <c r="F78" s="304">
        <v>1.35</v>
      </c>
      <c r="G78" s="33">
        <v>8</v>
      </c>
      <c r="H78" s="304">
        <v>10.8</v>
      </c>
      <c r="I78" s="304">
        <v>11.28</v>
      </c>
      <c r="J78" s="33">
        <v>56</v>
      </c>
      <c r="K78" s="34" t="s">
        <v>96</v>
      </c>
      <c r="L78" s="33">
        <v>45</v>
      </c>
      <c r="M78" s="421" t="str">
        <f>HYPERLINK("https://abi.ru/products/Охлажденные/Вязанка/Вязанка/Ветчины/P001620/","Ветчины Вязанка с индейкой Вязанка Весовые Вектор Вязанка")</f>
        <v>Ветчины Вязанка с индейкой Вязанка Весовые Вектор Вязанка</v>
      </c>
      <c r="N78" s="387"/>
      <c r="O78" s="387"/>
      <c r="P78" s="387"/>
      <c r="Q78" s="329"/>
      <c r="R78" s="35"/>
      <c r="S78" s="35"/>
      <c r="T78" s="36" t="s">
        <v>63</v>
      </c>
      <c r="U78" s="305">
        <v>0</v>
      </c>
      <c r="V78" s="306">
        <f t="shared" ref="V78:V84" si="4">IFERROR(IF(U78="",0,CEILING((U78/$H78),1)*$H78),"")</f>
        <v>0</v>
      </c>
      <c r="W78" s="37" t="str">
        <f>IFERROR(IF(V78=0,"",ROUNDUP(V78/H78,0)*0.02175),"")</f>
        <v/>
      </c>
      <c r="X78" s="57"/>
      <c r="Y78" s="58"/>
      <c r="AC78" s="59"/>
      <c r="AZ78" s="91" t="s">
        <v>1</v>
      </c>
    </row>
    <row r="79" spans="1:52" ht="27" customHeight="1" x14ac:dyDescent="0.25">
      <c r="A79" s="55" t="s">
        <v>144</v>
      </c>
      <c r="B79" s="55" t="s">
        <v>145</v>
      </c>
      <c r="C79" s="32">
        <v>4301020189</v>
      </c>
      <c r="D79" s="385">
        <v>4607091384789</v>
      </c>
      <c r="E79" s="329"/>
      <c r="F79" s="304">
        <v>1</v>
      </c>
      <c r="G79" s="33">
        <v>6</v>
      </c>
      <c r="H79" s="304">
        <v>6</v>
      </c>
      <c r="I79" s="304">
        <v>6.36</v>
      </c>
      <c r="J79" s="33">
        <v>104</v>
      </c>
      <c r="K79" s="34" t="s">
        <v>96</v>
      </c>
      <c r="L79" s="33">
        <v>45</v>
      </c>
      <c r="M79" s="422" t="s">
        <v>146</v>
      </c>
      <c r="N79" s="387"/>
      <c r="O79" s="387"/>
      <c r="P79" s="387"/>
      <c r="Q79" s="329"/>
      <c r="R79" s="35"/>
      <c r="S79" s="35"/>
      <c r="T79" s="36" t="s">
        <v>63</v>
      </c>
      <c r="U79" s="305">
        <v>0</v>
      </c>
      <c r="V79" s="306">
        <f t="shared" si="4"/>
        <v>0</v>
      </c>
      <c r="W79" s="37" t="str">
        <f>IFERROR(IF(V79=0,"",ROUNDUP(V79/H79,0)*0.01196),"")</f>
        <v/>
      </c>
      <c r="X79" s="57"/>
      <c r="Y79" s="58"/>
      <c r="AC79" s="59"/>
      <c r="AZ79" s="92" t="s">
        <v>1</v>
      </c>
    </row>
    <row r="80" spans="1:52" ht="16.5" customHeight="1" x14ac:dyDescent="0.25">
      <c r="A80" s="55" t="s">
        <v>147</v>
      </c>
      <c r="B80" s="55" t="s">
        <v>148</v>
      </c>
      <c r="C80" s="32">
        <v>4301020235</v>
      </c>
      <c r="D80" s="385">
        <v>4680115881488</v>
      </c>
      <c r="E80" s="329"/>
      <c r="F80" s="304">
        <v>1.35</v>
      </c>
      <c r="G80" s="33">
        <v>8</v>
      </c>
      <c r="H80" s="304">
        <v>10.8</v>
      </c>
      <c r="I80" s="304">
        <v>11.28</v>
      </c>
      <c r="J80" s="33">
        <v>48</v>
      </c>
      <c r="K80" s="34" t="s">
        <v>96</v>
      </c>
      <c r="L80" s="33">
        <v>50</v>
      </c>
      <c r="M80" s="423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0" s="387"/>
      <c r="O80" s="387"/>
      <c r="P80" s="387"/>
      <c r="Q80" s="329"/>
      <c r="R80" s="35"/>
      <c r="S80" s="35"/>
      <c r="T80" s="36" t="s">
        <v>63</v>
      </c>
      <c r="U80" s="305">
        <v>0</v>
      </c>
      <c r="V80" s="306">
        <f t="shared" si="4"/>
        <v>0</v>
      </c>
      <c r="W80" s="37" t="str">
        <f>IFERROR(IF(V80=0,"",ROUNDUP(V80/H80,0)*0.02175),"")</f>
        <v/>
      </c>
      <c r="X80" s="57"/>
      <c r="Y80" s="58"/>
      <c r="AC80" s="59"/>
      <c r="AZ80" s="93" t="s">
        <v>1</v>
      </c>
    </row>
    <row r="81" spans="1:52" ht="27" customHeight="1" x14ac:dyDescent="0.25">
      <c r="A81" s="55" t="s">
        <v>149</v>
      </c>
      <c r="B81" s="55" t="s">
        <v>150</v>
      </c>
      <c r="C81" s="32">
        <v>4301020183</v>
      </c>
      <c r="D81" s="385">
        <v>4607091384765</v>
      </c>
      <c r="E81" s="329"/>
      <c r="F81" s="304">
        <v>0.42</v>
      </c>
      <c r="G81" s="33">
        <v>6</v>
      </c>
      <c r="H81" s="304">
        <v>2.52</v>
      </c>
      <c r="I81" s="304">
        <v>2.72</v>
      </c>
      <c r="J81" s="33">
        <v>156</v>
      </c>
      <c r="K81" s="34" t="s">
        <v>96</v>
      </c>
      <c r="L81" s="33">
        <v>45</v>
      </c>
      <c r="M81" s="424" t="s">
        <v>151</v>
      </c>
      <c r="N81" s="387"/>
      <c r="O81" s="387"/>
      <c r="P81" s="387"/>
      <c r="Q81" s="329"/>
      <c r="R81" s="35"/>
      <c r="S81" s="35"/>
      <c r="T81" s="36" t="s">
        <v>63</v>
      </c>
      <c r="U81" s="305">
        <v>0</v>
      </c>
      <c r="V81" s="306">
        <f t="shared" si="4"/>
        <v>0</v>
      </c>
      <c r="W81" s="37" t="str">
        <f>IFERROR(IF(V81=0,"",ROUNDUP(V81/H81,0)*0.00753),"")</f>
        <v/>
      </c>
      <c r="X81" s="57"/>
      <c r="Y81" s="58"/>
      <c r="AC81" s="59"/>
      <c r="AZ81" s="94" t="s">
        <v>1</v>
      </c>
    </row>
    <row r="82" spans="1:52" ht="27" customHeight="1" x14ac:dyDescent="0.25">
      <c r="A82" s="55" t="s">
        <v>152</v>
      </c>
      <c r="B82" s="55" t="s">
        <v>153</v>
      </c>
      <c r="C82" s="32">
        <v>4301020258</v>
      </c>
      <c r="D82" s="385">
        <v>4680115882775</v>
      </c>
      <c r="E82" s="329"/>
      <c r="F82" s="304">
        <v>0.3</v>
      </c>
      <c r="G82" s="33">
        <v>8</v>
      </c>
      <c r="H82" s="304">
        <v>2.4</v>
      </c>
      <c r="I82" s="304">
        <v>2.5</v>
      </c>
      <c r="J82" s="33">
        <v>234</v>
      </c>
      <c r="K82" s="34" t="s">
        <v>123</v>
      </c>
      <c r="L82" s="33">
        <v>50</v>
      </c>
      <c r="M82" s="425" t="s">
        <v>154</v>
      </c>
      <c r="N82" s="387"/>
      <c r="O82" s="387"/>
      <c r="P82" s="387"/>
      <c r="Q82" s="329"/>
      <c r="R82" s="35"/>
      <c r="S82" s="35"/>
      <c r="T82" s="36" t="s">
        <v>63</v>
      </c>
      <c r="U82" s="305">
        <v>0</v>
      </c>
      <c r="V82" s="306">
        <f t="shared" si="4"/>
        <v>0</v>
      </c>
      <c r="W82" s="37" t="str">
        <f>IFERROR(IF(V82=0,"",ROUNDUP(V82/H82,0)*0.00502),"")</f>
        <v/>
      </c>
      <c r="X82" s="57"/>
      <c r="Y82" s="58"/>
      <c r="AC82" s="59"/>
      <c r="AZ82" s="95" t="s">
        <v>1</v>
      </c>
    </row>
    <row r="83" spans="1:52" ht="27" customHeight="1" x14ac:dyDescent="0.25">
      <c r="A83" s="55" t="s">
        <v>155</v>
      </c>
      <c r="B83" s="55" t="s">
        <v>156</v>
      </c>
      <c r="C83" s="32">
        <v>4301020217</v>
      </c>
      <c r="D83" s="385">
        <v>4680115880658</v>
      </c>
      <c r="E83" s="329"/>
      <c r="F83" s="304">
        <v>0.4</v>
      </c>
      <c r="G83" s="33">
        <v>6</v>
      </c>
      <c r="H83" s="304">
        <v>2.4</v>
      </c>
      <c r="I83" s="304">
        <v>2.6</v>
      </c>
      <c r="J83" s="33">
        <v>156</v>
      </c>
      <c r="K83" s="34" t="s">
        <v>96</v>
      </c>
      <c r="L83" s="33">
        <v>50</v>
      </c>
      <c r="M83" s="42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3" s="387"/>
      <c r="O83" s="387"/>
      <c r="P83" s="387"/>
      <c r="Q83" s="329"/>
      <c r="R83" s="35"/>
      <c r="S83" s="35"/>
      <c r="T83" s="36" t="s">
        <v>63</v>
      </c>
      <c r="U83" s="305">
        <v>0</v>
      </c>
      <c r="V83" s="306">
        <f t="shared" si="4"/>
        <v>0</v>
      </c>
      <c r="W83" s="37" t="str">
        <f>IFERROR(IF(V83=0,"",ROUNDUP(V83/H83,0)*0.00753),"")</f>
        <v/>
      </c>
      <c r="X83" s="57"/>
      <c r="Y83" s="58"/>
      <c r="AC83" s="59"/>
      <c r="AZ83" s="96" t="s">
        <v>1</v>
      </c>
    </row>
    <row r="84" spans="1:52" ht="27" customHeight="1" x14ac:dyDescent="0.25">
      <c r="A84" s="55" t="s">
        <v>157</v>
      </c>
      <c r="B84" s="55" t="s">
        <v>158</v>
      </c>
      <c r="C84" s="32">
        <v>4301020223</v>
      </c>
      <c r="D84" s="385">
        <v>4607091381962</v>
      </c>
      <c r="E84" s="329"/>
      <c r="F84" s="304">
        <v>0.5</v>
      </c>
      <c r="G84" s="33">
        <v>6</v>
      </c>
      <c r="H84" s="304">
        <v>3</v>
      </c>
      <c r="I84" s="304">
        <v>3.2</v>
      </c>
      <c r="J84" s="33">
        <v>156</v>
      </c>
      <c r="K84" s="34" t="s">
        <v>96</v>
      </c>
      <c r="L84" s="33">
        <v>50</v>
      </c>
      <c r="M84" s="427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4" s="387"/>
      <c r="O84" s="387"/>
      <c r="P84" s="387"/>
      <c r="Q84" s="329"/>
      <c r="R84" s="35"/>
      <c r="S84" s="35"/>
      <c r="T84" s="36" t="s">
        <v>63</v>
      </c>
      <c r="U84" s="305">
        <v>36</v>
      </c>
      <c r="V84" s="306">
        <f t="shared" si="4"/>
        <v>36</v>
      </c>
      <c r="W84" s="37">
        <f>IFERROR(IF(V84=0,"",ROUNDUP(V84/H84,0)*0.00753),"")</f>
        <v>9.0359999999999996E-2</v>
      </c>
      <c r="X84" s="57"/>
      <c r="Y84" s="58"/>
      <c r="AC84" s="59"/>
      <c r="AZ84" s="97" t="s">
        <v>1</v>
      </c>
    </row>
    <row r="85" spans="1:52" x14ac:dyDescent="0.2">
      <c r="A85" s="389"/>
      <c r="B85" s="313"/>
      <c r="C85" s="313"/>
      <c r="D85" s="313"/>
      <c r="E85" s="313"/>
      <c r="F85" s="313"/>
      <c r="G85" s="313"/>
      <c r="H85" s="313"/>
      <c r="I85" s="313"/>
      <c r="J85" s="313"/>
      <c r="K85" s="313"/>
      <c r="L85" s="390"/>
      <c r="M85" s="388" t="s">
        <v>64</v>
      </c>
      <c r="N85" s="341"/>
      <c r="O85" s="341"/>
      <c r="P85" s="341"/>
      <c r="Q85" s="341"/>
      <c r="R85" s="341"/>
      <c r="S85" s="342"/>
      <c r="T85" s="38" t="s">
        <v>65</v>
      </c>
      <c r="U85" s="307">
        <f>IFERROR(U78/H78,"0")+IFERROR(U79/H79,"0")+IFERROR(U80/H80,"0")+IFERROR(U81/H81,"0")+IFERROR(U82/H82,"0")+IFERROR(U83/H83,"0")+IFERROR(U84/H84,"0")</f>
        <v>12</v>
      </c>
      <c r="V85" s="307">
        <f>IFERROR(V78/H78,"0")+IFERROR(V79/H79,"0")+IFERROR(V80/H80,"0")+IFERROR(V81/H81,"0")+IFERROR(V82/H82,"0")+IFERROR(V83/H83,"0")+IFERROR(V84/H84,"0")</f>
        <v>12</v>
      </c>
      <c r="W85" s="307">
        <f>IFERROR(IF(W78="",0,W78),"0")+IFERROR(IF(W79="",0,W79),"0")+IFERROR(IF(W80="",0,W80),"0")+IFERROR(IF(W81="",0,W81),"0")+IFERROR(IF(W82="",0,W82),"0")+IFERROR(IF(W83="",0,W83),"0")+IFERROR(IF(W84="",0,W84),"0")</f>
        <v>9.0359999999999996E-2</v>
      </c>
      <c r="X85" s="308"/>
      <c r="Y85" s="308"/>
    </row>
    <row r="86" spans="1:52" x14ac:dyDescent="0.2">
      <c r="A86" s="313"/>
      <c r="B86" s="313"/>
      <c r="C86" s="313"/>
      <c r="D86" s="313"/>
      <c r="E86" s="313"/>
      <c r="F86" s="313"/>
      <c r="G86" s="313"/>
      <c r="H86" s="313"/>
      <c r="I86" s="313"/>
      <c r="J86" s="313"/>
      <c r="K86" s="313"/>
      <c r="L86" s="390"/>
      <c r="M86" s="388" t="s">
        <v>64</v>
      </c>
      <c r="N86" s="341"/>
      <c r="O86" s="341"/>
      <c r="P86" s="341"/>
      <c r="Q86" s="341"/>
      <c r="R86" s="341"/>
      <c r="S86" s="342"/>
      <c r="T86" s="38" t="s">
        <v>63</v>
      </c>
      <c r="U86" s="307">
        <f>IFERROR(SUM(U78:U84),"0")</f>
        <v>36</v>
      </c>
      <c r="V86" s="307">
        <f>IFERROR(SUM(V78:V84),"0")</f>
        <v>36</v>
      </c>
      <c r="W86" s="38"/>
      <c r="X86" s="308"/>
      <c r="Y86" s="308"/>
    </row>
    <row r="87" spans="1:52" ht="14.25" customHeight="1" x14ac:dyDescent="0.25">
      <c r="A87" s="384" t="s">
        <v>59</v>
      </c>
      <c r="B87" s="313"/>
      <c r="C87" s="313"/>
      <c r="D87" s="313"/>
      <c r="E87" s="313"/>
      <c r="F87" s="313"/>
      <c r="G87" s="313"/>
      <c r="H87" s="313"/>
      <c r="I87" s="313"/>
      <c r="J87" s="313"/>
      <c r="K87" s="313"/>
      <c r="L87" s="313"/>
      <c r="M87" s="313"/>
      <c r="N87" s="313"/>
      <c r="O87" s="313"/>
      <c r="P87" s="313"/>
      <c r="Q87" s="313"/>
      <c r="R87" s="313"/>
      <c r="S87" s="313"/>
      <c r="T87" s="313"/>
      <c r="U87" s="313"/>
      <c r="V87" s="313"/>
      <c r="W87" s="313"/>
      <c r="X87" s="302"/>
      <c r="Y87" s="302"/>
    </row>
    <row r="88" spans="1:52" ht="16.5" customHeight="1" x14ac:dyDescent="0.25">
      <c r="A88" s="55" t="s">
        <v>159</v>
      </c>
      <c r="B88" s="55" t="s">
        <v>160</v>
      </c>
      <c r="C88" s="32">
        <v>4301030895</v>
      </c>
      <c r="D88" s="385">
        <v>4607091387667</v>
      </c>
      <c r="E88" s="329"/>
      <c r="F88" s="304">
        <v>0.9</v>
      </c>
      <c r="G88" s="33">
        <v>10</v>
      </c>
      <c r="H88" s="304">
        <v>9</v>
      </c>
      <c r="I88" s="304">
        <v>9.6300000000000008</v>
      </c>
      <c r="J88" s="33">
        <v>56</v>
      </c>
      <c r="K88" s="34" t="s">
        <v>96</v>
      </c>
      <c r="L88" s="33">
        <v>40</v>
      </c>
      <c r="M88" s="42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88" s="387"/>
      <c r="O88" s="387"/>
      <c r="P88" s="387"/>
      <c r="Q88" s="329"/>
      <c r="R88" s="35"/>
      <c r="S88" s="35"/>
      <c r="T88" s="36" t="s">
        <v>63</v>
      </c>
      <c r="U88" s="305">
        <v>0</v>
      </c>
      <c r="V88" s="306">
        <f t="shared" ref="V88:V96" si="5">IFERROR(IF(U88="",0,CEILING((U88/$H88),1)*$H88),"")</f>
        <v>0</v>
      </c>
      <c r="W88" s="37" t="str">
        <f>IFERROR(IF(V88=0,"",ROUNDUP(V88/H88,0)*0.02175),"")</f>
        <v/>
      </c>
      <c r="X88" s="57"/>
      <c r="Y88" s="58"/>
      <c r="AC88" s="59"/>
      <c r="AZ88" s="98" t="s">
        <v>1</v>
      </c>
    </row>
    <row r="89" spans="1:52" ht="27" customHeight="1" x14ac:dyDescent="0.25">
      <c r="A89" s="55" t="s">
        <v>161</v>
      </c>
      <c r="B89" s="55" t="s">
        <v>162</v>
      </c>
      <c r="C89" s="32">
        <v>4301030961</v>
      </c>
      <c r="D89" s="385">
        <v>4607091387636</v>
      </c>
      <c r="E89" s="329"/>
      <c r="F89" s="304">
        <v>0.7</v>
      </c>
      <c r="G89" s="33">
        <v>6</v>
      </c>
      <c r="H89" s="304">
        <v>4.2</v>
      </c>
      <c r="I89" s="304">
        <v>4.5</v>
      </c>
      <c r="J89" s="33">
        <v>120</v>
      </c>
      <c r="K89" s="34" t="s">
        <v>62</v>
      </c>
      <c r="L89" s="33">
        <v>40</v>
      </c>
      <c r="M89" s="42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89" s="387"/>
      <c r="O89" s="387"/>
      <c r="P89" s="387"/>
      <c r="Q89" s="329"/>
      <c r="R89" s="35"/>
      <c r="S89" s="35"/>
      <c r="T89" s="36" t="s">
        <v>63</v>
      </c>
      <c r="U89" s="305">
        <v>0</v>
      </c>
      <c r="V89" s="306">
        <f t="shared" si="5"/>
        <v>0</v>
      </c>
      <c r="W89" s="37" t="str">
        <f>IFERROR(IF(V89=0,"",ROUNDUP(V89/H89,0)*0.00937),"")</f>
        <v/>
      </c>
      <c r="X89" s="57"/>
      <c r="Y89" s="58"/>
      <c r="AC89" s="59"/>
      <c r="AZ89" s="99" t="s">
        <v>1</v>
      </c>
    </row>
    <row r="90" spans="1:52" ht="27" customHeight="1" x14ac:dyDescent="0.25">
      <c r="A90" s="55" t="s">
        <v>163</v>
      </c>
      <c r="B90" s="55" t="s">
        <v>164</v>
      </c>
      <c r="C90" s="32">
        <v>4301031078</v>
      </c>
      <c r="D90" s="385">
        <v>4607091384727</v>
      </c>
      <c r="E90" s="329"/>
      <c r="F90" s="304">
        <v>0.8</v>
      </c>
      <c r="G90" s="33">
        <v>6</v>
      </c>
      <c r="H90" s="304">
        <v>4.8</v>
      </c>
      <c r="I90" s="304">
        <v>5.16</v>
      </c>
      <c r="J90" s="33">
        <v>104</v>
      </c>
      <c r="K90" s="34" t="s">
        <v>62</v>
      </c>
      <c r="L90" s="33">
        <v>45</v>
      </c>
      <c r="M90" s="430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0" s="387"/>
      <c r="O90" s="387"/>
      <c r="P90" s="387"/>
      <c r="Q90" s="329"/>
      <c r="R90" s="35"/>
      <c r="S90" s="35"/>
      <c r="T90" s="36" t="s">
        <v>63</v>
      </c>
      <c r="U90" s="305">
        <v>0</v>
      </c>
      <c r="V90" s="306">
        <f t="shared" si="5"/>
        <v>0</v>
      </c>
      <c r="W90" s="37" t="str">
        <f>IFERROR(IF(V90=0,"",ROUNDUP(V90/H90,0)*0.01196),"")</f>
        <v/>
      </c>
      <c r="X90" s="57"/>
      <c r="Y90" s="58"/>
      <c r="AC90" s="59"/>
      <c r="AZ90" s="100" t="s">
        <v>1</v>
      </c>
    </row>
    <row r="91" spans="1:52" ht="27" customHeight="1" x14ac:dyDescent="0.25">
      <c r="A91" s="55" t="s">
        <v>165</v>
      </c>
      <c r="B91" s="55" t="s">
        <v>166</v>
      </c>
      <c r="C91" s="32">
        <v>4301031080</v>
      </c>
      <c r="D91" s="385">
        <v>4607091386745</v>
      </c>
      <c r="E91" s="329"/>
      <c r="F91" s="304">
        <v>0.8</v>
      </c>
      <c r="G91" s="33">
        <v>6</v>
      </c>
      <c r="H91" s="304">
        <v>4.8</v>
      </c>
      <c r="I91" s="304">
        <v>5.16</v>
      </c>
      <c r="J91" s="33">
        <v>104</v>
      </c>
      <c r="K91" s="34" t="s">
        <v>62</v>
      </c>
      <c r="L91" s="33">
        <v>45</v>
      </c>
      <c r="M91" s="431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1" s="387"/>
      <c r="O91" s="387"/>
      <c r="P91" s="387"/>
      <c r="Q91" s="329"/>
      <c r="R91" s="35"/>
      <c r="S91" s="35"/>
      <c r="T91" s="36" t="s">
        <v>63</v>
      </c>
      <c r="U91" s="305">
        <v>0</v>
      </c>
      <c r="V91" s="306">
        <f t="shared" si="5"/>
        <v>0</v>
      </c>
      <c r="W91" s="37" t="str">
        <f>IFERROR(IF(V91=0,"",ROUNDUP(V91/H91,0)*0.01196),"")</f>
        <v/>
      </c>
      <c r="X91" s="57"/>
      <c r="Y91" s="58"/>
      <c r="AC91" s="59"/>
      <c r="AZ91" s="101" t="s">
        <v>1</v>
      </c>
    </row>
    <row r="92" spans="1:52" ht="16.5" customHeight="1" x14ac:dyDescent="0.25">
      <c r="A92" s="55" t="s">
        <v>167</v>
      </c>
      <c r="B92" s="55" t="s">
        <v>168</v>
      </c>
      <c r="C92" s="32">
        <v>4301030963</v>
      </c>
      <c r="D92" s="385">
        <v>4607091382426</v>
      </c>
      <c r="E92" s="329"/>
      <c r="F92" s="304">
        <v>0.9</v>
      </c>
      <c r="G92" s="33">
        <v>10</v>
      </c>
      <c r="H92" s="304">
        <v>9</v>
      </c>
      <c r="I92" s="304">
        <v>9.6300000000000008</v>
      </c>
      <c r="J92" s="33">
        <v>56</v>
      </c>
      <c r="K92" s="34" t="s">
        <v>62</v>
      </c>
      <c r="L92" s="33">
        <v>40</v>
      </c>
      <c r="M92" s="43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2" s="387"/>
      <c r="O92" s="387"/>
      <c r="P92" s="387"/>
      <c r="Q92" s="329"/>
      <c r="R92" s="35"/>
      <c r="S92" s="35"/>
      <c r="T92" s="36" t="s">
        <v>63</v>
      </c>
      <c r="U92" s="305">
        <v>0</v>
      </c>
      <c r="V92" s="306">
        <f t="shared" si="5"/>
        <v>0</v>
      </c>
      <c r="W92" s="37" t="str">
        <f>IFERROR(IF(V92=0,"",ROUNDUP(V92/H92,0)*0.02175),"")</f>
        <v/>
      </c>
      <c r="X92" s="57"/>
      <c r="Y92" s="58"/>
      <c r="AC92" s="59"/>
      <c r="AZ92" s="102" t="s">
        <v>1</v>
      </c>
    </row>
    <row r="93" spans="1:52" ht="27" customHeight="1" x14ac:dyDescent="0.25">
      <c r="A93" s="55" t="s">
        <v>169</v>
      </c>
      <c r="B93" s="55" t="s">
        <v>170</v>
      </c>
      <c r="C93" s="32">
        <v>4301030962</v>
      </c>
      <c r="D93" s="385">
        <v>4607091386547</v>
      </c>
      <c r="E93" s="329"/>
      <c r="F93" s="304">
        <v>0.35</v>
      </c>
      <c r="G93" s="33">
        <v>8</v>
      </c>
      <c r="H93" s="304">
        <v>2.8</v>
      </c>
      <c r="I93" s="304">
        <v>2.94</v>
      </c>
      <c r="J93" s="33">
        <v>234</v>
      </c>
      <c r="K93" s="34" t="s">
        <v>62</v>
      </c>
      <c r="L93" s="33">
        <v>40</v>
      </c>
      <c r="M93" s="433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3" s="387"/>
      <c r="O93" s="387"/>
      <c r="P93" s="387"/>
      <c r="Q93" s="329"/>
      <c r="R93" s="35"/>
      <c r="S93" s="35"/>
      <c r="T93" s="36" t="s">
        <v>63</v>
      </c>
      <c r="U93" s="305">
        <v>0</v>
      </c>
      <c r="V93" s="306">
        <f t="shared" si="5"/>
        <v>0</v>
      </c>
      <c r="W93" s="37" t="str">
        <f>IFERROR(IF(V93=0,"",ROUNDUP(V93/H93,0)*0.00502),"")</f>
        <v/>
      </c>
      <c r="X93" s="57"/>
      <c r="Y93" s="58"/>
      <c r="AC93" s="59"/>
      <c r="AZ93" s="103" t="s">
        <v>1</v>
      </c>
    </row>
    <row r="94" spans="1:52" ht="27" customHeight="1" x14ac:dyDescent="0.25">
      <c r="A94" s="55" t="s">
        <v>171</v>
      </c>
      <c r="B94" s="55" t="s">
        <v>172</v>
      </c>
      <c r="C94" s="32">
        <v>4301031077</v>
      </c>
      <c r="D94" s="385">
        <v>4607091384703</v>
      </c>
      <c r="E94" s="329"/>
      <c r="F94" s="304">
        <v>0.35</v>
      </c>
      <c r="G94" s="33">
        <v>6</v>
      </c>
      <c r="H94" s="304">
        <v>2.1</v>
      </c>
      <c r="I94" s="304">
        <v>2.2000000000000002</v>
      </c>
      <c r="J94" s="33">
        <v>234</v>
      </c>
      <c r="K94" s="34" t="s">
        <v>62</v>
      </c>
      <c r="L94" s="33">
        <v>45</v>
      </c>
      <c r="M94" s="434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4" s="387"/>
      <c r="O94" s="387"/>
      <c r="P94" s="387"/>
      <c r="Q94" s="329"/>
      <c r="R94" s="35"/>
      <c r="S94" s="35"/>
      <c r="T94" s="36" t="s">
        <v>63</v>
      </c>
      <c r="U94" s="305">
        <v>0</v>
      </c>
      <c r="V94" s="306">
        <f t="shared" si="5"/>
        <v>0</v>
      </c>
      <c r="W94" s="37" t="str">
        <f>IFERROR(IF(V94=0,"",ROUNDUP(V94/H94,0)*0.00502),"")</f>
        <v/>
      </c>
      <c r="X94" s="57"/>
      <c r="Y94" s="58"/>
      <c r="AC94" s="59"/>
      <c r="AZ94" s="104" t="s">
        <v>1</v>
      </c>
    </row>
    <row r="95" spans="1:52" ht="27" customHeight="1" x14ac:dyDescent="0.25">
      <c r="A95" s="55" t="s">
        <v>173</v>
      </c>
      <c r="B95" s="55" t="s">
        <v>174</v>
      </c>
      <c r="C95" s="32">
        <v>4301031079</v>
      </c>
      <c r="D95" s="385">
        <v>4607091384734</v>
      </c>
      <c r="E95" s="329"/>
      <c r="F95" s="304">
        <v>0.35</v>
      </c>
      <c r="G95" s="33">
        <v>6</v>
      </c>
      <c r="H95" s="304">
        <v>2.1</v>
      </c>
      <c r="I95" s="304">
        <v>2.2000000000000002</v>
      </c>
      <c r="J95" s="33">
        <v>234</v>
      </c>
      <c r="K95" s="34" t="s">
        <v>62</v>
      </c>
      <c r="L95" s="33">
        <v>45</v>
      </c>
      <c r="M95" s="435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5" s="387"/>
      <c r="O95" s="387"/>
      <c r="P95" s="387"/>
      <c r="Q95" s="329"/>
      <c r="R95" s="35"/>
      <c r="S95" s="35"/>
      <c r="T95" s="36" t="s">
        <v>63</v>
      </c>
      <c r="U95" s="305">
        <v>0</v>
      </c>
      <c r="V95" s="306">
        <f t="shared" si="5"/>
        <v>0</v>
      </c>
      <c r="W95" s="37" t="str">
        <f>IFERROR(IF(V95=0,"",ROUNDUP(V95/H95,0)*0.00502),"")</f>
        <v/>
      </c>
      <c r="X95" s="57"/>
      <c r="Y95" s="58"/>
      <c r="AC95" s="59"/>
      <c r="AZ95" s="105" t="s">
        <v>1</v>
      </c>
    </row>
    <row r="96" spans="1:52" ht="27" customHeight="1" x14ac:dyDescent="0.25">
      <c r="A96" s="55" t="s">
        <v>175</v>
      </c>
      <c r="B96" s="55" t="s">
        <v>176</v>
      </c>
      <c r="C96" s="32">
        <v>4301030964</v>
      </c>
      <c r="D96" s="385">
        <v>4607091382464</v>
      </c>
      <c r="E96" s="329"/>
      <c r="F96" s="304">
        <v>0.35</v>
      </c>
      <c r="G96" s="33">
        <v>8</v>
      </c>
      <c r="H96" s="304">
        <v>2.8</v>
      </c>
      <c r="I96" s="304">
        <v>2.964</v>
      </c>
      <c r="J96" s="33">
        <v>234</v>
      </c>
      <c r="K96" s="34" t="s">
        <v>62</v>
      </c>
      <c r="L96" s="33">
        <v>40</v>
      </c>
      <c r="M96" s="436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96" s="387"/>
      <c r="O96" s="387"/>
      <c r="P96" s="387"/>
      <c r="Q96" s="329"/>
      <c r="R96" s="35"/>
      <c r="S96" s="35"/>
      <c r="T96" s="36" t="s">
        <v>63</v>
      </c>
      <c r="U96" s="305">
        <v>0</v>
      </c>
      <c r="V96" s="306">
        <f t="shared" si="5"/>
        <v>0</v>
      </c>
      <c r="W96" s="37" t="str">
        <f>IFERROR(IF(V96=0,"",ROUNDUP(V96/H96,0)*0.00502),"")</f>
        <v/>
      </c>
      <c r="X96" s="57"/>
      <c r="Y96" s="58"/>
      <c r="AC96" s="59"/>
      <c r="AZ96" s="106" t="s">
        <v>1</v>
      </c>
    </row>
    <row r="97" spans="1:52" x14ac:dyDescent="0.2">
      <c r="A97" s="389"/>
      <c r="B97" s="313"/>
      <c r="C97" s="313"/>
      <c r="D97" s="313"/>
      <c r="E97" s="313"/>
      <c r="F97" s="313"/>
      <c r="G97" s="313"/>
      <c r="H97" s="313"/>
      <c r="I97" s="313"/>
      <c r="J97" s="313"/>
      <c r="K97" s="313"/>
      <c r="L97" s="390"/>
      <c r="M97" s="388" t="s">
        <v>64</v>
      </c>
      <c r="N97" s="341"/>
      <c r="O97" s="341"/>
      <c r="P97" s="341"/>
      <c r="Q97" s="341"/>
      <c r="R97" s="341"/>
      <c r="S97" s="342"/>
      <c r="T97" s="38" t="s">
        <v>65</v>
      </c>
      <c r="U97" s="307">
        <f>IFERROR(U88/H88,"0")+IFERROR(U89/H89,"0")+IFERROR(U90/H90,"0")+IFERROR(U91/H91,"0")+IFERROR(U92/H92,"0")+IFERROR(U93/H93,"0")+IFERROR(U94/H94,"0")+IFERROR(U95/H95,"0")+IFERROR(U96/H96,"0")</f>
        <v>0</v>
      </c>
      <c r="V97" s="307">
        <f>IFERROR(V88/H88,"0")+IFERROR(V89/H89,"0")+IFERROR(V90/H90,"0")+IFERROR(V91/H91,"0")+IFERROR(V92/H92,"0")+IFERROR(V93/H93,"0")+IFERROR(V94/H94,"0")+IFERROR(V95/H95,"0")+IFERROR(V96/H96,"0")</f>
        <v>0</v>
      </c>
      <c r="W97" s="307">
        <f>IFERROR(IF(W88="",0,W88),"0")+IFERROR(IF(W89="",0,W89),"0")+IFERROR(IF(W90="",0,W90),"0")+IFERROR(IF(W91="",0,W91),"0")+IFERROR(IF(W92="",0,W92),"0")+IFERROR(IF(W93="",0,W93),"0")+IFERROR(IF(W94="",0,W94),"0")+IFERROR(IF(W95="",0,W95),"0")+IFERROR(IF(W96="",0,W96),"0")</f>
        <v>0</v>
      </c>
      <c r="X97" s="308"/>
      <c r="Y97" s="308"/>
    </row>
    <row r="98" spans="1:52" x14ac:dyDescent="0.2">
      <c r="A98" s="313"/>
      <c r="B98" s="313"/>
      <c r="C98" s="313"/>
      <c r="D98" s="313"/>
      <c r="E98" s="313"/>
      <c r="F98" s="313"/>
      <c r="G98" s="313"/>
      <c r="H98" s="313"/>
      <c r="I98" s="313"/>
      <c r="J98" s="313"/>
      <c r="K98" s="313"/>
      <c r="L98" s="390"/>
      <c r="M98" s="388" t="s">
        <v>64</v>
      </c>
      <c r="N98" s="341"/>
      <c r="O98" s="341"/>
      <c r="P98" s="341"/>
      <c r="Q98" s="341"/>
      <c r="R98" s="341"/>
      <c r="S98" s="342"/>
      <c r="T98" s="38" t="s">
        <v>63</v>
      </c>
      <c r="U98" s="307">
        <f>IFERROR(SUM(U88:U96),"0")</f>
        <v>0</v>
      </c>
      <c r="V98" s="307">
        <f>IFERROR(SUM(V88:V96),"0")</f>
        <v>0</v>
      </c>
      <c r="W98" s="38"/>
      <c r="X98" s="308"/>
      <c r="Y98" s="308"/>
    </row>
    <row r="99" spans="1:52" ht="14.25" customHeight="1" x14ac:dyDescent="0.25">
      <c r="A99" s="384" t="s">
        <v>66</v>
      </c>
      <c r="B99" s="313"/>
      <c r="C99" s="313"/>
      <c r="D99" s="313"/>
      <c r="E99" s="313"/>
      <c r="F99" s="313"/>
      <c r="G99" s="313"/>
      <c r="H99" s="313"/>
      <c r="I99" s="313"/>
      <c r="J99" s="313"/>
      <c r="K99" s="313"/>
      <c r="L99" s="313"/>
      <c r="M99" s="313"/>
      <c r="N99" s="313"/>
      <c r="O99" s="313"/>
      <c r="P99" s="313"/>
      <c r="Q99" s="313"/>
      <c r="R99" s="313"/>
      <c r="S99" s="313"/>
      <c r="T99" s="313"/>
      <c r="U99" s="313"/>
      <c r="V99" s="313"/>
      <c r="W99" s="313"/>
      <c r="X99" s="302"/>
      <c r="Y99" s="302"/>
    </row>
    <row r="100" spans="1:52" ht="27" customHeight="1" x14ac:dyDescent="0.25">
      <c r="A100" s="55" t="s">
        <v>177</v>
      </c>
      <c r="B100" s="55" t="s">
        <v>178</v>
      </c>
      <c r="C100" s="32">
        <v>4301051437</v>
      </c>
      <c r="D100" s="385">
        <v>4607091386967</v>
      </c>
      <c r="E100" s="329"/>
      <c r="F100" s="304">
        <v>1.35</v>
      </c>
      <c r="G100" s="33">
        <v>6</v>
      </c>
      <c r="H100" s="304">
        <v>8.1</v>
      </c>
      <c r="I100" s="304">
        <v>8.6639999999999997</v>
      </c>
      <c r="J100" s="33">
        <v>56</v>
      </c>
      <c r="K100" s="34" t="s">
        <v>123</v>
      </c>
      <c r="L100" s="33">
        <v>45</v>
      </c>
      <c r="M100" s="437" t="s">
        <v>179</v>
      </c>
      <c r="N100" s="387"/>
      <c r="O100" s="387"/>
      <c r="P100" s="387"/>
      <c r="Q100" s="329"/>
      <c r="R100" s="35"/>
      <c r="S100" s="35"/>
      <c r="T100" s="36" t="s">
        <v>63</v>
      </c>
      <c r="U100" s="305">
        <v>276</v>
      </c>
      <c r="V100" s="306">
        <f t="shared" ref="V100:V106" si="6">IFERROR(IF(U100="",0,CEILING((U100/$H100),1)*$H100),"")</f>
        <v>283.5</v>
      </c>
      <c r="W100" s="37">
        <f>IFERROR(IF(V100=0,"",ROUNDUP(V100/H100,0)*0.02175),"")</f>
        <v>0.76124999999999998</v>
      </c>
      <c r="X100" s="57"/>
      <c r="Y100" s="58"/>
      <c r="AC100" s="59"/>
      <c r="AZ100" s="107" t="s">
        <v>1</v>
      </c>
    </row>
    <row r="101" spans="1:52" ht="16.5" customHeight="1" x14ac:dyDescent="0.25">
      <c r="A101" s="55" t="s">
        <v>180</v>
      </c>
      <c r="B101" s="55" t="s">
        <v>181</v>
      </c>
      <c r="C101" s="32">
        <v>4301051311</v>
      </c>
      <c r="D101" s="385">
        <v>4607091385304</v>
      </c>
      <c r="E101" s="329"/>
      <c r="F101" s="304">
        <v>1.35</v>
      </c>
      <c r="G101" s="33">
        <v>6</v>
      </c>
      <c r="H101" s="304">
        <v>8.1</v>
      </c>
      <c r="I101" s="304">
        <v>8.6639999999999997</v>
      </c>
      <c r="J101" s="33">
        <v>56</v>
      </c>
      <c r="K101" s="34" t="s">
        <v>62</v>
      </c>
      <c r="L101" s="33">
        <v>40</v>
      </c>
      <c r="M101" s="438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1" s="387"/>
      <c r="O101" s="387"/>
      <c r="P101" s="387"/>
      <c r="Q101" s="329"/>
      <c r="R101" s="35"/>
      <c r="S101" s="35"/>
      <c r="T101" s="36" t="s">
        <v>63</v>
      </c>
      <c r="U101" s="305">
        <v>160</v>
      </c>
      <c r="V101" s="306">
        <f t="shared" si="6"/>
        <v>162</v>
      </c>
      <c r="W101" s="37">
        <f>IFERROR(IF(V101=0,"",ROUNDUP(V101/H101,0)*0.02175),"")</f>
        <v>0.43499999999999994</v>
      </c>
      <c r="X101" s="57"/>
      <c r="Y101" s="58"/>
      <c r="AC101" s="59"/>
      <c r="AZ101" s="108" t="s">
        <v>1</v>
      </c>
    </row>
    <row r="102" spans="1:52" ht="16.5" customHeight="1" x14ac:dyDescent="0.25">
      <c r="A102" s="55" t="s">
        <v>182</v>
      </c>
      <c r="B102" s="55" t="s">
        <v>183</v>
      </c>
      <c r="C102" s="32">
        <v>4301051306</v>
      </c>
      <c r="D102" s="385">
        <v>4607091386264</v>
      </c>
      <c r="E102" s="329"/>
      <c r="F102" s="304">
        <v>0.5</v>
      </c>
      <c r="G102" s="33">
        <v>6</v>
      </c>
      <c r="H102" s="304">
        <v>3</v>
      </c>
      <c r="I102" s="304">
        <v>3.278</v>
      </c>
      <c r="J102" s="33">
        <v>156</v>
      </c>
      <c r="K102" s="34" t="s">
        <v>62</v>
      </c>
      <c r="L102" s="33">
        <v>31</v>
      </c>
      <c r="M102" s="439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2" s="387"/>
      <c r="O102" s="387"/>
      <c r="P102" s="387"/>
      <c r="Q102" s="329"/>
      <c r="R102" s="35"/>
      <c r="S102" s="35"/>
      <c r="T102" s="36" t="s">
        <v>63</v>
      </c>
      <c r="U102" s="305">
        <v>0</v>
      </c>
      <c r="V102" s="306">
        <f t="shared" si="6"/>
        <v>0</v>
      </c>
      <c r="W102" s="37" t="str">
        <f>IFERROR(IF(V102=0,"",ROUNDUP(V102/H102,0)*0.00753),"")</f>
        <v/>
      </c>
      <c r="X102" s="57"/>
      <c r="Y102" s="58"/>
      <c r="AC102" s="59"/>
      <c r="AZ102" s="109" t="s">
        <v>1</v>
      </c>
    </row>
    <row r="103" spans="1:52" ht="27" customHeight="1" x14ac:dyDescent="0.25">
      <c r="A103" s="55" t="s">
        <v>184</v>
      </c>
      <c r="B103" s="55" t="s">
        <v>185</v>
      </c>
      <c r="C103" s="32">
        <v>4301051436</v>
      </c>
      <c r="D103" s="385">
        <v>4607091385731</v>
      </c>
      <c r="E103" s="329"/>
      <c r="F103" s="304">
        <v>0.45</v>
      </c>
      <c r="G103" s="33">
        <v>6</v>
      </c>
      <c r="H103" s="304">
        <v>2.7</v>
      </c>
      <c r="I103" s="304">
        <v>2.972</v>
      </c>
      <c r="J103" s="33">
        <v>156</v>
      </c>
      <c r="K103" s="34" t="s">
        <v>123</v>
      </c>
      <c r="L103" s="33">
        <v>45</v>
      </c>
      <c r="M103" s="440" t="s">
        <v>186</v>
      </c>
      <c r="N103" s="387"/>
      <c r="O103" s="387"/>
      <c r="P103" s="387"/>
      <c r="Q103" s="329"/>
      <c r="R103" s="35"/>
      <c r="S103" s="35"/>
      <c r="T103" s="36" t="s">
        <v>63</v>
      </c>
      <c r="U103" s="305">
        <v>17</v>
      </c>
      <c r="V103" s="306">
        <f t="shared" si="6"/>
        <v>18.900000000000002</v>
      </c>
      <c r="W103" s="37">
        <f>IFERROR(IF(V103=0,"",ROUNDUP(V103/H103,0)*0.00753),"")</f>
        <v>5.271E-2</v>
      </c>
      <c r="X103" s="57"/>
      <c r="Y103" s="58"/>
      <c r="AC103" s="59"/>
      <c r="AZ103" s="110" t="s">
        <v>1</v>
      </c>
    </row>
    <row r="104" spans="1:52" ht="27" customHeight="1" x14ac:dyDescent="0.25">
      <c r="A104" s="55" t="s">
        <v>187</v>
      </c>
      <c r="B104" s="55" t="s">
        <v>188</v>
      </c>
      <c r="C104" s="32">
        <v>4301051439</v>
      </c>
      <c r="D104" s="385">
        <v>4680115880214</v>
      </c>
      <c r="E104" s="329"/>
      <c r="F104" s="304">
        <v>0.45</v>
      </c>
      <c r="G104" s="33">
        <v>6</v>
      </c>
      <c r="H104" s="304">
        <v>2.7</v>
      </c>
      <c r="I104" s="304">
        <v>2.988</v>
      </c>
      <c r="J104" s="33">
        <v>120</v>
      </c>
      <c r="K104" s="34" t="s">
        <v>123</v>
      </c>
      <c r="L104" s="33">
        <v>45</v>
      </c>
      <c r="M104" s="441" t="s">
        <v>189</v>
      </c>
      <c r="N104" s="387"/>
      <c r="O104" s="387"/>
      <c r="P104" s="387"/>
      <c r="Q104" s="329"/>
      <c r="R104" s="35"/>
      <c r="S104" s="35"/>
      <c r="T104" s="36" t="s">
        <v>63</v>
      </c>
      <c r="U104" s="305">
        <v>0</v>
      </c>
      <c r="V104" s="306">
        <f t="shared" si="6"/>
        <v>0</v>
      </c>
      <c r="W104" s="37" t="str">
        <f>IFERROR(IF(V104=0,"",ROUNDUP(V104/H104,0)*0.00937),"")</f>
        <v/>
      </c>
      <c r="X104" s="57"/>
      <c r="Y104" s="58"/>
      <c r="AC104" s="59"/>
      <c r="AZ104" s="111" t="s">
        <v>1</v>
      </c>
    </row>
    <row r="105" spans="1:52" ht="27" customHeight="1" x14ac:dyDescent="0.25">
      <c r="A105" s="55" t="s">
        <v>190</v>
      </c>
      <c r="B105" s="55" t="s">
        <v>191</v>
      </c>
      <c r="C105" s="32">
        <v>4301051438</v>
      </c>
      <c r="D105" s="385">
        <v>4680115880894</v>
      </c>
      <c r="E105" s="329"/>
      <c r="F105" s="304">
        <v>0.33</v>
      </c>
      <c r="G105" s="33">
        <v>6</v>
      </c>
      <c r="H105" s="304">
        <v>1.98</v>
      </c>
      <c r="I105" s="304">
        <v>2.258</v>
      </c>
      <c r="J105" s="33">
        <v>156</v>
      </c>
      <c r="K105" s="34" t="s">
        <v>123</v>
      </c>
      <c r="L105" s="33">
        <v>45</v>
      </c>
      <c r="M105" s="442" t="s">
        <v>192</v>
      </c>
      <c r="N105" s="387"/>
      <c r="O105" s="387"/>
      <c r="P105" s="387"/>
      <c r="Q105" s="329"/>
      <c r="R105" s="35"/>
      <c r="S105" s="35"/>
      <c r="T105" s="36" t="s">
        <v>63</v>
      </c>
      <c r="U105" s="305">
        <v>0</v>
      </c>
      <c r="V105" s="306">
        <f t="shared" si="6"/>
        <v>0</v>
      </c>
      <c r="W105" s="37" t="str">
        <f>IFERROR(IF(V105=0,"",ROUNDUP(V105/H105,0)*0.00753),"")</f>
        <v/>
      </c>
      <c r="X105" s="57"/>
      <c r="Y105" s="58"/>
      <c r="AC105" s="59"/>
      <c r="AZ105" s="112" t="s">
        <v>1</v>
      </c>
    </row>
    <row r="106" spans="1:52" ht="27" customHeight="1" x14ac:dyDescent="0.25">
      <c r="A106" s="55" t="s">
        <v>193</v>
      </c>
      <c r="B106" s="55" t="s">
        <v>194</v>
      </c>
      <c r="C106" s="32">
        <v>4301051313</v>
      </c>
      <c r="D106" s="385">
        <v>4607091385427</v>
      </c>
      <c r="E106" s="329"/>
      <c r="F106" s="304">
        <v>0.5</v>
      </c>
      <c r="G106" s="33">
        <v>6</v>
      </c>
      <c r="H106" s="304">
        <v>3</v>
      </c>
      <c r="I106" s="304">
        <v>3.2719999999999998</v>
      </c>
      <c r="J106" s="33">
        <v>156</v>
      </c>
      <c r="K106" s="34" t="s">
        <v>62</v>
      </c>
      <c r="L106" s="33">
        <v>40</v>
      </c>
      <c r="M106" s="44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06" s="387"/>
      <c r="O106" s="387"/>
      <c r="P106" s="387"/>
      <c r="Q106" s="329"/>
      <c r="R106" s="35"/>
      <c r="S106" s="35"/>
      <c r="T106" s="36" t="s">
        <v>63</v>
      </c>
      <c r="U106" s="305">
        <v>0</v>
      </c>
      <c r="V106" s="306">
        <f t="shared" si="6"/>
        <v>0</v>
      </c>
      <c r="W106" s="37" t="str">
        <f>IFERROR(IF(V106=0,"",ROUNDUP(V106/H106,0)*0.00753),"")</f>
        <v/>
      </c>
      <c r="X106" s="57"/>
      <c r="Y106" s="58"/>
      <c r="AC106" s="59"/>
      <c r="AZ106" s="113" t="s">
        <v>1</v>
      </c>
    </row>
    <row r="107" spans="1:52" x14ac:dyDescent="0.2">
      <c r="A107" s="389"/>
      <c r="B107" s="313"/>
      <c r="C107" s="313"/>
      <c r="D107" s="313"/>
      <c r="E107" s="313"/>
      <c r="F107" s="313"/>
      <c r="G107" s="313"/>
      <c r="H107" s="313"/>
      <c r="I107" s="313"/>
      <c r="J107" s="313"/>
      <c r="K107" s="313"/>
      <c r="L107" s="390"/>
      <c r="M107" s="388" t="s">
        <v>64</v>
      </c>
      <c r="N107" s="341"/>
      <c r="O107" s="341"/>
      <c r="P107" s="341"/>
      <c r="Q107" s="341"/>
      <c r="R107" s="341"/>
      <c r="S107" s="342"/>
      <c r="T107" s="38" t="s">
        <v>65</v>
      </c>
      <c r="U107" s="307">
        <f>IFERROR(U100/H100,"0")+IFERROR(U101/H101,"0")+IFERROR(U102/H102,"0")+IFERROR(U103/H103,"0")+IFERROR(U104/H104,"0")+IFERROR(U105/H105,"0")+IFERROR(U106/H106,"0")</f>
        <v>60.123456790123463</v>
      </c>
      <c r="V107" s="307">
        <f>IFERROR(V100/H100,"0")+IFERROR(V101/H101,"0")+IFERROR(V102/H102,"0")+IFERROR(V103/H103,"0")+IFERROR(V104/H104,"0")+IFERROR(V105/H105,"0")+IFERROR(V106/H106,"0")</f>
        <v>62</v>
      </c>
      <c r="W107" s="307">
        <f>IFERROR(IF(W100="",0,W100),"0")+IFERROR(IF(W101="",0,W101),"0")+IFERROR(IF(W102="",0,W102),"0")+IFERROR(IF(W103="",0,W103),"0")+IFERROR(IF(W104="",0,W104),"0")+IFERROR(IF(W105="",0,W105),"0")+IFERROR(IF(W106="",0,W106),"0")</f>
        <v>1.2489600000000001</v>
      </c>
      <c r="X107" s="308"/>
      <c r="Y107" s="308"/>
    </row>
    <row r="108" spans="1:52" x14ac:dyDescent="0.2">
      <c r="A108" s="313"/>
      <c r="B108" s="313"/>
      <c r="C108" s="313"/>
      <c r="D108" s="313"/>
      <c r="E108" s="313"/>
      <c r="F108" s="313"/>
      <c r="G108" s="313"/>
      <c r="H108" s="313"/>
      <c r="I108" s="313"/>
      <c r="J108" s="313"/>
      <c r="K108" s="313"/>
      <c r="L108" s="390"/>
      <c r="M108" s="388" t="s">
        <v>64</v>
      </c>
      <c r="N108" s="341"/>
      <c r="O108" s="341"/>
      <c r="P108" s="341"/>
      <c r="Q108" s="341"/>
      <c r="R108" s="341"/>
      <c r="S108" s="342"/>
      <c r="T108" s="38" t="s">
        <v>63</v>
      </c>
      <c r="U108" s="307">
        <f>IFERROR(SUM(U100:U106),"0")</f>
        <v>453</v>
      </c>
      <c r="V108" s="307">
        <f>IFERROR(SUM(V100:V106),"0")</f>
        <v>464.4</v>
      </c>
      <c r="W108" s="38"/>
      <c r="X108" s="308"/>
      <c r="Y108" s="308"/>
    </row>
    <row r="109" spans="1:52" ht="14.25" customHeight="1" x14ac:dyDescent="0.25">
      <c r="A109" s="384" t="s">
        <v>195</v>
      </c>
      <c r="B109" s="313"/>
      <c r="C109" s="313"/>
      <c r="D109" s="313"/>
      <c r="E109" s="313"/>
      <c r="F109" s="313"/>
      <c r="G109" s="313"/>
      <c r="H109" s="313"/>
      <c r="I109" s="313"/>
      <c r="J109" s="313"/>
      <c r="K109" s="313"/>
      <c r="L109" s="313"/>
      <c r="M109" s="313"/>
      <c r="N109" s="313"/>
      <c r="O109" s="313"/>
      <c r="P109" s="313"/>
      <c r="Q109" s="313"/>
      <c r="R109" s="313"/>
      <c r="S109" s="313"/>
      <c r="T109" s="313"/>
      <c r="U109" s="313"/>
      <c r="V109" s="313"/>
      <c r="W109" s="313"/>
      <c r="X109" s="302"/>
      <c r="Y109" s="302"/>
    </row>
    <row r="110" spans="1:52" ht="27" customHeight="1" x14ac:dyDescent="0.25">
      <c r="A110" s="55" t="s">
        <v>196</v>
      </c>
      <c r="B110" s="55" t="s">
        <v>197</v>
      </c>
      <c r="C110" s="32">
        <v>4301060296</v>
      </c>
      <c r="D110" s="385">
        <v>4607091383065</v>
      </c>
      <c r="E110" s="329"/>
      <c r="F110" s="304">
        <v>0.83</v>
      </c>
      <c r="G110" s="33">
        <v>4</v>
      </c>
      <c r="H110" s="304">
        <v>3.32</v>
      </c>
      <c r="I110" s="304">
        <v>3.5819999999999999</v>
      </c>
      <c r="J110" s="33">
        <v>120</v>
      </c>
      <c r="K110" s="34" t="s">
        <v>62</v>
      </c>
      <c r="L110" s="33">
        <v>30</v>
      </c>
      <c r="M110" s="444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0" s="387"/>
      <c r="O110" s="387"/>
      <c r="P110" s="387"/>
      <c r="Q110" s="329"/>
      <c r="R110" s="35"/>
      <c r="S110" s="35"/>
      <c r="T110" s="36" t="s">
        <v>63</v>
      </c>
      <c r="U110" s="305">
        <v>0</v>
      </c>
      <c r="V110" s="306">
        <f>IFERROR(IF(U110="",0,CEILING((U110/$H110),1)*$H110),"")</f>
        <v>0</v>
      </c>
      <c r="W110" s="37" t="str">
        <f>IFERROR(IF(V110=0,"",ROUNDUP(V110/H110,0)*0.00937),"")</f>
        <v/>
      </c>
      <c r="X110" s="57"/>
      <c r="Y110" s="58"/>
      <c r="AC110" s="59"/>
      <c r="AZ110" s="114" t="s">
        <v>1</v>
      </c>
    </row>
    <row r="111" spans="1:52" ht="27" customHeight="1" x14ac:dyDescent="0.25">
      <c r="A111" s="55" t="s">
        <v>198</v>
      </c>
      <c r="B111" s="55" t="s">
        <v>199</v>
      </c>
      <c r="C111" s="32">
        <v>4301060350</v>
      </c>
      <c r="D111" s="385">
        <v>4680115881532</v>
      </c>
      <c r="E111" s="329"/>
      <c r="F111" s="304">
        <v>1.35</v>
      </c>
      <c r="G111" s="33">
        <v>6</v>
      </c>
      <c r="H111" s="304">
        <v>8.1</v>
      </c>
      <c r="I111" s="304">
        <v>8.58</v>
      </c>
      <c r="J111" s="33">
        <v>56</v>
      </c>
      <c r="K111" s="34" t="s">
        <v>123</v>
      </c>
      <c r="L111" s="33">
        <v>30</v>
      </c>
      <c r="M111" s="445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1" s="387"/>
      <c r="O111" s="387"/>
      <c r="P111" s="387"/>
      <c r="Q111" s="329"/>
      <c r="R111" s="35"/>
      <c r="S111" s="35"/>
      <c r="T111" s="36" t="s">
        <v>63</v>
      </c>
      <c r="U111" s="305">
        <v>20</v>
      </c>
      <c r="V111" s="306">
        <f>IFERROR(IF(U111="",0,CEILING((U111/$H111),1)*$H111),"")</f>
        <v>24.299999999999997</v>
      </c>
      <c r="W111" s="37">
        <f>IFERROR(IF(V111=0,"",ROUNDUP(V111/H111,0)*0.02175),"")</f>
        <v>6.5250000000000002E-2</v>
      </c>
      <c r="X111" s="57"/>
      <c r="Y111" s="58"/>
      <c r="AC111" s="59"/>
      <c r="AZ111" s="115" t="s">
        <v>1</v>
      </c>
    </row>
    <row r="112" spans="1:52" ht="16.5" customHeight="1" x14ac:dyDescent="0.25">
      <c r="A112" s="55" t="s">
        <v>200</v>
      </c>
      <c r="B112" s="55" t="s">
        <v>201</v>
      </c>
      <c r="C112" s="32">
        <v>4301060309</v>
      </c>
      <c r="D112" s="385">
        <v>4680115880238</v>
      </c>
      <c r="E112" s="329"/>
      <c r="F112" s="304">
        <v>0.33</v>
      </c>
      <c r="G112" s="33">
        <v>6</v>
      </c>
      <c r="H112" s="304">
        <v>1.98</v>
      </c>
      <c r="I112" s="304">
        <v>2.258</v>
      </c>
      <c r="J112" s="33">
        <v>156</v>
      </c>
      <c r="K112" s="34" t="s">
        <v>62</v>
      </c>
      <c r="L112" s="33">
        <v>40</v>
      </c>
      <c r="M112" s="446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2" s="387"/>
      <c r="O112" s="387"/>
      <c r="P112" s="387"/>
      <c r="Q112" s="329"/>
      <c r="R112" s="35"/>
      <c r="S112" s="35"/>
      <c r="T112" s="36" t="s">
        <v>63</v>
      </c>
      <c r="U112" s="305">
        <v>0</v>
      </c>
      <c r="V112" s="306">
        <f>IFERROR(IF(U112="",0,CEILING((U112/$H112),1)*$H112),"")</f>
        <v>0</v>
      </c>
      <c r="W112" s="37" t="str">
        <f>IFERROR(IF(V112=0,"",ROUNDUP(V112/H112,0)*0.00753),"")</f>
        <v/>
      </c>
      <c r="X112" s="57"/>
      <c r="Y112" s="58"/>
      <c r="AC112" s="59"/>
      <c r="AZ112" s="116" t="s">
        <v>1</v>
      </c>
    </row>
    <row r="113" spans="1:52" ht="27" customHeight="1" x14ac:dyDescent="0.25">
      <c r="A113" s="55" t="s">
        <v>202</v>
      </c>
      <c r="B113" s="55" t="s">
        <v>203</v>
      </c>
      <c r="C113" s="32">
        <v>4301060351</v>
      </c>
      <c r="D113" s="385">
        <v>4680115881464</v>
      </c>
      <c r="E113" s="329"/>
      <c r="F113" s="304">
        <v>0.4</v>
      </c>
      <c r="G113" s="33">
        <v>6</v>
      </c>
      <c r="H113" s="304">
        <v>2.4</v>
      </c>
      <c r="I113" s="304">
        <v>2.6</v>
      </c>
      <c r="J113" s="33">
        <v>156</v>
      </c>
      <c r="K113" s="34" t="s">
        <v>123</v>
      </c>
      <c r="L113" s="33">
        <v>30</v>
      </c>
      <c r="M113" s="447" t="s">
        <v>204</v>
      </c>
      <c r="N113" s="387"/>
      <c r="O113" s="387"/>
      <c r="P113" s="387"/>
      <c r="Q113" s="329"/>
      <c r="R113" s="35"/>
      <c r="S113" s="35"/>
      <c r="T113" s="36" t="s">
        <v>63</v>
      </c>
      <c r="U113" s="305">
        <v>0</v>
      </c>
      <c r="V113" s="306">
        <f>IFERROR(IF(U113="",0,CEILING((U113/$H113),1)*$H113),"")</f>
        <v>0</v>
      </c>
      <c r="W113" s="37" t="str">
        <f>IFERROR(IF(V113=0,"",ROUNDUP(V113/H113,0)*0.00753),"")</f>
        <v/>
      </c>
      <c r="X113" s="57"/>
      <c r="Y113" s="58"/>
      <c r="AC113" s="59"/>
      <c r="AZ113" s="117" t="s">
        <v>1</v>
      </c>
    </row>
    <row r="114" spans="1:52" x14ac:dyDescent="0.2">
      <c r="A114" s="389"/>
      <c r="B114" s="313"/>
      <c r="C114" s="313"/>
      <c r="D114" s="313"/>
      <c r="E114" s="313"/>
      <c r="F114" s="313"/>
      <c r="G114" s="313"/>
      <c r="H114" s="313"/>
      <c r="I114" s="313"/>
      <c r="J114" s="313"/>
      <c r="K114" s="313"/>
      <c r="L114" s="390"/>
      <c r="M114" s="388" t="s">
        <v>64</v>
      </c>
      <c r="N114" s="341"/>
      <c r="O114" s="341"/>
      <c r="P114" s="341"/>
      <c r="Q114" s="341"/>
      <c r="R114" s="341"/>
      <c r="S114" s="342"/>
      <c r="T114" s="38" t="s">
        <v>65</v>
      </c>
      <c r="U114" s="307">
        <f>IFERROR(U110/H110,"0")+IFERROR(U111/H111,"0")+IFERROR(U112/H112,"0")+IFERROR(U113/H113,"0")</f>
        <v>2.4691358024691361</v>
      </c>
      <c r="V114" s="307">
        <f>IFERROR(V110/H110,"0")+IFERROR(V111/H111,"0")+IFERROR(V112/H112,"0")+IFERROR(V113/H113,"0")</f>
        <v>3</v>
      </c>
      <c r="W114" s="307">
        <f>IFERROR(IF(W110="",0,W110),"0")+IFERROR(IF(W111="",0,W111),"0")+IFERROR(IF(W112="",0,W112),"0")+IFERROR(IF(W113="",0,W113),"0")</f>
        <v>6.5250000000000002E-2</v>
      </c>
      <c r="X114" s="308"/>
      <c r="Y114" s="308"/>
    </row>
    <row r="115" spans="1:52" x14ac:dyDescent="0.2">
      <c r="A115" s="313"/>
      <c r="B115" s="313"/>
      <c r="C115" s="313"/>
      <c r="D115" s="313"/>
      <c r="E115" s="313"/>
      <c r="F115" s="313"/>
      <c r="G115" s="313"/>
      <c r="H115" s="313"/>
      <c r="I115" s="313"/>
      <c r="J115" s="313"/>
      <c r="K115" s="313"/>
      <c r="L115" s="390"/>
      <c r="M115" s="388" t="s">
        <v>64</v>
      </c>
      <c r="N115" s="341"/>
      <c r="O115" s="341"/>
      <c r="P115" s="341"/>
      <c r="Q115" s="341"/>
      <c r="R115" s="341"/>
      <c r="S115" s="342"/>
      <c r="T115" s="38" t="s">
        <v>63</v>
      </c>
      <c r="U115" s="307">
        <f>IFERROR(SUM(U110:U113),"0")</f>
        <v>20</v>
      </c>
      <c r="V115" s="307">
        <f>IFERROR(SUM(V110:V113),"0")</f>
        <v>24.299999999999997</v>
      </c>
      <c r="W115" s="38"/>
      <c r="X115" s="308"/>
      <c r="Y115" s="308"/>
    </row>
    <row r="116" spans="1:52" ht="16.5" customHeight="1" x14ac:dyDescent="0.25">
      <c r="A116" s="383" t="s">
        <v>205</v>
      </c>
      <c r="B116" s="313"/>
      <c r="C116" s="313"/>
      <c r="D116" s="313"/>
      <c r="E116" s="313"/>
      <c r="F116" s="313"/>
      <c r="G116" s="313"/>
      <c r="H116" s="313"/>
      <c r="I116" s="313"/>
      <c r="J116" s="313"/>
      <c r="K116" s="313"/>
      <c r="L116" s="313"/>
      <c r="M116" s="313"/>
      <c r="N116" s="313"/>
      <c r="O116" s="313"/>
      <c r="P116" s="313"/>
      <c r="Q116" s="313"/>
      <c r="R116" s="313"/>
      <c r="S116" s="313"/>
      <c r="T116" s="313"/>
      <c r="U116" s="313"/>
      <c r="V116" s="313"/>
      <c r="W116" s="313"/>
      <c r="X116" s="301"/>
      <c r="Y116" s="301"/>
    </row>
    <row r="117" spans="1:52" ht="14.25" customHeight="1" x14ac:dyDescent="0.25">
      <c r="A117" s="384" t="s">
        <v>66</v>
      </c>
      <c r="B117" s="313"/>
      <c r="C117" s="313"/>
      <c r="D117" s="313"/>
      <c r="E117" s="313"/>
      <c r="F117" s="313"/>
      <c r="G117" s="313"/>
      <c r="H117" s="313"/>
      <c r="I117" s="313"/>
      <c r="J117" s="313"/>
      <c r="K117" s="313"/>
      <c r="L117" s="313"/>
      <c r="M117" s="313"/>
      <c r="N117" s="313"/>
      <c r="O117" s="313"/>
      <c r="P117" s="313"/>
      <c r="Q117" s="313"/>
      <c r="R117" s="313"/>
      <c r="S117" s="313"/>
      <c r="T117" s="313"/>
      <c r="U117" s="313"/>
      <c r="V117" s="313"/>
      <c r="W117" s="313"/>
      <c r="X117" s="302"/>
      <c r="Y117" s="302"/>
    </row>
    <row r="118" spans="1:52" ht="27" customHeight="1" x14ac:dyDescent="0.25">
      <c r="A118" s="55" t="s">
        <v>206</v>
      </c>
      <c r="B118" s="55" t="s">
        <v>207</v>
      </c>
      <c r="C118" s="32">
        <v>4301051360</v>
      </c>
      <c r="D118" s="385">
        <v>4607091385168</v>
      </c>
      <c r="E118" s="329"/>
      <c r="F118" s="304">
        <v>1.35</v>
      </c>
      <c r="G118" s="33">
        <v>6</v>
      </c>
      <c r="H118" s="304">
        <v>8.1</v>
      </c>
      <c r="I118" s="304">
        <v>8.6579999999999995</v>
      </c>
      <c r="J118" s="33">
        <v>56</v>
      </c>
      <c r="K118" s="34" t="s">
        <v>123</v>
      </c>
      <c r="L118" s="33">
        <v>45</v>
      </c>
      <c r="M118" s="448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18" s="387"/>
      <c r="O118" s="387"/>
      <c r="P118" s="387"/>
      <c r="Q118" s="329"/>
      <c r="R118" s="35"/>
      <c r="S118" s="35"/>
      <c r="T118" s="36" t="s">
        <v>63</v>
      </c>
      <c r="U118" s="305">
        <v>0</v>
      </c>
      <c r="V118" s="306">
        <f>IFERROR(IF(U118="",0,CEILING((U118/$H118),1)*$H118),"")</f>
        <v>0</v>
      </c>
      <c r="W118" s="37" t="str">
        <f>IFERROR(IF(V118=0,"",ROUNDUP(V118/H118,0)*0.02175),"")</f>
        <v/>
      </c>
      <c r="X118" s="57"/>
      <c r="Y118" s="58"/>
      <c r="AC118" s="59"/>
      <c r="AZ118" s="118" t="s">
        <v>1</v>
      </c>
    </row>
    <row r="119" spans="1:52" ht="16.5" customHeight="1" x14ac:dyDescent="0.25">
      <c r="A119" s="55" t="s">
        <v>208</v>
      </c>
      <c r="B119" s="55" t="s">
        <v>209</v>
      </c>
      <c r="C119" s="32">
        <v>4301051362</v>
      </c>
      <c r="D119" s="385">
        <v>4607091383256</v>
      </c>
      <c r="E119" s="329"/>
      <c r="F119" s="304">
        <v>0.33</v>
      </c>
      <c r="G119" s="33">
        <v>6</v>
      </c>
      <c r="H119" s="304">
        <v>1.98</v>
      </c>
      <c r="I119" s="304">
        <v>2.246</v>
      </c>
      <c r="J119" s="33">
        <v>156</v>
      </c>
      <c r="K119" s="34" t="s">
        <v>123</v>
      </c>
      <c r="L119" s="33">
        <v>45</v>
      </c>
      <c r="M119" s="449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19" s="387"/>
      <c r="O119" s="387"/>
      <c r="P119" s="387"/>
      <c r="Q119" s="329"/>
      <c r="R119" s="35"/>
      <c r="S119" s="35"/>
      <c r="T119" s="36" t="s">
        <v>63</v>
      </c>
      <c r="U119" s="305">
        <v>0</v>
      </c>
      <c r="V119" s="306">
        <f>IFERROR(IF(U119="",0,CEILING((U119/$H119),1)*$H119),"")</f>
        <v>0</v>
      </c>
      <c r="W119" s="37" t="str">
        <f>IFERROR(IF(V119=0,"",ROUNDUP(V119/H119,0)*0.00753),"")</f>
        <v/>
      </c>
      <c r="X119" s="57"/>
      <c r="Y119" s="58"/>
      <c r="AC119" s="59"/>
      <c r="AZ119" s="119" t="s">
        <v>1</v>
      </c>
    </row>
    <row r="120" spans="1:52" ht="16.5" customHeight="1" x14ac:dyDescent="0.25">
      <c r="A120" s="55" t="s">
        <v>210</v>
      </c>
      <c r="B120" s="55" t="s">
        <v>211</v>
      </c>
      <c r="C120" s="32">
        <v>4301051358</v>
      </c>
      <c r="D120" s="385">
        <v>4607091385748</v>
      </c>
      <c r="E120" s="329"/>
      <c r="F120" s="304">
        <v>0.45</v>
      </c>
      <c r="G120" s="33">
        <v>6</v>
      </c>
      <c r="H120" s="304">
        <v>2.7</v>
      </c>
      <c r="I120" s="304">
        <v>2.972</v>
      </c>
      <c r="J120" s="33">
        <v>156</v>
      </c>
      <c r="K120" s="34" t="s">
        <v>123</v>
      </c>
      <c r="L120" s="33">
        <v>45</v>
      </c>
      <c r="M120" s="450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0" s="387"/>
      <c r="O120" s="387"/>
      <c r="P120" s="387"/>
      <c r="Q120" s="329"/>
      <c r="R120" s="35"/>
      <c r="S120" s="35"/>
      <c r="T120" s="36" t="s">
        <v>63</v>
      </c>
      <c r="U120" s="305">
        <v>17</v>
      </c>
      <c r="V120" s="306">
        <f>IFERROR(IF(U120="",0,CEILING((U120/$H120),1)*$H120),"")</f>
        <v>18.900000000000002</v>
      </c>
      <c r="W120" s="37">
        <f>IFERROR(IF(V120=0,"",ROUNDUP(V120/H120,0)*0.00753),"")</f>
        <v>5.271E-2</v>
      </c>
      <c r="X120" s="57"/>
      <c r="Y120" s="58"/>
      <c r="AC120" s="59"/>
      <c r="AZ120" s="120" t="s">
        <v>1</v>
      </c>
    </row>
    <row r="121" spans="1:52" ht="16.5" customHeight="1" x14ac:dyDescent="0.25">
      <c r="A121" s="55" t="s">
        <v>212</v>
      </c>
      <c r="B121" s="55" t="s">
        <v>213</v>
      </c>
      <c r="C121" s="32">
        <v>4301051364</v>
      </c>
      <c r="D121" s="385">
        <v>4607091384581</v>
      </c>
      <c r="E121" s="329"/>
      <c r="F121" s="304">
        <v>0.67</v>
      </c>
      <c r="G121" s="33">
        <v>4</v>
      </c>
      <c r="H121" s="304">
        <v>2.68</v>
      </c>
      <c r="I121" s="304">
        <v>2.9420000000000002</v>
      </c>
      <c r="J121" s="33">
        <v>120</v>
      </c>
      <c r="K121" s="34" t="s">
        <v>123</v>
      </c>
      <c r="L121" s="33">
        <v>45</v>
      </c>
      <c r="M121" s="451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1" s="387"/>
      <c r="O121" s="387"/>
      <c r="P121" s="387"/>
      <c r="Q121" s="329"/>
      <c r="R121" s="35"/>
      <c r="S121" s="35"/>
      <c r="T121" s="36" t="s">
        <v>63</v>
      </c>
      <c r="U121" s="305">
        <v>0</v>
      </c>
      <c r="V121" s="306">
        <f>IFERROR(IF(U121="",0,CEILING((U121/$H121),1)*$H121),"")</f>
        <v>0</v>
      </c>
      <c r="W121" s="37" t="str">
        <f>IFERROR(IF(V121=0,"",ROUNDUP(V121/H121,0)*0.00937),"")</f>
        <v/>
      </c>
      <c r="X121" s="57"/>
      <c r="Y121" s="58"/>
      <c r="AC121" s="59"/>
      <c r="AZ121" s="121" t="s">
        <v>1</v>
      </c>
    </row>
    <row r="122" spans="1:52" x14ac:dyDescent="0.2">
      <c r="A122" s="389"/>
      <c r="B122" s="313"/>
      <c r="C122" s="313"/>
      <c r="D122" s="313"/>
      <c r="E122" s="313"/>
      <c r="F122" s="313"/>
      <c r="G122" s="313"/>
      <c r="H122" s="313"/>
      <c r="I122" s="313"/>
      <c r="J122" s="313"/>
      <c r="K122" s="313"/>
      <c r="L122" s="390"/>
      <c r="M122" s="388" t="s">
        <v>64</v>
      </c>
      <c r="N122" s="341"/>
      <c r="O122" s="341"/>
      <c r="P122" s="341"/>
      <c r="Q122" s="341"/>
      <c r="R122" s="341"/>
      <c r="S122" s="342"/>
      <c r="T122" s="38" t="s">
        <v>65</v>
      </c>
      <c r="U122" s="307">
        <f>IFERROR(U118/H118,"0")+IFERROR(U119/H119,"0")+IFERROR(U120/H120,"0")+IFERROR(U121/H121,"0")</f>
        <v>6.2962962962962958</v>
      </c>
      <c r="V122" s="307">
        <f>IFERROR(V118/H118,"0")+IFERROR(V119/H119,"0")+IFERROR(V120/H120,"0")+IFERROR(V121/H121,"0")</f>
        <v>7</v>
      </c>
      <c r="W122" s="307">
        <f>IFERROR(IF(W118="",0,W118),"0")+IFERROR(IF(W119="",0,W119),"0")+IFERROR(IF(W120="",0,W120),"0")+IFERROR(IF(W121="",0,W121),"0")</f>
        <v>5.271E-2</v>
      </c>
      <c r="X122" s="308"/>
      <c r="Y122" s="308"/>
    </row>
    <row r="123" spans="1:52" x14ac:dyDescent="0.2">
      <c r="A123" s="313"/>
      <c r="B123" s="313"/>
      <c r="C123" s="313"/>
      <c r="D123" s="313"/>
      <c r="E123" s="313"/>
      <c r="F123" s="313"/>
      <c r="G123" s="313"/>
      <c r="H123" s="313"/>
      <c r="I123" s="313"/>
      <c r="J123" s="313"/>
      <c r="K123" s="313"/>
      <c r="L123" s="390"/>
      <c r="M123" s="388" t="s">
        <v>64</v>
      </c>
      <c r="N123" s="341"/>
      <c r="O123" s="341"/>
      <c r="P123" s="341"/>
      <c r="Q123" s="341"/>
      <c r="R123" s="341"/>
      <c r="S123" s="342"/>
      <c r="T123" s="38" t="s">
        <v>63</v>
      </c>
      <c r="U123" s="307">
        <f>IFERROR(SUM(U118:U121),"0")</f>
        <v>17</v>
      </c>
      <c r="V123" s="307">
        <f>IFERROR(SUM(V118:V121),"0")</f>
        <v>18.900000000000002</v>
      </c>
      <c r="W123" s="38"/>
      <c r="X123" s="308"/>
      <c r="Y123" s="308"/>
    </row>
    <row r="124" spans="1:52" ht="27.75" customHeight="1" x14ac:dyDescent="0.2">
      <c r="A124" s="381" t="s">
        <v>214</v>
      </c>
      <c r="B124" s="382"/>
      <c r="C124" s="382"/>
      <c r="D124" s="382"/>
      <c r="E124" s="382"/>
      <c r="F124" s="382"/>
      <c r="G124" s="382"/>
      <c r="H124" s="382"/>
      <c r="I124" s="382"/>
      <c r="J124" s="382"/>
      <c r="K124" s="382"/>
      <c r="L124" s="382"/>
      <c r="M124" s="382"/>
      <c r="N124" s="382"/>
      <c r="O124" s="382"/>
      <c r="P124" s="382"/>
      <c r="Q124" s="382"/>
      <c r="R124" s="382"/>
      <c r="S124" s="382"/>
      <c r="T124" s="382"/>
      <c r="U124" s="382"/>
      <c r="V124" s="382"/>
      <c r="W124" s="382"/>
      <c r="X124" s="49"/>
      <c r="Y124" s="49"/>
    </row>
    <row r="125" spans="1:52" ht="16.5" customHeight="1" x14ac:dyDescent="0.25">
      <c r="A125" s="383" t="s">
        <v>215</v>
      </c>
      <c r="B125" s="313"/>
      <c r="C125" s="313"/>
      <c r="D125" s="313"/>
      <c r="E125" s="313"/>
      <c r="F125" s="313"/>
      <c r="G125" s="313"/>
      <c r="H125" s="313"/>
      <c r="I125" s="313"/>
      <c r="J125" s="313"/>
      <c r="K125" s="313"/>
      <c r="L125" s="313"/>
      <c r="M125" s="313"/>
      <c r="N125" s="313"/>
      <c r="O125" s="313"/>
      <c r="P125" s="313"/>
      <c r="Q125" s="313"/>
      <c r="R125" s="313"/>
      <c r="S125" s="313"/>
      <c r="T125" s="313"/>
      <c r="U125" s="313"/>
      <c r="V125" s="313"/>
      <c r="W125" s="313"/>
      <c r="X125" s="301"/>
      <c r="Y125" s="301"/>
    </row>
    <row r="126" spans="1:52" ht="14.25" customHeight="1" x14ac:dyDescent="0.25">
      <c r="A126" s="384" t="s">
        <v>100</v>
      </c>
      <c r="B126" s="313"/>
      <c r="C126" s="313"/>
      <c r="D126" s="313"/>
      <c r="E126" s="313"/>
      <c r="F126" s="313"/>
      <c r="G126" s="313"/>
      <c r="H126" s="313"/>
      <c r="I126" s="313"/>
      <c r="J126" s="313"/>
      <c r="K126" s="313"/>
      <c r="L126" s="313"/>
      <c r="M126" s="313"/>
      <c r="N126" s="313"/>
      <c r="O126" s="313"/>
      <c r="P126" s="313"/>
      <c r="Q126" s="313"/>
      <c r="R126" s="313"/>
      <c r="S126" s="313"/>
      <c r="T126" s="313"/>
      <c r="U126" s="313"/>
      <c r="V126" s="313"/>
      <c r="W126" s="313"/>
      <c r="X126" s="302"/>
      <c r="Y126" s="302"/>
    </row>
    <row r="127" spans="1:52" ht="27" customHeight="1" x14ac:dyDescent="0.25">
      <c r="A127" s="55" t="s">
        <v>216</v>
      </c>
      <c r="B127" s="55" t="s">
        <v>217</v>
      </c>
      <c r="C127" s="32">
        <v>4301011223</v>
      </c>
      <c r="D127" s="385">
        <v>4607091383423</v>
      </c>
      <c r="E127" s="329"/>
      <c r="F127" s="304">
        <v>1.35</v>
      </c>
      <c r="G127" s="33">
        <v>8</v>
      </c>
      <c r="H127" s="304">
        <v>10.8</v>
      </c>
      <c r="I127" s="304">
        <v>11.375999999999999</v>
      </c>
      <c r="J127" s="33">
        <v>56</v>
      </c>
      <c r="K127" s="34" t="s">
        <v>123</v>
      </c>
      <c r="L127" s="33">
        <v>35</v>
      </c>
      <c r="M127" s="452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27" s="387"/>
      <c r="O127" s="387"/>
      <c r="P127" s="387"/>
      <c r="Q127" s="329"/>
      <c r="R127" s="35"/>
      <c r="S127" s="35"/>
      <c r="T127" s="36" t="s">
        <v>63</v>
      </c>
      <c r="U127" s="305">
        <v>0</v>
      </c>
      <c r="V127" s="306">
        <f>IFERROR(IF(U127="",0,CEILING((U127/$H127),1)*$H127),"")</f>
        <v>0</v>
      </c>
      <c r="W127" s="37" t="str">
        <f>IFERROR(IF(V127=0,"",ROUNDUP(V127/H127,0)*0.02175),"")</f>
        <v/>
      </c>
      <c r="X127" s="57"/>
      <c r="Y127" s="58"/>
      <c r="AC127" s="59"/>
      <c r="AZ127" s="122" t="s">
        <v>1</v>
      </c>
    </row>
    <row r="128" spans="1:52" ht="27" customHeight="1" x14ac:dyDescent="0.25">
      <c r="A128" s="55" t="s">
        <v>218</v>
      </c>
      <c r="B128" s="55" t="s">
        <v>219</v>
      </c>
      <c r="C128" s="32">
        <v>4301011338</v>
      </c>
      <c r="D128" s="385">
        <v>4607091381405</v>
      </c>
      <c r="E128" s="329"/>
      <c r="F128" s="304">
        <v>1.35</v>
      </c>
      <c r="G128" s="33">
        <v>8</v>
      </c>
      <c r="H128" s="304">
        <v>10.8</v>
      </c>
      <c r="I128" s="304">
        <v>11.375999999999999</v>
      </c>
      <c r="J128" s="33">
        <v>56</v>
      </c>
      <c r="K128" s="34" t="s">
        <v>62</v>
      </c>
      <c r="L128" s="33">
        <v>35</v>
      </c>
      <c r="M128" s="453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28" s="387"/>
      <c r="O128" s="387"/>
      <c r="P128" s="387"/>
      <c r="Q128" s="329"/>
      <c r="R128" s="35"/>
      <c r="S128" s="35"/>
      <c r="T128" s="36" t="s">
        <v>63</v>
      </c>
      <c r="U128" s="305">
        <v>0</v>
      </c>
      <c r="V128" s="306">
        <f>IFERROR(IF(U128="",0,CEILING((U128/$H128),1)*$H128),"")</f>
        <v>0</v>
      </c>
      <c r="W128" s="37" t="str">
        <f>IFERROR(IF(V128=0,"",ROUNDUP(V128/H128,0)*0.02175),"")</f>
        <v/>
      </c>
      <c r="X128" s="57"/>
      <c r="Y128" s="58"/>
      <c r="AC128" s="59"/>
      <c r="AZ128" s="123" t="s">
        <v>1</v>
      </c>
    </row>
    <row r="129" spans="1:52" ht="27" customHeight="1" x14ac:dyDescent="0.25">
      <c r="A129" s="55" t="s">
        <v>220</v>
      </c>
      <c r="B129" s="55" t="s">
        <v>221</v>
      </c>
      <c r="C129" s="32">
        <v>4301011333</v>
      </c>
      <c r="D129" s="385">
        <v>4607091386516</v>
      </c>
      <c r="E129" s="329"/>
      <c r="F129" s="304">
        <v>1.4</v>
      </c>
      <c r="G129" s="33">
        <v>8</v>
      </c>
      <c r="H129" s="304">
        <v>11.2</v>
      </c>
      <c r="I129" s="304">
        <v>11.776</v>
      </c>
      <c r="J129" s="33">
        <v>56</v>
      </c>
      <c r="K129" s="34" t="s">
        <v>62</v>
      </c>
      <c r="L129" s="33">
        <v>30</v>
      </c>
      <c r="M129" s="454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29" s="387"/>
      <c r="O129" s="387"/>
      <c r="P129" s="387"/>
      <c r="Q129" s="329"/>
      <c r="R129" s="35"/>
      <c r="S129" s="35"/>
      <c r="T129" s="36" t="s">
        <v>63</v>
      </c>
      <c r="U129" s="305">
        <v>0</v>
      </c>
      <c r="V129" s="306">
        <f>IFERROR(IF(U129="",0,CEILING((U129/$H129),1)*$H129),"")</f>
        <v>0</v>
      </c>
      <c r="W129" s="37" t="str">
        <f>IFERROR(IF(V129=0,"",ROUNDUP(V129/H129,0)*0.02175),"")</f>
        <v/>
      </c>
      <c r="X129" s="57"/>
      <c r="Y129" s="58"/>
      <c r="AC129" s="59"/>
      <c r="AZ129" s="124" t="s">
        <v>1</v>
      </c>
    </row>
    <row r="130" spans="1:52" x14ac:dyDescent="0.2">
      <c r="A130" s="389"/>
      <c r="B130" s="313"/>
      <c r="C130" s="313"/>
      <c r="D130" s="313"/>
      <c r="E130" s="313"/>
      <c r="F130" s="313"/>
      <c r="G130" s="313"/>
      <c r="H130" s="313"/>
      <c r="I130" s="313"/>
      <c r="J130" s="313"/>
      <c r="K130" s="313"/>
      <c r="L130" s="390"/>
      <c r="M130" s="388" t="s">
        <v>64</v>
      </c>
      <c r="N130" s="341"/>
      <c r="O130" s="341"/>
      <c r="P130" s="341"/>
      <c r="Q130" s="341"/>
      <c r="R130" s="341"/>
      <c r="S130" s="342"/>
      <c r="T130" s="38" t="s">
        <v>65</v>
      </c>
      <c r="U130" s="307">
        <f>IFERROR(U127/H127,"0")+IFERROR(U128/H128,"0")+IFERROR(U129/H129,"0")</f>
        <v>0</v>
      </c>
      <c r="V130" s="307">
        <f>IFERROR(V127/H127,"0")+IFERROR(V128/H128,"0")+IFERROR(V129/H129,"0")</f>
        <v>0</v>
      </c>
      <c r="W130" s="307">
        <f>IFERROR(IF(W127="",0,W127),"0")+IFERROR(IF(W128="",0,W128),"0")+IFERROR(IF(W129="",0,W129),"0")</f>
        <v>0</v>
      </c>
      <c r="X130" s="308"/>
      <c r="Y130" s="308"/>
    </row>
    <row r="131" spans="1:52" x14ac:dyDescent="0.2">
      <c r="A131" s="313"/>
      <c r="B131" s="313"/>
      <c r="C131" s="313"/>
      <c r="D131" s="313"/>
      <c r="E131" s="313"/>
      <c r="F131" s="313"/>
      <c r="G131" s="313"/>
      <c r="H131" s="313"/>
      <c r="I131" s="313"/>
      <c r="J131" s="313"/>
      <c r="K131" s="313"/>
      <c r="L131" s="390"/>
      <c r="M131" s="388" t="s">
        <v>64</v>
      </c>
      <c r="N131" s="341"/>
      <c r="O131" s="341"/>
      <c r="P131" s="341"/>
      <c r="Q131" s="341"/>
      <c r="R131" s="341"/>
      <c r="S131" s="342"/>
      <c r="T131" s="38" t="s">
        <v>63</v>
      </c>
      <c r="U131" s="307">
        <f>IFERROR(SUM(U127:U129),"0")</f>
        <v>0</v>
      </c>
      <c r="V131" s="307">
        <f>IFERROR(SUM(V127:V129),"0")</f>
        <v>0</v>
      </c>
      <c r="W131" s="38"/>
      <c r="X131" s="308"/>
      <c r="Y131" s="308"/>
    </row>
    <row r="132" spans="1:52" ht="16.5" customHeight="1" x14ac:dyDescent="0.25">
      <c r="A132" s="383" t="s">
        <v>222</v>
      </c>
      <c r="B132" s="313"/>
      <c r="C132" s="313"/>
      <c r="D132" s="313"/>
      <c r="E132" s="313"/>
      <c r="F132" s="313"/>
      <c r="G132" s="313"/>
      <c r="H132" s="313"/>
      <c r="I132" s="313"/>
      <c r="J132" s="313"/>
      <c r="K132" s="313"/>
      <c r="L132" s="313"/>
      <c r="M132" s="313"/>
      <c r="N132" s="313"/>
      <c r="O132" s="313"/>
      <c r="P132" s="313"/>
      <c r="Q132" s="313"/>
      <c r="R132" s="313"/>
      <c r="S132" s="313"/>
      <c r="T132" s="313"/>
      <c r="U132" s="313"/>
      <c r="V132" s="313"/>
      <c r="W132" s="313"/>
      <c r="X132" s="301"/>
      <c r="Y132" s="301"/>
    </row>
    <row r="133" spans="1:52" ht="14.25" customHeight="1" x14ac:dyDescent="0.25">
      <c r="A133" s="384" t="s">
        <v>59</v>
      </c>
      <c r="B133" s="313"/>
      <c r="C133" s="313"/>
      <c r="D133" s="313"/>
      <c r="E133" s="313"/>
      <c r="F133" s="313"/>
      <c r="G133" s="313"/>
      <c r="H133" s="313"/>
      <c r="I133" s="313"/>
      <c r="J133" s="313"/>
      <c r="K133" s="313"/>
      <c r="L133" s="313"/>
      <c r="M133" s="313"/>
      <c r="N133" s="313"/>
      <c r="O133" s="313"/>
      <c r="P133" s="313"/>
      <c r="Q133" s="313"/>
      <c r="R133" s="313"/>
      <c r="S133" s="313"/>
      <c r="T133" s="313"/>
      <c r="U133" s="313"/>
      <c r="V133" s="313"/>
      <c r="W133" s="313"/>
      <c r="X133" s="302"/>
      <c r="Y133" s="302"/>
    </row>
    <row r="134" spans="1:52" ht="27" customHeight="1" x14ac:dyDescent="0.25">
      <c r="A134" s="55" t="s">
        <v>223</v>
      </c>
      <c r="B134" s="55" t="s">
        <v>224</v>
      </c>
      <c r="C134" s="32">
        <v>4301031191</v>
      </c>
      <c r="D134" s="385">
        <v>4680115880993</v>
      </c>
      <c r="E134" s="329"/>
      <c r="F134" s="304">
        <v>0.7</v>
      </c>
      <c r="G134" s="33">
        <v>6</v>
      </c>
      <c r="H134" s="304">
        <v>4.2</v>
      </c>
      <c r="I134" s="304">
        <v>4.46</v>
      </c>
      <c r="J134" s="33">
        <v>156</v>
      </c>
      <c r="K134" s="34" t="s">
        <v>62</v>
      </c>
      <c r="L134" s="33">
        <v>40</v>
      </c>
      <c r="M134" s="45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34" s="387"/>
      <c r="O134" s="387"/>
      <c r="P134" s="387"/>
      <c r="Q134" s="329"/>
      <c r="R134" s="35"/>
      <c r="S134" s="35"/>
      <c r="T134" s="36" t="s">
        <v>63</v>
      </c>
      <c r="U134" s="305">
        <v>50</v>
      </c>
      <c r="V134" s="306">
        <f t="shared" ref="V134:V141" si="7">IFERROR(IF(U134="",0,CEILING((U134/$H134),1)*$H134),"")</f>
        <v>50.400000000000006</v>
      </c>
      <c r="W134" s="37">
        <f>IFERROR(IF(V134=0,"",ROUNDUP(V134/H134,0)*0.00753),"")</f>
        <v>9.0359999999999996E-2</v>
      </c>
      <c r="X134" s="57"/>
      <c r="Y134" s="58"/>
      <c r="AC134" s="59"/>
      <c r="AZ134" s="125" t="s">
        <v>1</v>
      </c>
    </row>
    <row r="135" spans="1:52" ht="27" customHeight="1" x14ac:dyDescent="0.25">
      <c r="A135" s="55" t="s">
        <v>225</v>
      </c>
      <c r="B135" s="55" t="s">
        <v>226</v>
      </c>
      <c r="C135" s="32">
        <v>4301031204</v>
      </c>
      <c r="D135" s="385">
        <v>4680115881761</v>
      </c>
      <c r="E135" s="329"/>
      <c r="F135" s="304">
        <v>0.7</v>
      </c>
      <c r="G135" s="33">
        <v>6</v>
      </c>
      <c r="H135" s="304">
        <v>4.2</v>
      </c>
      <c r="I135" s="304">
        <v>4.46</v>
      </c>
      <c r="J135" s="33">
        <v>156</v>
      </c>
      <c r="K135" s="34" t="s">
        <v>62</v>
      </c>
      <c r="L135" s="33">
        <v>40</v>
      </c>
      <c r="M135" s="45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35" s="387"/>
      <c r="O135" s="387"/>
      <c r="P135" s="387"/>
      <c r="Q135" s="329"/>
      <c r="R135" s="35"/>
      <c r="S135" s="35"/>
      <c r="T135" s="36" t="s">
        <v>63</v>
      </c>
      <c r="U135" s="305">
        <v>0</v>
      </c>
      <c r="V135" s="306">
        <f t="shared" si="7"/>
        <v>0</v>
      </c>
      <c r="W135" s="37" t="str">
        <f>IFERROR(IF(V135=0,"",ROUNDUP(V135/H135,0)*0.00753),"")</f>
        <v/>
      </c>
      <c r="X135" s="57"/>
      <c r="Y135" s="58"/>
      <c r="AC135" s="59"/>
      <c r="AZ135" s="126" t="s">
        <v>1</v>
      </c>
    </row>
    <row r="136" spans="1:52" ht="27" customHeight="1" x14ac:dyDescent="0.25">
      <c r="A136" s="55" t="s">
        <v>227</v>
      </c>
      <c r="B136" s="55" t="s">
        <v>228</v>
      </c>
      <c r="C136" s="32">
        <v>4301031201</v>
      </c>
      <c r="D136" s="385">
        <v>4680115881563</v>
      </c>
      <c r="E136" s="329"/>
      <c r="F136" s="304">
        <v>0.7</v>
      </c>
      <c r="G136" s="33">
        <v>6</v>
      </c>
      <c r="H136" s="304">
        <v>4.2</v>
      </c>
      <c r="I136" s="304">
        <v>4.4000000000000004</v>
      </c>
      <c r="J136" s="33">
        <v>156</v>
      </c>
      <c r="K136" s="34" t="s">
        <v>62</v>
      </c>
      <c r="L136" s="33">
        <v>40</v>
      </c>
      <c r="M136" s="45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36" s="387"/>
      <c r="O136" s="387"/>
      <c r="P136" s="387"/>
      <c r="Q136" s="329"/>
      <c r="R136" s="35"/>
      <c r="S136" s="35"/>
      <c r="T136" s="36" t="s">
        <v>63</v>
      </c>
      <c r="U136" s="305">
        <v>238</v>
      </c>
      <c r="V136" s="306">
        <f t="shared" si="7"/>
        <v>239.4</v>
      </c>
      <c r="W136" s="37">
        <f>IFERROR(IF(V136=0,"",ROUNDUP(V136/H136,0)*0.00753),"")</f>
        <v>0.42921000000000004</v>
      </c>
      <c r="X136" s="57"/>
      <c r="Y136" s="58"/>
      <c r="AC136" s="59"/>
      <c r="AZ136" s="127" t="s">
        <v>1</v>
      </c>
    </row>
    <row r="137" spans="1:52" ht="27" customHeight="1" x14ac:dyDescent="0.25">
      <c r="A137" s="55" t="s">
        <v>229</v>
      </c>
      <c r="B137" s="55" t="s">
        <v>230</v>
      </c>
      <c r="C137" s="32">
        <v>4301031199</v>
      </c>
      <c r="D137" s="385">
        <v>4680115880986</v>
      </c>
      <c r="E137" s="329"/>
      <c r="F137" s="304">
        <v>0.35</v>
      </c>
      <c r="G137" s="33">
        <v>6</v>
      </c>
      <c r="H137" s="304">
        <v>2.1</v>
      </c>
      <c r="I137" s="304">
        <v>2.23</v>
      </c>
      <c r="J137" s="33">
        <v>234</v>
      </c>
      <c r="K137" s="34" t="s">
        <v>62</v>
      </c>
      <c r="L137" s="33">
        <v>40</v>
      </c>
      <c r="M137" s="45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37" s="387"/>
      <c r="O137" s="387"/>
      <c r="P137" s="387"/>
      <c r="Q137" s="329"/>
      <c r="R137" s="35"/>
      <c r="S137" s="35"/>
      <c r="T137" s="36" t="s">
        <v>63</v>
      </c>
      <c r="U137" s="305">
        <v>0</v>
      </c>
      <c r="V137" s="306">
        <f t="shared" si="7"/>
        <v>0</v>
      </c>
      <c r="W137" s="37" t="str">
        <f>IFERROR(IF(V137=0,"",ROUNDUP(V137/H137,0)*0.00502),"")</f>
        <v/>
      </c>
      <c r="X137" s="57"/>
      <c r="Y137" s="58"/>
      <c r="AC137" s="59"/>
      <c r="AZ137" s="128" t="s">
        <v>1</v>
      </c>
    </row>
    <row r="138" spans="1:52" ht="27" customHeight="1" x14ac:dyDescent="0.25">
      <c r="A138" s="55" t="s">
        <v>231</v>
      </c>
      <c r="B138" s="55" t="s">
        <v>232</v>
      </c>
      <c r="C138" s="32">
        <v>4301031190</v>
      </c>
      <c r="D138" s="385">
        <v>4680115880207</v>
      </c>
      <c r="E138" s="329"/>
      <c r="F138" s="304">
        <v>0.4</v>
      </c>
      <c r="G138" s="33">
        <v>6</v>
      </c>
      <c r="H138" s="304">
        <v>2.4</v>
      </c>
      <c r="I138" s="304">
        <v>2.63</v>
      </c>
      <c r="J138" s="33">
        <v>156</v>
      </c>
      <c r="K138" s="34" t="s">
        <v>62</v>
      </c>
      <c r="L138" s="33">
        <v>40</v>
      </c>
      <c r="M138" s="459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38" s="387"/>
      <c r="O138" s="387"/>
      <c r="P138" s="387"/>
      <c r="Q138" s="329"/>
      <c r="R138" s="35"/>
      <c r="S138" s="35"/>
      <c r="T138" s="36" t="s">
        <v>63</v>
      </c>
      <c r="U138" s="305">
        <v>0</v>
      </c>
      <c r="V138" s="306">
        <f t="shared" si="7"/>
        <v>0</v>
      </c>
      <c r="W138" s="37" t="str">
        <f>IFERROR(IF(V138=0,"",ROUNDUP(V138/H138,0)*0.00753),"")</f>
        <v/>
      </c>
      <c r="X138" s="57"/>
      <c r="Y138" s="58"/>
      <c r="AC138" s="59"/>
      <c r="AZ138" s="129" t="s">
        <v>1</v>
      </c>
    </row>
    <row r="139" spans="1:52" ht="27" customHeight="1" x14ac:dyDescent="0.25">
      <c r="A139" s="55" t="s">
        <v>233</v>
      </c>
      <c r="B139" s="55" t="s">
        <v>234</v>
      </c>
      <c r="C139" s="32">
        <v>4301031205</v>
      </c>
      <c r="D139" s="385">
        <v>4680115881785</v>
      </c>
      <c r="E139" s="329"/>
      <c r="F139" s="304">
        <v>0.35</v>
      </c>
      <c r="G139" s="33">
        <v>6</v>
      </c>
      <c r="H139" s="304">
        <v>2.1</v>
      </c>
      <c r="I139" s="304">
        <v>2.23</v>
      </c>
      <c r="J139" s="33">
        <v>234</v>
      </c>
      <c r="K139" s="34" t="s">
        <v>62</v>
      </c>
      <c r="L139" s="33">
        <v>40</v>
      </c>
      <c r="M139" s="46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39" s="387"/>
      <c r="O139" s="387"/>
      <c r="P139" s="387"/>
      <c r="Q139" s="329"/>
      <c r="R139" s="35"/>
      <c r="S139" s="35"/>
      <c r="T139" s="36" t="s">
        <v>63</v>
      </c>
      <c r="U139" s="305">
        <v>0</v>
      </c>
      <c r="V139" s="306">
        <f t="shared" si="7"/>
        <v>0</v>
      </c>
      <c r="W139" s="37" t="str">
        <f>IFERROR(IF(V139=0,"",ROUNDUP(V139/H139,0)*0.00502),"")</f>
        <v/>
      </c>
      <c r="X139" s="57"/>
      <c r="Y139" s="58"/>
      <c r="AC139" s="59"/>
      <c r="AZ139" s="130" t="s">
        <v>1</v>
      </c>
    </row>
    <row r="140" spans="1:52" ht="27" customHeight="1" x14ac:dyDescent="0.25">
      <c r="A140" s="55" t="s">
        <v>235</v>
      </c>
      <c r="B140" s="55" t="s">
        <v>236</v>
      </c>
      <c r="C140" s="32">
        <v>4301031202</v>
      </c>
      <c r="D140" s="385">
        <v>4680115881679</v>
      </c>
      <c r="E140" s="329"/>
      <c r="F140" s="304">
        <v>0.35</v>
      </c>
      <c r="G140" s="33">
        <v>6</v>
      </c>
      <c r="H140" s="304">
        <v>2.1</v>
      </c>
      <c r="I140" s="304">
        <v>2.2000000000000002</v>
      </c>
      <c r="J140" s="33">
        <v>234</v>
      </c>
      <c r="K140" s="34" t="s">
        <v>62</v>
      </c>
      <c r="L140" s="33">
        <v>40</v>
      </c>
      <c r="M140" s="46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0" s="387"/>
      <c r="O140" s="387"/>
      <c r="P140" s="387"/>
      <c r="Q140" s="329"/>
      <c r="R140" s="35"/>
      <c r="S140" s="35"/>
      <c r="T140" s="36" t="s">
        <v>63</v>
      </c>
      <c r="U140" s="305">
        <v>0</v>
      </c>
      <c r="V140" s="306">
        <f t="shared" si="7"/>
        <v>0</v>
      </c>
      <c r="W140" s="37" t="str">
        <f>IFERROR(IF(V140=0,"",ROUNDUP(V140/H140,0)*0.00502),"")</f>
        <v/>
      </c>
      <c r="X140" s="57"/>
      <c r="Y140" s="58"/>
      <c r="AC140" s="59"/>
      <c r="AZ140" s="131" t="s">
        <v>1</v>
      </c>
    </row>
    <row r="141" spans="1:52" ht="27" customHeight="1" x14ac:dyDescent="0.25">
      <c r="A141" s="55" t="s">
        <v>237</v>
      </c>
      <c r="B141" s="55" t="s">
        <v>238</v>
      </c>
      <c r="C141" s="32">
        <v>4301031158</v>
      </c>
      <c r="D141" s="385">
        <v>4680115880191</v>
      </c>
      <c r="E141" s="329"/>
      <c r="F141" s="304">
        <v>0.4</v>
      </c>
      <c r="G141" s="33">
        <v>6</v>
      </c>
      <c r="H141" s="304">
        <v>2.4</v>
      </c>
      <c r="I141" s="304">
        <v>2.6</v>
      </c>
      <c r="J141" s="33">
        <v>156</v>
      </c>
      <c r="K141" s="34" t="s">
        <v>62</v>
      </c>
      <c r="L141" s="33">
        <v>40</v>
      </c>
      <c r="M141" s="46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1" s="387"/>
      <c r="O141" s="387"/>
      <c r="P141" s="387"/>
      <c r="Q141" s="329"/>
      <c r="R141" s="35"/>
      <c r="S141" s="35"/>
      <c r="T141" s="36" t="s">
        <v>63</v>
      </c>
      <c r="U141" s="305">
        <v>0</v>
      </c>
      <c r="V141" s="306">
        <f t="shared" si="7"/>
        <v>0</v>
      </c>
      <c r="W141" s="37" t="str">
        <f>IFERROR(IF(V141=0,"",ROUNDUP(V141/H141,0)*0.00753),"")</f>
        <v/>
      </c>
      <c r="X141" s="57"/>
      <c r="Y141" s="58"/>
      <c r="AC141" s="59"/>
      <c r="AZ141" s="132" t="s">
        <v>1</v>
      </c>
    </row>
    <row r="142" spans="1:52" x14ac:dyDescent="0.2">
      <c r="A142" s="389"/>
      <c r="B142" s="313"/>
      <c r="C142" s="313"/>
      <c r="D142" s="313"/>
      <c r="E142" s="313"/>
      <c r="F142" s="313"/>
      <c r="G142" s="313"/>
      <c r="H142" s="313"/>
      <c r="I142" s="313"/>
      <c r="J142" s="313"/>
      <c r="K142" s="313"/>
      <c r="L142" s="390"/>
      <c r="M142" s="388" t="s">
        <v>64</v>
      </c>
      <c r="N142" s="341"/>
      <c r="O142" s="341"/>
      <c r="P142" s="341"/>
      <c r="Q142" s="341"/>
      <c r="R142" s="341"/>
      <c r="S142" s="342"/>
      <c r="T142" s="38" t="s">
        <v>65</v>
      </c>
      <c r="U142" s="307">
        <f>IFERROR(U134/H134,"0")+IFERROR(U135/H135,"0")+IFERROR(U136/H136,"0")+IFERROR(U137/H137,"0")+IFERROR(U138/H138,"0")+IFERROR(U139/H139,"0")+IFERROR(U140/H140,"0")+IFERROR(U141/H141,"0")</f>
        <v>68.571428571428569</v>
      </c>
      <c r="V142" s="307">
        <f>IFERROR(V134/H134,"0")+IFERROR(V135/H135,"0")+IFERROR(V136/H136,"0")+IFERROR(V137/H137,"0")+IFERROR(V138/H138,"0")+IFERROR(V139/H139,"0")+IFERROR(V140/H140,"0")+IFERROR(V141/H141,"0")</f>
        <v>69</v>
      </c>
      <c r="W142" s="307">
        <f>IFERROR(IF(W134="",0,W134),"0")+IFERROR(IF(W135="",0,W135),"0")+IFERROR(IF(W136="",0,W136),"0")+IFERROR(IF(W137="",0,W137),"0")+IFERROR(IF(W138="",0,W138),"0")+IFERROR(IF(W139="",0,W139),"0")+IFERROR(IF(W140="",0,W140),"0")+IFERROR(IF(W141="",0,W141),"0")</f>
        <v>0.51957000000000009</v>
      </c>
      <c r="X142" s="308"/>
      <c r="Y142" s="308"/>
    </row>
    <row r="143" spans="1:52" x14ac:dyDescent="0.2">
      <c r="A143" s="313"/>
      <c r="B143" s="313"/>
      <c r="C143" s="313"/>
      <c r="D143" s="313"/>
      <c r="E143" s="313"/>
      <c r="F143" s="313"/>
      <c r="G143" s="313"/>
      <c r="H143" s="313"/>
      <c r="I143" s="313"/>
      <c r="J143" s="313"/>
      <c r="K143" s="313"/>
      <c r="L143" s="390"/>
      <c r="M143" s="388" t="s">
        <v>64</v>
      </c>
      <c r="N143" s="341"/>
      <c r="O143" s="341"/>
      <c r="P143" s="341"/>
      <c r="Q143" s="341"/>
      <c r="R143" s="341"/>
      <c r="S143" s="342"/>
      <c r="T143" s="38" t="s">
        <v>63</v>
      </c>
      <c r="U143" s="307">
        <f>IFERROR(SUM(U134:U141),"0")</f>
        <v>288</v>
      </c>
      <c r="V143" s="307">
        <f>IFERROR(SUM(V134:V141),"0")</f>
        <v>289.8</v>
      </c>
      <c r="W143" s="38"/>
      <c r="X143" s="308"/>
      <c r="Y143" s="308"/>
    </row>
    <row r="144" spans="1:52" ht="16.5" customHeight="1" x14ac:dyDescent="0.25">
      <c r="A144" s="383" t="s">
        <v>239</v>
      </c>
      <c r="B144" s="313"/>
      <c r="C144" s="313"/>
      <c r="D144" s="313"/>
      <c r="E144" s="313"/>
      <c r="F144" s="313"/>
      <c r="G144" s="313"/>
      <c r="H144" s="313"/>
      <c r="I144" s="313"/>
      <c r="J144" s="313"/>
      <c r="K144" s="313"/>
      <c r="L144" s="313"/>
      <c r="M144" s="313"/>
      <c r="N144" s="313"/>
      <c r="O144" s="313"/>
      <c r="P144" s="313"/>
      <c r="Q144" s="313"/>
      <c r="R144" s="313"/>
      <c r="S144" s="313"/>
      <c r="T144" s="313"/>
      <c r="U144" s="313"/>
      <c r="V144" s="313"/>
      <c r="W144" s="313"/>
      <c r="X144" s="301"/>
      <c r="Y144" s="301"/>
    </row>
    <row r="145" spans="1:52" ht="14.25" customHeight="1" x14ac:dyDescent="0.25">
      <c r="A145" s="384" t="s">
        <v>100</v>
      </c>
      <c r="B145" s="313"/>
      <c r="C145" s="313"/>
      <c r="D145" s="313"/>
      <c r="E145" s="313"/>
      <c r="F145" s="313"/>
      <c r="G145" s="313"/>
      <c r="H145" s="313"/>
      <c r="I145" s="313"/>
      <c r="J145" s="313"/>
      <c r="K145" s="313"/>
      <c r="L145" s="313"/>
      <c r="M145" s="313"/>
      <c r="N145" s="313"/>
      <c r="O145" s="313"/>
      <c r="P145" s="313"/>
      <c r="Q145" s="313"/>
      <c r="R145" s="313"/>
      <c r="S145" s="313"/>
      <c r="T145" s="313"/>
      <c r="U145" s="313"/>
      <c r="V145" s="313"/>
      <c r="W145" s="313"/>
      <c r="X145" s="302"/>
      <c r="Y145" s="302"/>
    </row>
    <row r="146" spans="1:52" ht="16.5" customHeight="1" x14ac:dyDescent="0.25">
      <c r="A146" s="55" t="s">
        <v>240</v>
      </c>
      <c r="B146" s="55" t="s">
        <v>241</v>
      </c>
      <c r="C146" s="32">
        <v>4301011450</v>
      </c>
      <c r="D146" s="385">
        <v>4680115881402</v>
      </c>
      <c r="E146" s="329"/>
      <c r="F146" s="304">
        <v>1.35</v>
      </c>
      <c r="G146" s="33">
        <v>8</v>
      </c>
      <c r="H146" s="304">
        <v>10.8</v>
      </c>
      <c r="I146" s="304">
        <v>11.28</v>
      </c>
      <c r="J146" s="33">
        <v>56</v>
      </c>
      <c r="K146" s="34" t="s">
        <v>96</v>
      </c>
      <c r="L146" s="33">
        <v>55</v>
      </c>
      <c r="M146" s="46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46" s="387"/>
      <c r="O146" s="387"/>
      <c r="P146" s="387"/>
      <c r="Q146" s="329"/>
      <c r="R146" s="35"/>
      <c r="S146" s="35"/>
      <c r="T146" s="36" t="s">
        <v>63</v>
      </c>
      <c r="U146" s="305">
        <v>0</v>
      </c>
      <c r="V146" s="306">
        <f>IFERROR(IF(U146="",0,CEILING((U146/$H146),1)*$H146),"")</f>
        <v>0</v>
      </c>
      <c r="W146" s="37" t="str">
        <f>IFERROR(IF(V146=0,"",ROUNDUP(V146/H146,0)*0.02175),"")</f>
        <v/>
      </c>
      <c r="X146" s="57"/>
      <c r="Y146" s="58"/>
      <c r="AC146" s="59"/>
      <c r="AZ146" s="133" t="s">
        <v>1</v>
      </c>
    </row>
    <row r="147" spans="1:52" ht="27" customHeight="1" x14ac:dyDescent="0.25">
      <c r="A147" s="55" t="s">
        <v>242</v>
      </c>
      <c r="B147" s="55" t="s">
        <v>243</v>
      </c>
      <c r="C147" s="32">
        <v>4301011454</v>
      </c>
      <c r="D147" s="385">
        <v>4680115881396</v>
      </c>
      <c r="E147" s="329"/>
      <c r="F147" s="304">
        <v>0.45</v>
      </c>
      <c r="G147" s="33">
        <v>6</v>
      </c>
      <c r="H147" s="304">
        <v>2.7</v>
      </c>
      <c r="I147" s="304">
        <v>2.9</v>
      </c>
      <c r="J147" s="33">
        <v>156</v>
      </c>
      <c r="K147" s="34" t="s">
        <v>62</v>
      </c>
      <c r="L147" s="33">
        <v>55</v>
      </c>
      <c r="M147" s="46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47" s="387"/>
      <c r="O147" s="387"/>
      <c r="P147" s="387"/>
      <c r="Q147" s="329"/>
      <c r="R147" s="35"/>
      <c r="S147" s="35"/>
      <c r="T147" s="36" t="s">
        <v>63</v>
      </c>
      <c r="U147" s="305">
        <v>0</v>
      </c>
      <c r="V147" s="306">
        <f>IFERROR(IF(U147="",0,CEILING((U147/$H147),1)*$H147),"")</f>
        <v>0</v>
      </c>
      <c r="W147" s="37" t="str">
        <f>IFERROR(IF(V147=0,"",ROUNDUP(V147/H147,0)*0.00753),"")</f>
        <v/>
      </c>
      <c r="X147" s="57"/>
      <c r="Y147" s="58"/>
      <c r="AC147" s="59"/>
      <c r="AZ147" s="134" t="s">
        <v>1</v>
      </c>
    </row>
    <row r="148" spans="1:52" x14ac:dyDescent="0.2">
      <c r="A148" s="389"/>
      <c r="B148" s="313"/>
      <c r="C148" s="313"/>
      <c r="D148" s="313"/>
      <c r="E148" s="313"/>
      <c r="F148" s="313"/>
      <c r="G148" s="313"/>
      <c r="H148" s="313"/>
      <c r="I148" s="313"/>
      <c r="J148" s="313"/>
      <c r="K148" s="313"/>
      <c r="L148" s="390"/>
      <c r="M148" s="388" t="s">
        <v>64</v>
      </c>
      <c r="N148" s="341"/>
      <c r="O148" s="341"/>
      <c r="P148" s="341"/>
      <c r="Q148" s="341"/>
      <c r="R148" s="341"/>
      <c r="S148" s="342"/>
      <c r="T148" s="38" t="s">
        <v>65</v>
      </c>
      <c r="U148" s="307">
        <f>IFERROR(U146/H146,"0")+IFERROR(U147/H147,"0")</f>
        <v>0</v>
      </c>
      <c r="V148" s="307">
        <f>IFERROR(V146/H146,"0")+IFERROR(V147/H147,"0")</f>
        <v>0</v>
      </c>
      <c r="W148" s="307">
        <f>IFERROR(IF(W146="",0,W146),"0")+IFERROR(IF(W147="",0,W147),"0")</f>
        <v>0</v>
      </c>
      <c r="X148" s="308"/>
      <c r="Y148" s="308"/>
    </row>
    <row r="149" spans="1:52" x14ac:dyDescent="0.2">
      <c r="A149" s="313"/>
      <c r="B149" s="313"/>
      <c r="C149" s="313"/>
      <c r="D149" s="313"/>
      <c r="E149" s="313"/>
      <c r="F149" s="313"/>
      <c r="G149" s="313"/>
      <c r="H149" s="313"/>
      <c r="I149" s="313"/>
      <c r="J149" s="313"/>
      <c r="K149" s="313"/>
      <c r="L149" s="390"/>
      <c r="M149" s="388" t="s">
        <v>64</v>
      </c>
      <c r="N149" s="341"/>
      <c r="O149" s="341"/>
      <c r="P149" s="341"/>
      <c r="Q149" s="341"/>
      <c r="R149" s="341"/>
      <c r="S149" s="342"/>
      <c r="T149" s="38" t="s">
        <v>63</v>
      </c>
      <c r="U149" s="307">
        <f>IFERROR(SUM(U146:U147),"0")</f>
        <v>0</v>
      </c>
      <c r="V149" s="307">
        <f>IFERROR(SUM(V146:V147),"0")</f>
        <v>0</v>
      </c>
      <c r="W149" s="38"/>
      <c r="X149" s="308"/>
      <c r="Y149" s="308"/>
    </row>
    <row r="150" spans="1:52" ht="14.25" customHeight="1" x14ac:dyDescent="0.25">
      <c r="A150" s="384" t="s">
        <v>93</v>
      </c>
      <c r="B150" s="313"/>
      <c r="C150" s="313"/>
      <c r="D150" s="313"/>
      <c r="E150" s="313"/>
      <c r="F150" s="313"/>
      <c r="G150" s="313"/>
      <c r="H150" s="313"/>
      <c r="I150" s="313"/>
      <c r="J150" s="313"/>
      <c r="K150" s="313"/>
      <c r="L150" s="313"/>
      <c r="M150" s="313"/>
      <c r="N150" s="313"/>
      <c r="O150" s="313"/>
      <c r="P150" s="313"/>
      <c r="Q150" s="313"/>
      <c r="R150" s="313"/>
      <c r="S150" s="313"/>
      <c r="T150" s="313"/>
      <c r="U150" s="313"/>
      <c r="V150" s="313"/>
      <c r="W150" s="313"/>
      <c r="X150" s="302"/>
      <c r="Y150" s="302"/>
    </row>
    <row r="151" spans="1:52" ht="16.5" customHeight="1" x14ac:dyDescent="0.25">
      <c r="A151" s="55" t="s">
        <v>244</v>
      </c>
      <c r="B151" s="55" t="s">
        <v>245</v>
      </c>
      <c r="C151" s="32">
        <v>4301020262</v>
      </c>
      <c r="D151" s="385">
        <v>4680115882935</v>
      </c>
      <c r="E151" s="329"/>
      <c r="F151" s="304">
        <v>1.35</v>
      </c>
      <c r="G151" s="33">
        <v>8</v>
      </c>
      <c r="H151" s="304">
        <v>10.8</v>
      </c>
      <c r="I151" s="304">
        <v>11.28</v>
      </c>
      <c r="J151" s="33">
        <v>56</v>
      </c>
      <c r="K151" s="34" t="s">
        <v>123</v>
      </c>
      <c r="L151" s="33">
        <v>50</v>
      </c>
      <c r="M151" s="465" t="s">
        <v>246</v>
      </c>
      <c r="N151" s="387"/>
      <c r="O151" s="387"/>
      <c r="P151" s="387"/>
      <c r="Q151" s="329"/>
      <c r="R151" s="35"/>
      <c r="S151" s="35"/>
      <c r="T151" s="36" t="s">
        <v>63</v>
      </c>
      <c r="U151" s="305">
        <v>0</v>
      </c>
      <c r="V151" s="306">
        <f>IFERROR(IF(U151="",0,CEILING((U151/$H151),1)*$H151),"")</f>
        <v>0</v>
      </c>
      <c r="W151" s="37" t="str">
        <f>IFERROR(IF(V151=0,"",ROUNDUP(V151/H151,0)*0.02175),"")</f>
        <v/>
      </c>
      <c r="X151" s="57"/>
      <c r="Y151" s="58"/>
      <c r="AC151" s="59"/>
      <c r="AZ151" s="135" t="s">
        <v>1</v>
      </c>
    </row>
    <row r="152" spans="1:52" ht="16.5" customHeight="1" x14ac:dyDescent="0.25">
      <c r="A152" s="55" t="s">
        <v>247</v>
      </c>
      <c r="B152" s="55" t="s">
        <v>248</v>
      </c>
      <c r="C152" s="32">
        <v>4301020220</v>
      </c>
      <c r="D152" s="385">
        <v>4680115880764</v>
      </c>
      <c r="E152" s="329"/>
      <c r="F152" s="304">
        <v>0.35</v>
      </c>
      <c r="G152" s="33">
        <v>6</v>
      </c>
      <c r="H152" s="304">
        <v>2.1</v>
      </c>
      <c r="I152" s="304">
        <v>2.2999999999999998</v>
      </c>
      <c r="J152" s="33">
        <v>156</v>
      </c>
      <c r="K152" s="34" t="s">
        <v>96</v>
      </c>
      <c r="L152" s="33">
        <v>50</v>
      </c>
      <c r="M152" s="46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2" s="387"/>
      <c r="O152" s="387"/>
      <c r="P152" s="387"/>
      <c r="Q152" s="329"/>
      <c r="R152" s="35"/>
      <c r="S152" s="35"/>
      <c r="T152" s="36" t="s">
        <v>63</v>
      </c>
      <c r="U152" s="305">
        <v>0</v>
      </c>
      <c r="V152" s="306">
        <f>IFERROR(IF(U152="",0,CEILING((U152/$H152),1)*$H152),"")</f>
        <v>0</v>
      </c>
      <c r="W152" s="37" t="str">
        <f>IFERROR(IF(V152=0,"",ROUNDUP(V152/H152,0)*0.00753),"")</f>
        <v/>
      </c>
      <c r="X152" s="57"/>
      <c r="Y152" s="58"/>
      <c r="AC152" s="59"/>
      <c r="AZ152" s="136" t="s">
        <v>1</v>
      </c>
    </row>
    <row r="153" spans="1:52" x14ac:dyDescent="0.2">
      <c r="A153" s="389"/>
      <c r="B153" s="313"/>
      <c r="C153" s="313"/>
      <c r="D153" s="313"/>
      <c r="E153" s="313"/>
      <c r="F153" s="313"/>
      <c r="G153" s="313"/>
      <c r="H153" s="313"/>
      <c r="I153" s="313"/>
      <c r="J153" s="313"/>
      <c r="K153" s="313"/>
      <c r="L153" s="390"/>
      <c r="M153" s="388" t="s">
        <v>64</v>
      </c>
      <c r="N153" s="341"/>
      <c r="O153" s="341"/>
      <c r="P153" s="341"/>
      <c r="Q153" s="341"/>
      <c r="R153" s="341"/>
      <c r="S153" s="342"/>
      <c r="T153" s="38" t="s">
        <v>65</v>
      </c>
      <c r="U153" s="307">
        <f>IFERROR(U151/H151,"0")+IFERROR(U152/H152,"0")</f>
        <v>0</v>
      </c>
      <c r="V153" s="307">
        <f>IFERROR(V151/H151,"0")+IFERROR(V152/H152,"0")</f>
        <v>0</v>
      </c>
      <c r="W153" s="307">
        <f>IFERROR(IF(W151="",0,W151),"0")+IFERROR(IF(W152="",0,W152),"0")</f>
        <v>0</v>
      </c>
      <c r="X153" s="308"/>
      <c r="Y153" s="308"/>
    </row>
    <row r="154" spans="1:52" x14ac:dyDescent="0.2">
      <c r="A154" s="313"/>
      <c r="B154" s="313"/>
      <c r="C154" s="313"/>
      <c r="D154" s="313"/>
      <c r="E154" s="313"/>
      <c r="F154" s="313"/>
      <c r="G154" s="313"/>
      <c r="H154" s="313"/>
      <c r="I154" s="313"/>
      <c r="J154" s="313"/>
      <c r="K154" s="313"/>
      <c r="L154" s="390"/>
      <c r="M154" s="388" t="s">
        <v>64</v>
      </c>
      <c r="N154" s="341"/>
      <c r="O154" s="341"/>
      <c r="P154" s="341"/>
      <c r="Q154" s="341"/>
      <c r="R154" s="341"/>
      <c r="S154" s="342"/>
      <c r="T154" s="38" t="s">
        <v>63</v>
      </c>
      <c r="U154" s="307">
        <f>IFERROR(SUM(U151:U152),"0")</f>
        <v>0</v>
      </c>
      <c r="V154" s="307">
        <f>IFERROR(SUM(V151:V152),"0")</f>
        <v>0</v>
      </c>
      <c r="W154" s="38"/>
      <c r="X154" s="308"/>
      <c r="Y154" s="308"/>
    </row>
    <row r="155" spans="1:52" ht="14.25" customHeight="1" x14ac:dyDescent="0.25">
      <c r="A155" s="384" t="s">
        <v>59</v>
      </c>
      <c r="B155" s="313"/>
      <c r="C155" s="313"/>
      <c r="D155" s="313"/>
      <c r="E155" s="313"/>
      <c r="F155" s="313"/>
      <c r="G155" s="313"/>
      <c r="H155" s="313"/>
      <c r="I155" s="313"/>
      <c r="J155" s="313"/>
      <c r="K155" s="313"/>
      <c r="L155" s="313"/>
      <c r="M155" s="313"/>
      <c r="N155" s="313"/>
      <c r="O155" s="313"/>
      <c r="P155" s="313"/>
      <c r="Q155" s="313"/>
      <c r="R155" s="313"/>
      <c r="S155" s="313"/>
      <c r="T155" s="313"/>
      <c r="U155" s="313"/>
      <c r="V155" s="313"/>
      <c r="W155" s="313"/>
      <c r="X155" s="302"/>
      <c r="Y155" s="302"/>
    </row>
    <row r="156" spans="1:52" ht="27" customHeight="1" x14ac:dyDescent="0.25">
      <c r="A156" s="55" t="s">
        <v>249</v>
      </c>
      <c r="B156" s="55" t="s">
        <v>250</v>
      </c>
      <c r="C156" s="32">
        <v>4301031224</v>
      </c>
      <c r="D156" s="385">
        <v>4680115882683</v>
      </c>
      <c r="E156" s="329"/>
      <c r="F156" s="304">
        <v>0.9</v>
      </c>
      <c r="G156" s="33">
        <v>6</v>
      </c>
      <c r="H156" s="304">
        <v>5.4</v>
      </c>
      <c r="I156" s="304">
        <v>5.61</v>
      </c>
      <c r="J156" s="33">
        <v>120</v>
      </c>
      <c r="K156" s="34" t="s">
        <v>62</v>
      </c>
      <c r="L156" s="33">
        <v>40</v>
      </c>
      <c r="M156" s="46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56" s="387"/>
      <c r="O156" s="387"/>
      <c r="P156" s="387"/>
      <c r="Q156" s="329"/>
      <c r="R156" s="35"/>
      <c r="S156" s="35"/>
      <c r="T156" s="36" t="s">
        <v>63</v>
      </c>
      <c r="U156" s="305">
        <v>260</v>
      </c>
      <c r="V156" s="306">
        <f>IFERROR(IF(U156="",0,CEILING((U156/$H156),1)*$H156),"")</f>
        <v>264.60000000000002</v>
      </c>
      <c r="W156" s="37">
        <f>IFERROR(IF(V156=0,"",ROUNDUP(V156/H156,0)*0.00937),"")</f>
        <v>0.45912999999999998</v>
      </c>
      <c r="X156" s="57"/>
      <c r="Y156" s="58"/>
      <c r="AC156" s="59"/>
      <c r="AZ156" s="137" t="s">
        <v>1</v>
      </c>
    </row>
    <row r="157" spans="1:52" ht="27" customHeight="1" x14ac:dyDescent="0.25">
      <c r="A157" s="55" t="s">
        <v>251</v>
      </c>
      <c r="B157" s="55" t="s">
        <v>252</v>
      </c>
      <c r="C157" s="32">
        <v>4301031230</v>
      </c>
      <c r="D157" s="385">
        <v>4680115882690</v>
      </c>
      <c r="E157" s="329"/>
      <c r="F157" s="304">
        <v>0.9</v>
      </c>
      <c r="G157" s="33">
        <v>6</v>
      </c>
      <c r="H157" s="304">
        <v>5.4</v>
      </c>
      <c r="I157" s="304">
        <v>5.61</v>
      </c>
      <c r="J157" s="33">
        <v>120</v>
      </c>
      <c r="K157" s="34" t="s">
        <v>62</v>
      </c>
      <c r="L157" s="33">
        <v>40</v>
      </c>
      <c r="M157" s="46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57" s="387"/>
      <c r="O157" s="387"/>
      <c r="P157" s="387"/>
      <c r="Q157" s="329"/>
      <c r="R157" s="35"/>
      <c r="S157" s="35"/>
      <c r="T157" s="36" t="s">
        <v>63</v>
      </c>
      <c r="U157" s="305">
        <v>190</v>
      </c>
      <c r="V157" s="306">
        <f>IFERROR(IF(U157="",0,CEILING((U157/$H157),1)*$H157),"")</f>
        <v>194.4</v>
      </c>
      <c r="W157" s="37">
        <f>IFERROR(IF(V157=0,"",ROUNDUP(V157/H157,0)*0.00937),"")</f>
        <v>0.33732000000000001</v>
      </c>
      <c r="X157" s="57"/>
      <c r="Y157" s="58"/>
      <c r="AC157" s="59"/>
      <c r="AZ157" s="138" t="s">
        <v>1</v>
      </c>
    </row>
    <row r="158" spans="1:52" ht="27" customHeight="1" x14ac:dyDescent="0.25">
      <c r="A158" s="55" t="s">
        <v>253</v>
      </c>
      <c r="B158" s="55" t="s">
        <v>254</v>
      </c>
      <c r="C158" s="32">
        <v>4301031220</v>
      </c>
      <c r="D158" s="385">
        <v>4680115882669</v>
      </c>
      <c r="E158" s="329"/>
      <c r="F158" s="304">
        <v>0.9</v>
      </c>
      <c r="G158" s="33">
        <v>6</v>
      </c>
      <c r="H158" s="304">
        <v>5.4</v>
      </c>
      <c r="I158" s="304">
        <v>5.61</v>
      </c>
      <c r="J158" s="33">
        <v>120</v>
      </c>
      <c r="K158" s="34" t="s">
        <v>62</v>
      </c>
      <c r="L158" s="33">
        <v>40</v>
      </c>
      <c r="M158" s="46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58" s="387"/>
      <c r="O158" s="387"/>
      <c r="P158" s="387"/>
      <c r="Q158" s="329"/>
      <c r="R158" s="35"/>
      <c r="S158" s="35"/>
      <c r="T158" s="36" t="s">
        <v>63</v>
      </c>
      <c r="U158" s="305">
        <v>110</v>
      </c>
      <c r="V158" s="306">
        <f>IFERROR(IF(U158="",0,CEILING((U158/$H158),1)*$H158),"")</f>
        <v>113.4</v>
      </c>
      <c r="W158" s="37">
        <f>IFERROR(IF(V158=0,"",ROUNDUP(V158/H158,0)*0.00937),"")</f>
        <v>0.19677</v>
      </c>
      <c r="X158" s="57"/>
      <c r="Y158" s="58"/>
      <c r="AC158" s="59"/>
      <c r="AZ158" s="139" t="s">
        <v>1</v>
      </c>
    </row>
    <row r="159" spans="1:52" ht="27" customHeight="1" x14ac:dyDescent="0.25">
      <c r="A159" s="55" t="s">
        <v>255</v>
      </c>
      <c r="B159" s="55" t="s">
        <v>256</v>
      </c>
      <c r="C159" s="32">
        <v>4301031221</v>
      </c>
      <c r="D159" s="385">
        <v>4680115882676</v>
      </c>
      <c r="E159" s="329"/>
      <c r="F159" s="304">
        <v>0.9</v>
      </c>
      <c r="G159" s="33">
        <v>6</v>
      </c>
      <c r="H159" s="304">
        <v>5.4</v>
      </c>
      <c r="I159" s="304">
        <v>5.61</v>
      </c>
      <c r="J159" s="33">
        <v>120</v>
      </c>
      <c r="K159" s="34" t="s">
        <v>62</v>
      </c>
      <c r="L159" s="33">
        <v>40</v>
      </c>
      <c r="M159" s="47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59" s="387"/>
      <c r="O159" s="387"/>
      <c r="P159" s="387"/>
      <c r="Q159" s="329"/>
      <c r="R159" s="35"/>
      <c r="S159" s="35"/>
      <c r="T159" s="36" t="s">
        <v>63</v>
      </c>
      <c r="U159" s="305">
        <v>150</v>
      </c>
      <c r="V159" s="306">
        <f>IFERROR(IF(U159="",0,CEILING((U159/$H159),1)*$H159),"")</f>
        <v>151.20000000000002</v>
      </c>
      <c r="W159" s="37">
        <f>IFERROR(IF(V159=0,"",ROUNDUP(V159/H159,0)*0.00937),"")</f>
        <v>0.26235999999999998</v>
      </c>
      <c r="X159" s="57"/>
      <c r="Y159" s="58"/>
      <c r="AC159" s="59"/>
      <c r="AZ159" s="140" t="s">
        <v>1</v>
      </c>
    </row>
    <row r="160" spans="1:52" x14ac:dyDescent="0.2">
      <c r="A160" s="389"/>
      <c r="B160" s="313"/>
      <c r="C160" s="313"/>
      <c r="D160" s="313"/>
      <c r="E160" s="313"/>
      <c r="F160" s="313"/>
      <c r="G160" s="313"/>
      <c r="H160" s="313"/>
      <c r="I160" s="313"/>
      <c r="J160" s="313"/>
      <c r="K160" s="313"/>
      <c r="L160" s="390"/>
      <c r="M160" s="388" t="s">
        <v>64</v>
      </c>
      <c r="N160" s="341"/>
      <c r="O160" s="341"/>
      <c r="P160" s="341"/>
      <c r="Q160" s="341"/>
      <c r="R160" s="341"/>
      <c r="S160" s="342"/>
      <c r="T160" s="38" t="s">
        <v>65</v>
      </c>
      <c r="U160" s="307">
        <f>IFERROR(U156/H156,"0")+IFERROR(U157/H157,"0")+IFERROR(U158/H158,"0")+IFERROR(U159/H159,"0")</f>
        <v>131.48148148148147</v>
      </c>
      <c r="V160" s="307">
        <f>IFERROR(V156/H156,"0")+IFERROR(V157/H157,"0")+IFERROR(V158/H158,"0")+IFERROR(V159/H159,"0")</f>
        <v>134</v>
      </c>
      <c r="W160" s="307">
        <f>IFERROR(IF(W156="",0,W156),"0")+IFERROR(IF(W157="",0,W157),"0")+IFERROR(IF(W158="",0,W158),"0")+IFERROR(IF(W159="",0,W159),"0")</f>
        <v>1.2555799999999999</v>
      </c>
      <c r="X160" s="308"/>
      <c r="Y160" s="308"/>
    </row>
    <row r="161" spans="1:52" x14ac:dyDescent="0.2">
      <c r="A161" s="313"/>
      <c r="B161" s="313"/>
      <c r="C161" s="313"/>
      <c r="D161" s="313"/>
      <c r="E161" s="313"/>
      <c r="F161" s="313"/>
      <c r="G161" s="313"/>
      <c r="H161" s="313"/>
      <c r="I161" s="313"/>
      <c r="J161" s="313"/>
      <c r="K161" s="313"/>
      <c r="L161" s="390"/>
      <c r="M161" s="388" t="s">
        <v>64</v>
      </c>
      <c r="N161" s="341"/>
      <c r="O161" s="341"/>
      <c r="P161" s="341"/>
      <c r="Q161" s="341"/>
      <c r="R161" s="341"/>
      <c r="S161" s="342"/>
      <c r="T161" s="38" t="s">
        <v>63</v>
      </c>
      <c r="U161" s="307">
        <f>IFERROR(SUM(U156:U159),"0")</f>
        <v>710</v>
      </c>
      <c r="V161" s="307">
        <f>IFERROR(SUM(V156:V159),"0")</f>
        <v>723.6</v>
      </c>
      <c r="W161" s="38"/>
      <c r="X161" s="308"/>
      <c r="Y161" s="308"/>
    </row>
    <row r="162" spans="1:52" ht="14.25" customHeight="1" x14ac:dyDescent="0.25">
      <c r="A162" s="384" t="s">
        <v>66</v>
      </c>
      <c r="B162" s="313"/>
      <c r="C162" s="313"/>
      <c r="D162" s="313"/>
      <c r="E162" s="313"/>
      <c r="F162" s="313"/>
      <c r="G162" s="313"/>
      <c r="H162" s="313"/>
      <c r="I162" s="313"/>
      <c r="J162" s="313"/>
      <c r="K162" s="313"/>
      <c r="L162" s="313"/>
      <c r="M162" s="313"/>
      <c r="N162" s="313"/>
      <c r="O162" s="313"/>
      <c r="P162" s="313"/>
      <c r="Q162" s="313"/>
      <c r="R162" s="313"/>
      <c r="S162" s="313"/>
      <c r="T162" s="313"/>
      <c r="U162" s="313"/>
      <c r="V162" s="313"/>
      <c r="W162" s="313"/>
      <c r="X162" s="302"/>
      <c r="Y162" s="302"/>
    </row>
    <row r="163" spans="1:52" ht="27" customHeight="1" x14ac:dyDescent="0.25">
      <c r="A163" s="55" t="s">
        <v>257</v>
      </c>
      <c r="B163" s="55" t="s">
        <v>258</v>
      </c>
      <c r="C163" s="32">
        <v>4301051409</v>
      </c>
      <c r="D163" s="385">
        <v>4680115881556</v>
      </c>
      <c r="E163" s="329"/>
      <c r="F163" s="304">
        <v>1</v>
      </c>
      <c r="G163" s="33">
        <v>4</v>
      </c>
      <c r="H163" s="304">
        <v>4</v>
      </c>
      <c r="I163" s="304">
        <v>4.4080000000000004</v>
      </c>
      <c r="J163" s="33">
        <v>104</v>
      </c>
      <c r="K163" s="34" t="s">
        <v>123</v>
      </c>
      <c r="L163" s="33">
        <v>45</v>
      </c>
      <c r="M163" s="471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63" s="387"/>
      <c r="O163" s="387"/>
      <c r="P163" s="387"/>
      <c r="Q163" s="329"/>
      <c r="R163" s="35"/>
      <c r="S163" s="35"/>
      <c r="T163" s="36" t="s">
        <v>63</v>
      </c>
      <c r="U163" s="305">
        <v>0</v>
      </c>
      <c r="V163" s="306">
        <f t="shared" ref="V163:V179" si="8">IFERROR(IF(U163="",0,CEILING((U163/$H163),1)*$H163),"")</f>
        <v>0</v>
      </c>
      <c r="W163" s="37" t="str">
        <f>IFERROR(IF(V163=0,"",ROUNDUP(V163/H163,0)*0.01196),"")</f>
        <v/>
      </c>
      <c r="X163" s="57"/>
      <c r="Y163" s="58"/>
      <c r="AC163" s="59"/>
      <c r="AZ163" s="141" t="s">
        <v>1</v>
      </c>
    </row>
    <row r="164" spans="1:52" ht="16.5" customHeight="1" x14ac:dyDescent="0.25">
      <c r="A164" s="55" t="s">
        <v>259</v>
      </c>
      <c r="B164" s="55" t="s">
        <v>260</v>
      </c>
      <c r="C164" s="32">
        <v>4301051470</v>
      </c>
      <c r="D164" s="385">
        <v>4680115880573</v>
      </c>
      <c r="E164" s="329"/>
      <c r="F164" s="304">
        <v>1.3</v>
      </c>
      <c r="G164" s="33">
        <v>6</v>
      </c>
      <c r="H164" s="304">
        <v>7.8</v>
      </c>
      <c r="I164" s="304">
        <v>8.3640000000000008</v>
      </c>
      <c r="J164" s="33">
        <v>56</v>
      </c>
      <c r="K164" s="34" t="s">
        <v>123</v>
      </c>
      <c r="L164" s="33">
        <v>45</v>
      </c>
      <c r="M164" s="472" t="str">
        <f>HYPERLINK("https://abi.ru/products/Охлажденные/Стародворье/Сочинка/Сосиски/P003404/","Сосиски «Сочинки» Весовой п/а ТМ «Стародворье»")</f>
        <v>Сосиски «Сочинки» Весовой п/а ТМ «Стародворье»</v>
      </c>
      <c r="N164" s="387"/>
      <c r="O164" s="387"/>
      <c r="P164" s="387"/>
      <c r="Q164" s="329"/>
      <c r="R164" s="35"/>
      <c r="S164" s="35"/>
      <c r="T164" s="36" t="s">
        <v>63</v>
      </c>
      <c r="U164" s="305">
        <v>110</v>
      </c>
      <c r="V164" s="306">
        <f t="shared" si="8"/>
        <v>117</v>
      </c>
      <c r="W164" s="37">
        <f>IFERROR(IF(V164=0,"",ROUNDUP(V164/H164,0)*0.02175),"")</f>
        <v>0.32624999999999998</v>
      </c>
      <c r="X164" s="57"/>
      <c r="Y164" s="58"/>
      <c r="AC164" s="59"/>
      <c r="AZ164" s="142" t="s">
        <v>1</v>
      </c>
    </row>
    <row r="165" spans="1:52" ht="27" customHeight="1" x14ac:dyDescent="0.25">
      <c r="A165" s="55" t="s">
        <v>261</v>
      </c>
      <c r="B165" s="55" t="s">
        <v>262</v>
      </c>
      <c r="C165" s="32">
        <v>4301051408</v>
      </c>
      <c r="D165" s="385">
        <v>4680115881594</v>
      </c>
      <c r="E165" s="329"/>
      <c r="F165" s="304">
        <v>1.35</v>
      </c>
      <c r="G165" s="33">
        <v>6</v>
      </c>
      <c r="H165" s="304">
        <v>8.1</v>
      </c>
      <c r="I165" s="304">
        <v>8.6639999999999997</v>
      </c>
      <c r="J165" s="33">
        <v>56</v>
      </c>
      <c r="K165" s="34" t="s">
        <v>123</v>
      </c>
      <c r="L165" s="33">
        <v>40</v>
      </c>
      <c r="M165" s="47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65" s="387"/>
      <c r="O165" s="387"/>
      <c r="P165" s="387"/>
      <c r="Q165" s="329"/>
      <c r="R165" s="35"/>
      <c r="S165" s="35"/>
      <c r="T165" s="36" t="s">
        <v>63</v>
      </c>
      <c r="U165" s="305">
        <v>0</v>
      </c>
      <c r="V165" s="306">
        <f t="shared" si="8"/>
        <v>0</v>
      </c>
      <c r="W165" s="37" t="str">
        <f>IFERROR(IF(V165=0,"",ROUNDUP(V165/H165,0)*0.02175),"")</f>
        <v/>
      </c>
      <c r="X165" s="57"/>
      <c r="Y165" s="58"/>
      <c r="AC165" s="59"/>
      <c r="AZ165" s="143" t="s">
        <v>1</v>
      </c>
    </row>
    <row r="166" spans="1:52" ht="27" customHeight="1" x14ac:dyDescent="0.25">
      <c r="A166" s="55" t="s">
        <v>263</v>
      </c>
      <c r="B166" s="55" t="s">
        <v>264</v>
      </c>
      <c r="C166" s="32">
        <v>4301051433</v>
      </c>
      <c r="D166" s="385">
        <v>4680115881587</v>
      </c>
      <c r="E166" s="329"/>
      <c r="F166" s="304">
        <v>1</v>
      </c>
      <c r="G166" s="33">
        <v>4</v>
      </c>
      <c r="H166" s="304">
        <v>4</v>
      </c>
      <c r="I166" s="304">
        <v>4.4080000000000004</v>
      </c>
      <c r="J166" s="33">
        <v>104</v>
      </c>
      <c r="K166" s="34" t="s">
        <v>62</v>
      </c>
      <c r="L166" s="33">
        <v>35</v>
      </c>
      <c r="M166" s="474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66" s="387"/>
      <c r="O166" s="387"/>
      <c r="P166" s="387"/>
      <c r="Q166" s="329"/>
      <c r="R166" s="35"/>
      <c r="S166" s="35"/>
      <c r="T166" s="36" t="s">
        <v>63</v>
      </c>
      <c r="U166" s="305">
        <v>8</v>
      </c>
      <c r="V166" s="306">
        <f t="shared" si="8"/>
        <v>8</v>
      </c>
      <c r="W166" s="37">
        <f>IFERROR(IF(V166=0,"",ROUNDUP(V166/H166,0)*0.01196),"")</f>
        <v>2.392E-2</v>
      </c>
      <c r="X166" s="57"/>
      <c r="Y166" s="58"/>
      <c r="AC166" s="59"/>
      <c r="AZ166" s="144" t="s">
        <v>1</v>
      </c>
    </row>
    <row r="167" spans="1:52" ht="16.5" customHeight="1" x14ac:dyDescent="0.25">
      <c r="A167" s="55" t="s">
        <v>265</v>
      </c>
      <c r="B167" s="55" t="s">
        <v>266</v>
      </c>
      <c r="C167" s="32">
        <v>4301051380</v>
      </c>
      <c r="D167" s="385">
        <v>4680115880962</v>
      </c>
      <c r="E167" s="329"/>
      <c r="F167" s="304">
        <v>1.3</v>
      </c>
      <c r="G167" s="33">
        <v>6</v>
      </c>
      <c r="H167" s="304">
        <v>7.8</v>
      </c>
      <c r="I167" s="304">
        <v>8.3640000000000008</v>
      </c>
      <c r="J167" s="33">
        <v>56</v>
      </c>
      <c r="K167" s="34" t="s">
        <v>62</v>
      </c>
      <c r="L167" s="33">
        <v>40</v>
      </c>
      <c r="M167" s="475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67" s="387"/>
      <c r="O167" s="387"/>
      <c r="P167" s="387"/>
      <c r="Q167" s="329"/>
      <c r="R167" s="35"/>
      <c r="S167" s="35"/>
      <c r="T167" s="36" t="s">
        <v>63</v>
      </c>
      <c r="U167" s="305">
        <v>50</v>
      </c>
      <c r="V167" s="306">
        <f t="shared" si="8"/>
        <v>54.6</v>
      </c>
      <c r="W167" s="37">
        <f>IFERROR(IF(V167=0,"",ROUNDUP(V167/H167,0)*0.02175),"")</f>
        <v>0.15225</v>
      </c>
      <c r="X167" s="57"/>
      <c r="Y167" s="58"/>
      <c r="AC167" s="59"/>
      <c r="AZ167" s="145" t="s">
        <v>1</v>
      </c>
    </row>
    <row r="168" spans="1:52" ht="27" customHeight="1" x14ac:dyDescent="0.25">
      <c r="A168" s="55" t="s">
        <v>267</v>
      </c>
      <c r="B168" s="55" t="s">
        <v>268</v>
      </c>
      <c r="C168" s="32">
        <v>4301051411</v>
      </c>
      <c r="D168" s="385">
        <v>4680115881617</v>
      </c>
      <c r="E168" s="329"/>
      <c r="F168" s="304">
        <v>1.35</v>
      </c>
      <c r="G168" s="33">
        <v>6</v>
      </c>
      <c r="H168" s="304">
        <v>8.1</v>
      </c>
      <c r="I168" s="304">
        <v>8.6460000000000008</v>
      </c>
      <c r="J168" s="33">
        <v>56</v>
      </c>
      <c r="K168" s="34" t="s">
        <v>123</v>
      </c>
      <c r="L168" s="33">
        <v>40</v>
      </c>
      <c r="M168" s="47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68" s="387"/>
      <c r="O168" s="387"/>
      <c r="P168" s="387"/>
      <c r="Q168" s="329"/>
      <c r="R168" s="35"/>
      <c r="S168" s="35"/>
      <c r="T168" s="36" t="s">
        <v>63</v>
      </c>
      <c r="U168" s="305">
        <v>0</v>
      </c>
      <c r="V168" s="306">
        <f t="shared" si="8"/>
        <v>0</v>
      </c>
      <c r="W168" s="37" t="str">
        <f>IFERROR(IF(V168=0,"",ROUNDUP(V168/H168,0)*0.02175),"")</f>
        <v/>
      </c>
      <c r="X168" s="57"/>
      <c r="Y168" s="58"/>
      <c r="AC168" s="59"/>
      <c r="AZ168" s="146" t="s">
        <v>1</v>
      </c>
    </row>
    <row r="169" spans="1:52" ht="27" customHeight="1" x14ac:dyDescent="0.25">
      <c r="A169" s="55" t="s">
        <v>269</v>
      </c>
      <c r="B169" s="55" t="s">
        <v>270</v>
      </c>
      <c r="C169" s="32">
        <v>4301051377</v>
      </c>
      <c r="D169" s="385">
        <v>4680115881228</v>
      </c>
      <c r="E169" s="329"/>
      <c r="F169" s="304">
        <v>0.4</v>
      </c>
      <c r="G169" s="33">
        <v>6</v>
      </c>
      <c r="H169" s="304">
        <v>2.4</v>
      </c>
      <c r="I169" s="304">
        <v>2.6</v>
      </c>
      <c r="J169" s="33">
        <v>156</v>
      </c>
      <c r="K169" s="34" t="s">
        <v>62</v>
      </c>
      <c r="L169" s="33">
        <v>35</v>
      </c>
      <c r="M169" s="477" t="str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69" s="387"/>
      <c r="O169" s="387"/>
      <c r="P169" s="387"/>
      <c r="Q169" s="329"/>
      <c r="R169" s="35"/>
      <c r="S169" s="35"/>
      <c r="T169" s="36" t="s">
        <v>63</v>
      </c>
      <c r="U169" s="305">
        <v>0</v>
      </c>
      <c r="V169" s="306">
        <f t="shared" si="8"/>
        <v>0</v>
      </c>
      <c r="W169" s="37" t="str">
        <f>IFERROR(IF(V169=0,"",ROUNDUP(V169/H169,0)*0.00753),"")</f>
        <v/>
      </c>
      <c r="X169" s="57"/>
      <c r="Y169" s="58"/>
      <c r="AC169" s="59"/>
      <c r="AZ169" s="147" t="s">
        <v>1</v>
      </c>
    </row>
    <row r="170" spans="1:52" ht="27" customHeight="1" x14ac:dyDescent="0.25">
      <c r="A170" s="55" t="s">
        <v>271</v>
      </c>
      <c r="B170" s="55" t="s">
        <v>272</v>
      </c>
      <c r="C170" s="32">
        <v>4301051432</v>
      </c>
      <c r="D170" s="385">
        <v>4680115881037</v>
      </c>
      <c r="E170" s="329"/>
      <c r="F170" s="304">
        <v>0.84</v>
      </c>
      <c r="G170" s="33">
        <v>4</v>
      </c>
      <c r="H170" s="304">
        <v>3.36</v>
      </c>
      <c r="I170" s="304">
        <v>3.6179999999999999</v>
      </c>
      <c r="J170" s="33">
        <v>120</v>
      </c>
      <c r="K170" s="34" t="s">
        <v>62</v>
      </c>
      <c r="L170" s="33">
        <v>35</v>
      </c>
      <c r="M170" s="478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0" s="387"/>
      <c r="O170" s="387"/>
      <c r="P170" s="387"/>
      <c r="Q170" s="329"/>
      <c r="R170" s="35"/>
      <c r="S170" s="35"/>
      <c r="T170" s="36" t="s">
        <v>63</v>
      </c>
      <c r="U170" s="305">
        <v>0</v>
      </c>
      <c r="V170" s="306">
        <f t="shared" si="8"/>
        <v>0</v>
      </c>
      <c r="W170" s="37" t="str">
        <f>IFERROR(IF(V170=0,"",ROUNDUP(V170/H170,0)*0.00937),"")</f>
        <v/>
      </c>
      <c r="X170" s="57"/>
      <c r="Y170" s="58"/>
      <c r="AC170" s="59"/>
      <c r="AZ170" s="148" t="s">
        <v>1</v>
      </c>
    </row>
    <row r="171" spans="1:52" ht="27" customHeight="1" x14ac:dyDescent="0.25">
      <c r="A171" s="55" t="s">
        <v>273</v>
      </c>
      <c r="B171" s="55" t="s">
        <v>274</v>
      </c>
      <c r="C171" s="32">
        <v>4301051384</v>
      </c>
      <c r="D171" s="385">
        <v>4680115881211</v>
      </c>
      <c r="E171" s="329"/>
      <c r="F171" s="304">
        <v>0.4</v>
      </c>
      <c r="G171" s="33">
        <v>6</v>
      </c>
      <c r="H171" s="304">
        <v>2.4</v>
      </c>
      <c r="I171" s="304">
        <v>2.6</v>
      </c>
      <c r="J171" s="33">
        <v>156</v>
      </c>
      <c r="K171" s="34" t="s">
        <v>62</v>
      </c>
      <c r="L171" s="33">
        <v>45</v>
      </c>
      <c r="M171" s="479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71" s="387"/>
      <c r="O171" s="387"/>
      <c r="P171" s="387"/>
      <c r="Q171" s="329"/>
      <c r="R171" s="35"/>
      <c r="S171" s="35"/>
      <c r="T171" s="36" t="s">
        <v>63</v>
      </c>
      <c r="U171" s="305">
        <v>128</v>
      </c>
      <c r="V171" s="306">
        <f t="shared" si="8"/>
        <v>129.6</v>
      </c>
      <c r="W171" s="37">
        <f>IFERROR(IF(V171=0,"",ROUNDUP(V171/H171,0)*0.00753),"")</f>
        <v>0.40662000000000004</v>
      </c>
      <c r="X171" s="57"/>
      <c r="Y171" s="58"/>
      <c r="AC171" s="59"/>
      <c r="AZ171" s="149" t="s">
        <v>1</v>
      </c>
    </row>
    <row r="172" spans="1:52" ht="27" customHeight="1" x14ac:dyDescent="0.25">
      <c r="A172" s="55" t="s">
        <v>275</v>
      </c>
      <c r="B172" s="55" t="s">
        <v>276</v>
      </c>
      <c r="C172" s="32">
        <v>4301051378</v>
      </c>
      <c r="D172" s="385">
        <v>4680115881020</v>
      </c>
      <c r="E172" s="329"/>
      <c r="F172" s="304">
        <v>0.84</v>
      </c>
      <c r="G172" s="33">
        <v>4</v>
      </c>
      <c r="H172" s="304">
        <v>3.36</v>
      </c>
      <c r="I172" s="304">
        <v>3.57</v>
      </c>
      <c r="J172" s="33">
        <v>120</v>
      </c>
      <c r="K172" s="34" t="s">
        <v>62</v>
      </c>
      <c r="L172" s="33">
        <v>45</v>
      </c>
      <c r="M172" s="48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72" s="387"/>
      <c r="O172" s="387"/>
      <c r="P172" s="387"/>
      <c r="Q172" s="329"/>
      <c r="R172" s="35"/>
      <c r="S172" s="35"/>
      <c r="T172" s="36" t="s">
        <v>63</v>
      </c>
      <c r="U172" s="305">
        <v>0</v>
      </c>
      <c r="V172" s="306">
        <f t="shared" si="8"/>
        <v>0</v>
      </c>
      <c r="W172" s="37" t="str">
        <f>IFERROR(IF(V172=0,"",ROUNDUP(V172/H172,0)*0.00937),"")</f>
        <v/>
      </c>
      <c r="X172" s="57"/>
      <c r="Y172" s="58"/>
      <c r="AC172" s="59"/>
      <c r="AZ172" s="150" t="s">
        <v>1</v>
      </c>
    </row>
    <row r="173" spans="1:52" ht="27" customHeight="1" x14ac:dyDescent="0.25">
      <c r="A173" s="55" t="s">
        <v>277</v>
      </c>
      <c r="B173" s="55" t="s">
        <v>278</v>
      </c>
      <c r="C173" s="32">
        <v>4301051407</v>
      </c>
      <c r="D173" s="385">
        <v>4680115882195</v>
      </c>
      <c r="E173" s="329"/>
      <c r="F173" s="304">
        <v>0.4</v>
      </c>
      <c r="G173" s="33">
        <v>6</v>
      </c>
      <c r="H173" s="304">
        <v>2.4</v>
      </c>
      <c r="I173" s="304">
        <v>2.69</v>
      </c>
      <c r="J173" s="33">
        <v>156</v>
      </c>
      <c r="K173" s="34" t="s">
        <v>123</v>
      </c>
      <c r="L173" s="33">
        <v>40</v>
      </c>
      <c r="M173" s="48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73" s="387"/>
      <c r="O173" s="387"/>
      <c r="P173" s="387"/>
      <c r="Q173" s="329"/>
      <c r="R173" s="35"/>
      <c r="S173" s="35"/>
      <c r="T173" s="36" t="s">
        <v>63</v>
      </c>
      <c r="U173" s="305">
        <v>0</v>
      </c>
      <c r="V173" s="306">
        <f t="shared" si="8"/>
        <v>0</v>
      </c>
      <c r="W173" s="37" t="str">
        <f t="shared" ref="W173:W179" si="9">IFERROR(IF(V173=0,"",ROUNDUP(V173/H173,0)*0.00753),"")</f>
        <v/>
      </c>
      <c r="X173" s="57"/>
      <c r="Y173" s="58"/>
      <c r="AC173" s="59"/>
      <c r="AZ173" s="151" t="s">
        <v>1</v>
      </c>
    </row>
    <row r="174" spans="1:52" ht="27" customHeight="1" x14ac:dyDescent="0.25">
      <c r="A174" s="55" t="s">
        <v>279</v>
      </c>
      <c r="B174" s="55" t="s">
        <v>280</v>
      </c>
      <c r="C174" s="32">
        <v>4301051479</v>
      </c>
      <c r="D174" s="385">
        <v>4680115882607</v>
      </c>
      <c r="E174" s="329"/>
      <c r="F174" s="304">
        <v>0.3</v>
      </c>
      <c r="G174" s="33">
        <v>6</v>
      </c>
      <c r="H174" s="304">
        <v>1.8</v>
      </c>
      <c r="I174" s="304">
        <v>2.0720000000000001</v>
      </c>
      <c r="J174" s="33">
        <v>156</v>
      </c>
      <c r="K174" s="34" t="s">
        <v>123</v>
      </c>
      <c r="L174" s="33">
        <v>45</v>
      </c>
      <c r="M174" s="482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N174" s="387"/>
      <c r="O174" s="387"/>
      <c r="P174" s="387"/>
      <c r="Q174" s="329"/>
      <c r="R174" s="35"/>
      <c r="S174" s="35"/>
      <c r="T174" s="36" t="s">
        <v>63</v>
      </c>
      <c r="U174" s="305">
        <v>0</v>
      </c>
      <c r="V174" s="306">
        <f t="shared" si="8"/>
        <v>0</v>
      </c>
      <c r="W174" s="37" t="str">
        <f t="shared" si="9"/>
        <v/>
      </c>
      <c r="X174" s="57"/>
      <c r="Y174" s="58"/>
      <c r="AC174" s="59"/>
      <c r="AZ174" s="152" t="s">
        <v>1</v>
      </c>
    </row>
    <row r="175" spans="1:52" ht="27" customHeight="1" x14ac:dyDescent="0.25">
      <c r="A175" s="55" t="s">
        <v>281</v>
      </c>
      <c r="B175" s="55" t="s">
        <v>282</v>
      </c>
      <c r="C175" s="32">
        <v>4301051468</v>
      </c>
      <c r="D175" s="385">
        <v>4680115880092</v>
      </c>
      <c r="E175" s="329"/>
      <c r="F175" s="304">
        <v>0.4</v>
      </c>
      <c r="G175" s="33">
        <v>6</v>
      </c>
      <c r="H175" s="304">
        <v>2.4</v>
      </c>
      <c r="I175" s="304">
        <v>2.6720000000000002</v>
      </c>
      <c r="J175" s="33">
        <v>156</v>
      </c>
      <c r="K175" s="34" t="s">
        <v>123</v>
      </c>
      <c r="L175" s="33">
        <v>45</v>
      </c>
      <c r="M175" s="483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75" s="387"/>
      <c r="O175" s="387"/>
      <c r="P175" s="387"/>
      <c r="Q175" s="329"/>
      <c r="R175" s="35"/>
      <c r="S175" s="35"/>
      <c r="T175" s="36" t="s">
        <v>63</v>
      </c>
      <c r="U175" s="305">
        <v>12</v>
      </c>
      <c r="V175" s="306">
        <f t="shared" si="8"/>
        <v>12</v>
      </c>
      <c r="W175" s="37">
        <f t="shared" si="9"/>
        <v>3.7650000000000003E-2</v>
      </c>
      <c r="X175" s="57"/>
      <c r="Y175" s="58"/>
      <c r="AC175" s="59"/>
      <c r="AZ175" s="153" t="s">
        <v>1</v>
      </c>
    </row>
    <row r="176" spans="1:52" ht="27" customHeight="1" x14ac:dyDescent="0.25">
      <c r="A176" s="55" t="s">
        <v>283</v>
      </c>
      <c r="B176" s="55" t="s">
        <v>284</v>
      </c>
      <c r="C176" s="32">
        <v>4301051469</v>
      </c>
      <c r="D176" s="385">
        <v>4680115880221</v>
      </c>
      <c r="E176" s="329"/>
      <c r="F176" s="304">
        <v>0.4</v>
      </c>
      <c r="G176" s="33">
        <v>6</v>
      </c>
      <c r="H176" s="304">
        <v>2.4</v>
      </c>
      <c r="I176" s="304">
        <v>2.6720000000000002</v>
      </c>
      <c r="J176" s="33">
        <v>156</v>
      </c>
      <c r="K176" s="34" t="s">
        <v>123</v>
      </c>
      <c r="L176" s="33">
        <v>45</v>
      </c>
      <c r="M176" s="484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76" s="387"/>
      <c r="O176" s="387"/>
      <c r="P176" s="387"/>
      <c r="Q176" s="329"/>
      <c r="R176" s="35"/>
      <c r="S176" s="35"/>
      <c r="T176" s="36" t="s">
        <v>63</v>
      </c>
      <c r="U176" s="305">
        <v>0</v>
      </c>
      <c r="V176" s="306">
        <f t="shared" si="8"/>
        <v>0</v>
      </c>
      <c r="W176" s="37" t="str">
        <f t="shared" si="9"/>
        <v/>
      </c>
      <c r="X176" s="57"/>
      <c r="Y176" s="58"/>
      <c r="AC176" s="59"/>
      <c r="AZ176" s="154" t="s">
        <v>1</v>
      </c>
    </row>
    <row r="177" spans="1:52" ht="16.5" customHeight="1" x14ac:dyDescent="0.25">
      <c r="A177" s="55" t="s">
        <v>285</v>
      </c>
      <c r="B177" s="55" t="s">
        <v>286</v>
      </c>
      <c r="C177" s="32">
        <v>4301051523</v>
      </c>
      <c r="D177" s="385">
        <v>4680115882942</v>
      </c>
      <c r="E177" s="329"/>
      <c r="F177" s="304">
        <v>0.3</v>
      </c>
      <c r="G177" s="33">
        <v>6</v>
      </c>
      <c r="H177" s="304">
        <v>1.8</v>
      </c>
      <c r="I177" s="304">
        <v>2.0720000000000001</v>
      </c>
      <c r="J177" s="33">
        <v>156</v>
      </c>
      <c r="K177" s="34" t="s">
        <v>62</v>
      </c>
      <c r="L177" s="33">
        <v>40</v>
      </c>
      <c r="M177" s="485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77" s="387"/>
      <c r="O177" s="387"/>
      <c r="P177" s="387"/>
      <c r="Q177" s="329"/>
      <c r="R177" s="35"/>
      <c r="S177" s="35"/>
      <c r="T177" s="36" t="s">
        <v>63</v>
      </c>
      <c r="U177" s="305">
        <v>0</v>
      </c>
      <c r="V177" s="306">
        <f t="shared" si="8"/>
        <v>0</v>
      </c>
      <c r="W177" s="37" t="str">
        <f t="shared" si="9"/>
        <v/>
      </c>
      <c r="X177" s="57"/>
      <c r="Y177" s="58"/>
      <c r="AC177" s="59"/>
      <c r="AZ177" s="155" t="s">
        <v>1</v>
      </c>
    </row>
    <row r="178" spans="1:52" ht="16.5" customHeight="1" x14ac:dyDescent="0.25">
      <c r="A178" s="55" t="s">
        <v>287</v>
      </c>
      <c r="B178" s="55" t="s">
        <v>288</v>
      </c>
      <c r="C178" s="32">
        <v>4301051326</v>
      </c>
      <c r="D178" s="385">
        <v>4680115880504</v>
      </c>
      <c r="E178" s="329"/>
      <c r="F178" s="304">
        <v>0.4</v>
      </c>
      <c r="G178" s="33">
        <v>6</v>
      </c>
      <c r="H178" s="304">
        <v>2.4</v>
      </c>
      <c r="I178" s="304">
        <v>2.6720000000000002</v>
      </c>
      <c r="J178" s="33">
        <v>156</v>
      </c>
      <c r="K178" s="34" t="s">
        <v>62</v>
      </c>
      <c r="L178" s="33">
        <v>40</v>
      </c>
      <c r="M178" s="486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78" s="387"/>
      <c r="O178" s="387"/>
      <c r="P178" s="387"/>
      <c r="Q178" s="329"/>
      <c r="R178" s="35"/>
      <c r="S178" s="35"/>
      <c r="T178" s="36" t="s">
        <v>63</v>
      </c>
      <c r="U178" s="305">
        <v>0</v>
      </c>
      <c r="V178" s="306">
        <f t="shared" si="8"/>
        <v>0</v>
      </c>
      <c r="W178" s="37" t="str">
        <f t="shared" si="9"/>
        <v/>
      </c>
      <c r="X178" s="57"/>
      <c r="Y178" s="58"/>
      <c r="AC178" s="59"/>
      <c r="AZ178" s="156" t="s">
        <v>1</v>
      </c>
    </row>
    <row r="179" spans="1:52" ht="27" customHeight="1" x14ac:dyDescent="0.25">
      <c r="A179" s="55" t="s">
        <v>289</v>
      </c>
      <c r="B179" s="55" t="s">
        <v>290</v>
      </c>
      <c r="C179" s="32">
        <v>4301051410</v>
      </c>
      <c r="D179" s="385">
        <v>4680115882164</v>
      </c>
      <c r="E179" s="329"/>
      <c r="F179" s="304">
        <v>0.4</v>
      </c>
      <c r="G179" s="33">
        <v>6</v>
      </c>
      <c r="H179" s="304">
        <v>2.4</v>
      </c>
      <c r="I179" s="304">
        <v>2.6779999999999999</v>
      </c>
      <c r="J179" s="33">
        <v>156</v>
      </c>
      <c r="K179" s="34" t="s">
        <v>123</v>
      </c>
      <c r="L179" s="33">
        <v>40</v>
      </c>
      <c r="M179" s="48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79" s="387"/>
      <c r="O179" s="387"/>
      <c r="P179" s="387"/>
      <c r="Q179" s="329"/>
      <c r="R179" s="35"/>
      <c r="S179" s="35"/>
      <c r="T179" s="36" t="s">
        <v>63</v>
      </c>
      <c r="U179" s="305">
        <v>0</v>
      </c>
      <c r="V179" s="306">
        <f t="shared" si="8"/>
        <v>0</v>
      </c>
      <c r="W179" s="37" t="str">
        <f t="shared" si="9"/>
        <v/>
      </c>
      <c r="X179" s="57"/>
      <c r="Y179" s="58"/>
      <c r="AC179" s="59"/>
      <c r="AZ179" s="157" t="s">
        <v>1</v>
      </c>
    </row>
    <row r="180" spans="1:52" x14ac:dyDescent="0.2">
      <c r="A180" s="389"/>
      <c r="B180" s="313"/>
      <c r="C180" s="313"/>
      <c r="D180" s="313"/>
      <c r="E180" s="313"/>
      <c r="F180" s="313"/>
      <c r="G180" s="313"/>
      <c r="H180" s="313"/>
      <c r="I180" s="313"/>
      <c r="J180" s="313"/>
      <c r="K180" s="313"/>
      <c r="L180" s="390"/>
      <c r="M180" s="388" t="s">
        <v>64</v>
      </c>
      <c r="N180" s="341"/>
      <c r="O180" s="341"/>
      <c r="P180" s="341"/>
      <c r="Q180" s="341"/>
      <c r="R180" s="341"/>
      <c r="S180" s="342"/>
      <c r="T180" s="38" t="s">
        <v>65</v>
      </c>
      <c r="U180" s="307">
        <f>IFERROR(U163/H163,"0")+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</f>
        <v>80.84615384615384</v>
      </c>
      <c r="V180" s="307">
        <f>IFERROR(V163/H163,"0")+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</f>
        <v>83</v>
      </c>
      <c r="W180" s="307">
        <f>IFERROR(IF(W163="",0,W163),"0")+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</f>
        <v>0.94669000000000003</v>
      </c>
      <c r="X180" s="308"/>
      <c r="Y180" s="308"/>
    </row>
    <row r="181" spans="1:52" x14ac:dyDescent="0.2">
      <c r="A181" s="313"/>
      <c r="B181" s="313"/>
      <c r="C181" s="313"/>
      <c r="D181" s="313"/>
      <c r="E181" s="313"/>
      <c r="F181" s="313"/>
      <c r="G181" s="313"/>
      <c r="H181" s="313"/>
      <c r="I181" s="313"/>
      <c r="J181" s="313"/>
      <c r="K181" s="313"/>
      <c r="L181" s="390"/>
      <c r="M181" s="388" t="s">
        <v>64</v>
      </c>
      <c r="N181" s="341"/>
      <c r="O181" s="341"/>
      <c r="P181" s="341"/>
      <c r="Q181" s="341"/>
      <c r="R181" s="341"/>
      <c r="S181" s="342"/>
      <c r="T181" s="38" t="s">
        <v>63</v>
      </c>
      <c r="U181" s="307">
        <f>IFERROR(SUM(U163:U179),"0")</f>
        <v>308</v>
      </c>
      <c r="V181" s="307">
        <f>IFERROR(SUM(V163:V179),"0")</f>
        <v>321.2</v>
      </c>
      <c r="W181" s="38"/>
      <c r="X181" s="308"/>
      <c r="Y181" s="308"/>
    </row>
    <row r="182" spans="1:52" ht="14.25" customHeight="1" x14ac:dyDescent="0.25">
      <c r="A182" s="384" t="s">
        <v>195</v>
      </c>
      <c r="B182" s="313"/>
      <c r="C182" s="313"/>
      <c r="D182" s="313"/>
      <c r="E182" s="313"/>
      <c r="F182" s="313"/>
      <c r="G182" s="313"/>
      <c r="H182" s="313"/>
      <c r="I182" s="313"/>
      <c r="J182" s="313"/>
      <c r="K182" s="313"/>
      <c r="L182" s="313"/>
      <c r="M182" s="313"/>
      <c r="N182" s="313"/>
      <c r="O182" s="313"/>
      <c r="P182" s="313"/>
      <c r="Q182" s="313"/>
      <c r="R182" s="313"/>
      <c r="S182" s="313"/>
      <c r="T182" s="313"/>
      <c r="U182" s="313"/>
      <c r="V182" s="313"/>
      <c r="W182" s="313"/>
      <c r="X182" s="302"/>
      <c r="Y182" s="302"/>
    </row>
    <row r="183" spans="1:52" ht="16.5" customHeight="1" x14ac:dyDescent="0.25">
      <c r="A183" s="55" t="s">
        <v>291</v>
      </c>
      <c r="B183" s="55" t="s">
        <v>292</v>
      </c>
      <c r="C183" s="32">
        <v>4301060338</v>
      </c>
      <c r="D183" s="385">
        <v>4680115880801</v>
      </c>
      <c r="E183" s="329"/>
      <c r="F183" s="304">
        <v>0.4</v>
      </c>
      <c r="G183" s="33">
        <v>6</v>
      </c>
      <c r="H183" s="304">
        <v>2.4</v>
      </c>
      <c r="I183" s="304">
        <v>2.6720000000000002</v>
      </c>
      <c r="J183" s="33">
        <v>156</v>
      </c>
      <c r="K183" s="34" t="s">
        <v>62</v>
      </c>
      <c r="L183" s="33">
        <v>40</v>
      </c>
      <c r="M183" s="488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83" s="387"/>
      <c r="O183" s="387"/>
      <c r="P183" s="387"/>
      <c r="Q183" s="329"/>
      <c r="R183" s="35"/>
      <c r="S183" s="35"/>
      <c r="T183" s="36" t="s">
        <v>63</v>
      </c>
      <c r="U183" s="305">
        <v>0</v>
      </c>
      <c r="V183" s="306">
        <f>IFERROR(IF(U183="",0,CEILING((U183/$H183),1)*$H183),"")</f>
        <v>0</v>
      </c>
      <c r="W183" s="37" t="str">
        <f>IFERROR(IF(V183=0,"",ROUNDUP(V183/H183,0)*0.00753),"")</f>
        <v/>
      </c>
      <c r="X183" s="57"/>
      <c r="Y183" s="58"/>
      <c r="AC183" s="59"/>
      <c r="AZ183" s="158" t="s">
        <v>1</v>
      </c>
    </row>
    <row r="184" spans="1:52" ht="27" customHeight="1" x14ac:dyDescent="0.25">
      <c r="A184" s="55" t="s">
        <v>293</v>
      </c>
      <c r="B184" s="55" t="s">
        <v>294</v>
      </c>
      <c r="C184" s="32">
        <v>4301060339</v>
      </c>
      <c r="D184" s="385">
        <v>4680115880818</v>
      </c>
      <c r="E184" s="329"/>
      <c r="F184" s="304">
        <v>0.4</v>
      </c>
      <c r="G184" s="33">
        <v>6</v>
      </c>
      <c r="H184" s="304">
        <v>2.4</v>
      </c>
      <c r="I184" s="304">
        <v>2.6720000000000002</v>
      </c>
      <c r="J184" s="33">
        <v>156</v>
      </c>
      <c r="K184" s="34" t="s">
        <v>62</v>
      </c>
      <c r="L184" s="33">
        <v>40</v>
      </c>
      <c r="M184" s="489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84" s="387"/>
      <c r="O184" s="387"/>
      <c r="P184" s="387"/>
      <c r="Q184" s="329"/>
      <c r="R184" s="35"/>
      <c r="S184" s="35"/>
      <c r="T184" s="36" t="s">
        <v>63</v>
      </c>
      <c r="U184" s="305">
        <v>0</v>
      </c>
      <c r="V184" s="306">
        <f>IFERROR(IF(U184="",0,CEILING((U184/$H184),1)*$H184),"")</f>
        <v>0</v>
      </c>
      <c r="W184" s="37" t="str">
        <f>IFERROR(IF(V184=0,"",ROUNDUP(V184/H184,0)*0.00753),"")</f>
        <v/>
      </c>
      <c r="X184" s="57"/>
      <c r="Y184" s="58"/>
      <c r="AC184" s="59"/>
      <c r="AZ184" s="159" t="s">
        <v>1</v>
      </c>
    </row>
    <row r="185" spans="1:52" x14ac:dyDescent="0.2">
      <c r="A185" s="389"/>
      <c r="B185" s="313"/>
      <c r="C185" s="313"/>
      <c r="D185" s="313"/>
      <c r="E185" s="313"/>
      <c r="F185" s="313"/>
      <c r="G185" s="313"/>
      <c r="H185" s="313"/>
      <c r="I185" s="313"/>
      <c r="J185" s="313"/>
      <c r="K185" s="313"/>
      <c r="L185" s="390"/>
      <c r="M185" s="388" t="s">
        <v>64</v>
      </c>
      <c r="N185" s="341"/>
      <c r="O185" s="341"/>
      <c r="P185" s="341"/>
      <c r="Q185" s="341"/>
      <c r="R185" s="341"/>
      <c r="S185" s="342"/>
      <c r="T185" s="38" t="s">
        <v>65</v>
      </c>
      <c r="U185" s="307">
        <f>IFERROR(U183/H183,"0")+IFERROR(U184/H184,"0")</f>
        <v>0</v>
      </c>
      <c r="V185" s="307">
        <f>IFERROR(V183/H183,"0")+IFERROR(V184/H184,"0")</f>
        <v>0</v>
      </c>
      <c r="W185" s="307">
        <f>IFERROR(IF(W183="",0,W183),"0")+IFERROR(IF(W184="",0,W184),"0")</f>
        <v>0</v>
      </c>
      <c r="X185" s="308"/>
      <c r="Y185" s="308"/>
    </row>
    <row r="186" spans="1:52" x14ac:dyDescent="0.2">
      <c r="A186" s="313"/>
      <c r="B186" s="313"/>
      <c r="C186" s="313"/>
      <c r="D186" s="313"/>
      <c r="E186" s="313"/>
      <c r="F186" s="313"/>
      <c r="G186" s="313"/>
      <c r="H186" s="313"/>
      <c r="I186" s="313"/>
      <c r="J186" s="313"/>
      <c r="K186" s="313"/>
      <c r="L186" s="390"/>
      <c r="M186" s="388" t="s">
        <v>64</v>
      </c>
      <c r="N186" s="341"/>
      <c r="O186" s="341"/>
      <c r="P186" s="341"/>
      <c r="Q186" s="341"/>
      <c r="R186" s="341"/>
      <c r="S186" s="342"/>
      <c r="T186" s="38" t="s">
        <v>63</v>
      </c>
      <c r="U186" s="307">
        <f>IFERROR(SUM(U183:U184),"0")</f>
        <v>0</v>
      </c>
      <c r="V186" s="307">
        <f>IFERROR(SUM(V183:V184),"0")</f>
        <v>0</v>
      </c>
      <c r="W186" s="38"/>
      <c r="X186" s="308"/>
      <c r="Y186" s="308"/>
    </row>
    <row r="187" spans="1:52" ht="16.5" customHeight="1" x14ac:dyDescent="0.25">
      <c r="A187" s="383" t="s">
        <v>295</v>
      </c>
      <c r="B187" s="313"/>
      <c r="C187" s="313"/>
      <c r="D187" s="313"/>
      <c r="E187" s="313"/>
      <c r="F187" s="313"/>
      <c r="G187" s="313"/>
      <c r="H187" s="313"/>
      <c r="I187" s="313"/>
      <c r="J187" s="313"/>
      <c r="K187" s="313"/>
      <c r="L187" s="313"/>
      <c r="M187" s="313"/>
      <c r="N187" s="313"/>
      <c r="O187" s="313"/>
      <c r="P187" s="313"/>
      <c r="Q187" s="313"/>
      <c r="R187" s="313"/>
      <c r="S187" s="313"/>
      <c r="T187" s="313"/>
      <c r="U187" s="313"/>
      <c r="V187" s="313"/>
      <c r="W187" s="313"/>
      <c r="X187" s="301"/>
      <c r="Y187" s="301"/>
    </row>
    <row r="188" spans="1:52" ht="14.25" customHeight="1" x14ac:dyDescent="0.25">
      <c r="A188" s="384" t="s">
        <v>100</v>
      </c>
      <c r="B188" s="313"/>
      <c r="C188" s="313"/>
      <c r="D188" s="313"/>
      <c r="E188" s="313"/>
      <c r="F188" s="313"/>
      <c r="G188" s="313"/>
      <c r="H188" s="313"/>
      <c r="I188" s="313"/>
      <c r="J188" s="313"/>
      <c r="K188" s="313"/>
      <c r="L188" s="313"/>
      <c r="M188" s="313"/>
      <c r="N188" s="313"/>
      <c r="O188" s="313"/>
      <c r="P188" s="313"/>
      <c r="Q188" s="313"/>
      <c r="R188" s="313"/>
      <c r="S188" s="313"/>
      <c r="T188" s="313"/>
      <c r="U188" s="313"/>
      <c r="V188" s="313"/>
      <c r="W188" s="313"/>
      <c r="X188" s="302"/>
      <c r="Y188" s="302"/>
    </row>
    <row r="189" spans="1:52" ht="27" customHeight="1" x14ac:dyDescent="0.25">
      <c r="A189" s="55" t="s">
        <v>296</v>
      </c>
      <c r="B189" s="55" t="s">
        <v>297</v>
      </c>
      <c r="C189" s="32">
        <v>4301011346</v>
      </c>
      <c r="D189" s="385">
        <v>4607091387445</v>
      </c>
      <c r="E189" s="329"/>
      <c r="F189" s="304">
        <v>0.9</v>
      </c>
      <c r="G189" s="33">
        <v>10</v>
      </c>
      <c r="H189" s="304">
        <v>9</v>
      </c>
      <c r="I189" s="304">
        <v>9.6300000000000008</v>
      </c>
      <c r="J189" s="33">
        <v>56</v>
      </c>
      <c r="K189" s="34" t="s">
        <v>96</v>
      </c>
      <c r="L189" s="33">
        <v>31</v>
      </c>
      <c r="M189" s="490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89" s="387"/>
      <c r="O189" s="387"/>
      <c r="P189" s="387"/>
      <c r="Q189" s="329"/>
      <c r="R189" s="35"/>
      <c r="S189" s="35"/>
      <c r="T189" s="36" t="s">
        <v>63</v>
      </c>
      <c r="U189" s="305">
        <v>0</v>
      </c>
      <c r="V189" s="306">
        <f t="shared" ref="V189:V203" si="10">IFERROR(IF(U189="",0,CEILING((U189/$H189),1)*$H189),"")</f>
        <v>0</v>
      </c>
      <c r="W189" s="37" t="str">
        <f>IFERROR(IF(V189=0,"",ROUNDUP(V189/H189,0)*0.02175),"")</f>
        <v/>
      </c>
      <c r="X189" s="57"/>
      <c r="Y189" s="58"/>
      <c r="AC189" s="59"/>
      <c r="AZ189" s="160" t="s">
        <v>1</v>
      </c>
    </row>
    <row r="190" spans="1:52" ht="27" customHeight="1" x14ac:dyDescent="0.25">
      <c r="A190" s="55" t="s">
        <v>298</v>
      </c>
      <c r="B190" s="55" t="s">
        <v>299</v>
      </c>
      <c r="C190" s="32">
        <v>4301011362</v>
      </c>
      <c r="D190" s="385">
        <v>4607091386004</v>
      </c>
      <c r="E190" s="329"/>
      <c r="F190" s="304">
        <v>1.35</v>
      </c>
      <c r="G190" s="33">
        <v>8</v>
      </c>
      <c r="H190" s="304">
        <v>10.8</v>
      </c>
      <c r="I190" s="304">
        <v>11.28</v>
      </c>
      <c r="J190" s="33">
        <v>48</v>
      </c>
      <c r="K190" s="34" t="s">
        <v>300</v>
      </c>
      <c r="L190" s="33">
        <v>55</v>
      </c>
      <c r="M190" s="491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0" s="387"/>
      <c r="O190" s="387"/>
      <c r="P190" s="387"/>
      <c r="Q190" s="329"/>
      <c r="R190" s="35"/>
      <c r="S190" s="35"/>
      <c r="T190" s="36" t="s">
        <v>63</v>
      </c>
      <c r="U190" s="305">
        <v>0</v>
      </c>
      <c r="V190" s="306">
        <f t="shared" si="10"/>
        <v>0</v>
      </c>
      <c r="W190" s="37" t="str">
        <f>IFERROR(IF(V190=0,"",ROUNDUP(V190/H190,0)*0.02039),"")</f>
        <v/>
      </c>
      <c r="X190" s="57"/>
      <c r="Y190" s="58"/>
      <c r="AC190" s="59"/>
      <c r="AZ190" s="161" t="s">
        <v>1</v>
      </c>
    </row>
    <row r="191" spans="1:52" ht="27" customHeight="1" x14ac:dyDescent="0.25">
      <c r="A191" s="55" t="s">
        <v>298</v>
      </c>
      <c r="B191" s="55" t="s">
        <v>301</v>
      </c>
      <c r="C191" s="32">
        <v>4301011308</v>
      </c>
      <c r="D191" s="385">
        <v>4607091386004</v>
      </c>
      <c r="E191" s="329"/>
      <c r="F191" s="304">
        <v>1.35</v>
      </c>
      <c r="G191" s="33">
        <v>8</v>
      </c>
      <c r="H191" s="304">
        <v>10.8</v>
      </c>
      <c r="I191" s="304">
        <v>11.28</v>
      </c>
      <c r="J191" s="33">
        <v>56</v>
      </c>
      <c r="K191" s="34" t="s">
        <v>96</v>
      </c>
      <c r="L191" s="33">
        <v>55</v>
      </c>
      <c r="M191" s="492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1" s="387"/>
      <c r="O191" s="387"/>
      <c r="P191" s="387"/>
      <c r="Q191" s="329"/>
      <c r="R191" s="35"/>
      <c r="S191" s="35"/>
      <c r="T191" s="36" t="s">
        <v>63</v>
      </c>
      <c r="U191" s="305">
        <v>0</v>
      </c>
      <c r="V191" s="306">
        <f t="shared" si="10"/>
        <v>0</v>
      </c>
      <c r="W191" s="37" t="str">
        <f>IFERROR(IF(V191=0,"",ROUNDUP(V191/H191,0)*0.02175),"")</f>
        <v/>
      </c>
      <c r="X191" s="57"/>
      <c r="Y191" s="58"/>
      <c r="AC191" s="59"/>
      <c r="AZ191" s="162" t="s">
        <v>1</v>
      </c>
    </row>
    <row r="192" spans="1:52" ht="27" customHeight="1" x14ac:dyDescent="0.25">
      <c r="A192" s="55" t="s">
        <v>302</v>
      </c>
      <c r="B192" s="55" t="s">
        <v>303</v>
      </c>
      <c r="C192" s="32">
        <v>4301011347</v>
      </c>
      <c r="D192" s="385">
        <v>4607091386073</v>
      </c>
      <c r="E192" s="329"/>
      <c r="F192" s="304">
        <v>0.9</v>
      </c>
      <c r="G192" s="33">
        <v>10</v>
      </c>
      <c r="H192" s="304">
        <v>9</v>
      </c>
      <c r="I192" s="304">
        <v>9.6300000000000008</v>
      </c>
      <c r="J192" s="33">
        <v>56</v>
      </c>
      <c r="K192" s="34" t="s">
        <v>96</v>
      </c>
      <c r="L192" s="33">
        <v>31</v>
      </c>
      <c r="M192" s="493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92" s="387"/>
      <c r="O192" s="387"/>
      <c r="P192" s="387"/>
      <c r="Q192" s="329"/>
      <c r="R192" s="35"/>
      <c r="S192" s="35"/>
      <c r="T192" s="36" t="s">
        <v>63</v>
      </c>
      <c r="U192" s="305">
        <v>0</v>
      </c>
      <c r="V192" s="306">
        <f t="shared" si="10"/>
        <v>0</v>
      </c>
      <c r="W192" s="37" t="str">
        <f>IFERROR(IF(V192=0,"",ROUNDUP(V192/H192,0)*0.02175),"")</f>
        <v/>
      </c>
      <c r="X192" s="57"/>
      <c r="Y192" s="58"/>
      <c r="AC192" s="59"/>
      <c r="AZ192" s="163" t="s">
        <v>1</v>
      </c>
    </row>
    <row r="193" spans="1:52" ht="27" customHeight="1" x14ac:dyDescent="0.25">
      <c r="A193" s="55" t="s">
        <v>304</v>
      </c>
      <c r="B193" s="55" t="s">
        <v>305</v>
      </c>
      <c r="C193" s="32">
        <v>4301011395</v>
      </c>
      <c r="D193" s="385">
        <v>4607091387322</v>
      </c>
      <c r="E193" s="329"/>
      <c r="F193" s="304">
        <v>1.35</v>
      </c>
      <c r="G193" s="33">
        <v>8</v>
      </c>
      <c r="H193" s="304">
        <v>10.8</v>
      </c>
      <c r="I193" s="304">
        <v>11.28</v>
      </c>
      <c r="J193" s="33">
        <v>48</v>
      </c>
      <c r="K193" s="34" t="s">
        <v>300</v>
      </c>
      <c r="L193" s="33">
        <v>55</v>
      </c>
      <c r="M193" s="494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3" s="387"/>
      <c r="O193" s="387"/>
      <c r="P193" s="387"/>
      <c r="Q193" s="329"/>
      <c r="R193" s="35"/>
      <c r="S193" s="35"/>
      <c r="T193" s="36" t="s">
        <v>63</v>
      </c>
      <c r="U193" s="305">
        <v>0</v>
      </c>
      <c r="V193" s="306">
        <f t="shared" si="10"/>
        <v>0</v>
      </c>
      <c r="W193" s="37" t="str">
        <f>IFERROR(IF(V193=0,"",ROUNDUP(V193/H193,0)*0.02039),"")</f>
        <v/>
      </c>
      <c r="X193" s="57"/>
      <c r="Y193" s="58"/>
      <c r="AC193" s="59"/>
      <c r="AZ193" s="164" t="s">
        <v>1</v>
      </c>
    </row>
    <row r="194" spans="1:52" ht="27" customHeight="1" x14ac:dyDescent="0.25">
      <c r="A194" s="55" t="s">
        <v>304</v>
      </c>
      <c r="B194" s="55" t="s">
        <v>306</v>
      </c>
      <c r="C194" s="32">
        <v>4301010928</v>
      </c>
      <c r="D194" s="385">
        <v>4607091387322</v>
      </c>
      <c r="E194" s="329"/>
      <c r="F194" s="304">
        <v>1.35</v>
      </c>
      <c r="G194" s="33">
        <v>8</v>
      </c>
      <c r="H194" s="304">
        <v>10.8</v>
      </c>
      <c r="I194" s="304">
        <v>11.28</v>
      </c>
      <c r="J194" s="33">
        <v>56</v>
      </c>
      <c r="K194" s="34" t="s">
        <v>96</v>
      </c>
      <c r="L194" s="33">
        <v>55</v>
      </c>
      <c r="M194" s="495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4" s="387"/>
      <c r="O194" s="387"/>
      <c r="P194" s="387"/>
      <c r="Q194" s="329"/>
      <c r="R194" s="35"/>
      <c r="S194" s="35"/>
      <c r="T194" s="36" t="s">
        <v>63</v>
      </c>
      <c r="U194" s="305">
        <v>0</v>
      </c>
      <c r="V194" s="306">
        <f t="shared" si="10"/>
        <v>0</v>
      </c>
      <c r="W194" s="37" t="str">
        <f>IFERROR(IF(V194=0,"",ROUNDUP(V194/H194,0)*0.02175),"")</f>
        <v/>
      </c>
      <c r="X194" s="57"/>
      <c r="Y194" s="58"/>
      <c r="AC194" s="59"/>
      <c r="AZ194" s="165" t="s">
        <v>1</v>
      </c>
    </row>
    <row r="195" spans="1:52" ht="27" customHeight="1" x14ac:dyDescent="0.25">
      <c r="A195" s="55" t="s">
        <v>307</v>
      </c>
      <c r="B195" s="55" t="s">
        <v>308</v>
      </c>
      <c r="C195" s="32">
        <v>4301011311</v>
      </c>
      <c r="D195" s="385">
        <v>4607091387377</v>
      </c>
      <c r="E195" s="329"/>
      <c r="F195" s="304">
        <v>1.35</v>
      </c>
      <c r="G195" s="33">
        <v>8</v>
      </c>
      <c r="H195" s="304">
        <v>10.8</v>
      </c>
      <c r="I195" s="304">
        <v>11.28</v>
      </c>
      <c r="J195" s="33">
        <v>56</v>
      </c>
      <c r="K195" s="34" t="s">
        <v>96</v>
      </c>
      <c r="L195" s="33">
        <v>55</v>
      </c>
      <c r="M195" s="496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95" s="387"/>
      <c r="O195" s="387"/>
      <c r="P195" s="387"/>
      <c r="Q195" s="329"/>
      <c r="R195" s="35"/>
      <c r="S195" s="35"/>
      <c r="T195" s="36" t="s">
        <v>63</v>
      </c>
      <c r="U195" s="305">
        <v>0</v>
      </c>
      <c r="V195" s="306">
        <f t="shared" si="10"/>
        <v>0</v>
      </c>
      <c r="W195" s="37" t="str">
        <f>IFERROR(IF(V195=0,"",ROUNDUP(V195/H195,0)*0.02175),"")</f>
        <v/>
      </c>
      <c r="X195" s="57"/>
      <c r="Y195" s="58"/>
      <c r="AC195" s="59"/>
      <c r="AZ195" s="166" t="s">
        <v>1</v>
      </c>
    </row>
    <row r="196" spans="1:52" ht="27" customHeight="1" x14ac:dyDescent="0.25">
      <c r="A196" s="55" t="s">
        <v>309</v>
      </c>
      <c r="B196" s="55" t="s">
        <v>310</v>
      </c>
      <c r="C196" s="32">
        <v>4301010945</v>
      </c>
      <c r="D196" s="385">
        <v>4607091387353</v>
      </c>
      <c r="E196" s="329"/>
      <c r="F196" s="304">
        <v>1.35</v>
      </c>
      <c r="G196" s="33">
        <v>8</v>
      </c>
      <c r="H196" s="304">
        <v>10.8</v>
      </c>
      <c r="I196" s="304">
        <v>11.28</v>
      </c>
      <c r="J196" s="33">
        <v>56</v>
      </c>
      <c r="K196" s="34" t="s">
        <v>96</v>
      </c>
      <c r="L196" s="33">
        <v>55</v>
      </c>
      <c r="M196" s="497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96" s="387"/>
      <c r="O196" s="387"/>
      <c r="P196" s="387"/>
      <c r="Q196" s="329"/>
      <c r="R196" s="35"/>
      <c r="S196" s="35"/>
      <c r="T196" s="36" t="s">
        <v>63</v>
      </c>
      <c r="U196" s="305">
        <v>0</v>
      </c>
      <c r="V196" s="306">
        <f t="shared" si="10"/>
        <v>0</v>
      </c>
      <c r="W196" s="37" t="str">
        <f>IFERROR(IF(V196=0,"",ROUNDUP(V196/H196,0)*0.02175),"")</f>
        <v/>
      </c>
      <c r="X196" s="57"/>
      <c r="Y196" s="58"/>
      <c r="AC196" s="59"/>
      <c r="AZ196" s="167" t="s">
        <v>1</v>
      </c>
    </row>
    <row r="197" spans="1:52" ht="27" customHeight="1" x14ac:dyDescent="0.25">
      <c r="A197" s="55" t="s">
        <v>311</v>
      </c>
      <c r="B197" s="55" t="s">
        <v>312</v>
      </c>
      <c r="C197" s="32">
        <v>4301011328</v>
      </c>
      <c r="D197" s="385">
        <v>4607091386011</v>
      </c>
      <c r="E197" s="329"/>
      <c r="F197" s="304">
        <v>0.5</v>
      </c>
      <c r="G197" s="33">
        <v>10</v>
      </c>
      <c r="H197" s="304">
        <v>5</v>
      </c>
      <c r="I197" s="304">
        <v>5.21</v>
      </c>
      <c r="J197" s="33">
        <v>120</v>
      </c>
      <c r="K197" s="34" t="s">
        <v>62</v>
      </c>
      <c r="L197" s="33">
        <v>55</v>
      </c>
      <c r="M197" s="49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97" s="387"/>
      <c r="O197" s="387"/>
      <c r="P197" s="387"/>
      <c r="Q197" s="329"/>
      <c r="R197" s="35"/>
      <c r="S197" s="35"/>
      <c r="T197" s="36" t="s">
        <v>63</v>
      </c>
      <c r="U197" s="305">
        <v>0</v>
      </c>
      <c r="V197" s="306">
        <f t="shared" si="10"/>
        <v>0</v>
      </c>
      <c r="W197" s="37" t="str">
        <f t="shared" ref="W197:W203" si="11">IFERROR(IF(V197=0,"",ROUNDUP(V197/H197,0)*0.00937),"")</f>
        <v/>
      </c>
      <c r="X197" s="57"/>
      <c r="Y197" s="58"/>
      <c r="AC197" s="59"/>
      <c r="AZ197" s="168" t="s">
        <v>1</v>
      </c>
    </row>
    <row r="198" spans="1:52" ht="27" customHeight="1" x14ac:dyDescent="0.25">
      <c r="A198" s="55" t="s">
        <v>313</v>
      </c>
      <c r="B198" s="55" t="s">
        <v>314</v>
      </c>
      <c r="C198" s="32">
        <v>4301011329</v>
      </c>
      <c r="D198" s="385">
        <v>4607091387308</v>
      </c>
      <c r="E198" s="329"/>
      <c r="F198" s="304">
        <v>0.5</v>
      </c>
      <c r="G198" s="33">
        <v>10</v>
      </c>
      <c r="H198" s="304">
        <v>5</v>
      </c>
      <c r="I198" s="304">
        <v>5.21</v>
      </c>
      <c r="J198" s="33">
        <v>120</v>
      </c>
      <c r="K198" s="34" t="s">
        <v>62</v>
      </c>
      <c r="L198" s="33">
        <v>55</v>
      </c>
      <c r="M198" s="499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198" s="387"/>
      <c r="O198" s="387"/>
      <c r="P198" s="387"/>
      <c r="Q198" s="329"/>
      <c r="R198" s="35"/>
      <c r="S198" s="35"/>
      <c r="T198" s="36" t="s">
        <v>63</v>
      </c>
      <c r="U198" s="305">
        <v>0</v>
      </c>
      <c r="V198" s="306">
        <f t="shared" si="10"/>
        <v>0</v>
      </c>
      <c r="W198" s="37" t="str">
        <f t="shared" si="11"/>
        <v/>
      </c>
      <c r="X198" s="57"/>
      <c r="Y198" s="58"/>
      <c r="AC198" s="59"/>
      <c r="AZ198" s="169" t="s">
        <v>1</v>
      </c>
    </row>
    <row r="199" spans="1:52" ht="27" customHeight="1" x14ac:dyDescent="0.25">
      <c r="A199" s="55" t="s">
        <v>315</v>
      </c>
      <c r="B199" s="55" t="s">
        <v>316</v>
      </c>
      <c r="C199" s="32">
        <v>4301011049</v>
      </c>
      <c r="D199" s="385">
        <v>4607091387339</v>
      </c>
      <c r="E199" s="329"/>
      <c r="F199" s="304">
        <v>0.5</v>
      </c>
      <c r="G199" s="33">
        <v>10</v>
      </c>
      <c r="H199" s="304">
        <v>5</v>
      </c>
      <c r="I199" s="304">
        <v>5.24</v>
      </c>
      <c r="J199" s="33">
        <v>120</v>
      </c>
      <c r="K199" s="34" t="s">
        <v>96</v>
      </c>
      <c r="L199" s="33">
        <v>55</v>
      </c>
      <c r="M199" s="500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199" s="387"/>
      <c r="O199" s="387"/>
      <c r="P199" s="387"/>
      <c r="Q199" s="329"/>
      <c r="R199" s="35"/>
      <c r="S199" s="35"/>
      <c r="T199" s="36" t="s">
        <v>63</v>
      </c>
      <c r="U199" s="305">
        <v>0</v>
      </c>
      <c r="V199" s="306">
        <f t="shared" si="10"/>
        <v>0</v>
      </c>
      <c r="W199" s="37" t="str">
        <f t="shared" si="11"/>
        <v/>
      </c>
      <c r="X199" s="57"/>
      <c r="Y199" s="58"/>
      <c r="AC199" s="59"/>
      <c r="AZ199" s="170" t="s">
        <v>1</v>
      </c>
    </row>
    <row r="200" spans="1:52" ht="27" customHeight="1" x14ac:dyDescent="0.25">
      <c r="A200" s="55" t="s">
        <v>317</v>
      </c>
      <c r="B200" s="55" t="s">
        <v>318</v>
      </c>
      <c r="C200" s="32">
        <v>4301011433</v>
      </c>
      <c r="D200" s="385">
        <v>4680115882638</v>
      </c>
      <c r="E200" s="329"/>
      <c r="F200" s="304">
        <v>0.4</v>
      </c>
      <c r="G200" s="33">
        <v>10</v>
      </c>
      <c r="H200" s="304">
        <v>4</v>
      </c>
      <c r="I200" s="304">
        <v>4.24</v>
      </c>
      <c r="J200" s="33">
        <v>120</v>
      </c>
      <c r="K200" s="34" t="s">
        <v>96</v>
      </c>
      <c r="L200" s="33">
        <v>90</v>
      </c>
      <c r="M200" s="501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00" s="387"/>
      <c r="O200" s="387"/>
      <c r="P200" s="387"/>
      <c r="Q200" s="329"/>
      <c r="R200" s="35"/>
      <c r="S200" s="35"/>
      <c r="T200" s="36" t="s">
        <v>63</v>
      </c>
      <c r="U200" s="305">
        <v>0</v>
      </c>
      <c r="V200" s="306">
        <f t="shared" si="10"/>
        <v>0</v>
      </c>
      <c r="W200" s="37" t="str">
        <f t="shared" si="11"/>
        <v/>
      </c>
      <c r="X200" s="57"/>
      <c r="Y200" s="58"/>
      <c r="AC200" s="59"/>
      <c r="AZ200" s="171" t="s">
        <v>1</v>
      </c>
    </row>
    <row r="201" spans="1:52" ht="27" customHeight="1" x14ac:dyDescent="0.25">
      <c r="A201" s="55" t="s">
        <v>319</v>
      </c>
      <c r="B201" s="55" t="s">
        <v>320</v>
      </c>
      <c r="C201" s="32">
        <v>4301011573</v>
      </c>
      <c r="D201" s="385">
        <v>4680115881938</v>
      </c>
      <c r="E201" s="329"/>
      <c r="F201" s="304">
        <v>0.4</v>
      </c>
      <c r="G201" s="33">
        <v>10</v>
      </c>
      <c r="H201" s="304">
        <v>4</v>
      </c>
      <c r="I201" s="304">
        <v>4.24</v>
      </c>
      <c r="J201" s="33">
        <v>120</v>
      </c>
      <c r="K201" s="34" t="s">
        <v>96</v>
      </c>
      <c r="L201" s="33">
        <v>90</v>
      </c>
      <c r="M201" s="50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1" s="387"/>
      <c r="O201" s="387"/>
      <c r="P201" s="387"/>
      <c r="Q201" s="329"/>
      <c r="R201" s="35"/>
      <c r="S201" s="35"/>
      <c r="T201" s="36" t="s">
        <v>63</v>
      </c>
      <c r="U201" s="305">
        <v>0</v>
      </c>
      <c r="V201" s="306">
        <f t="shared" si="10"/>
        <v>0</v>
      </c>
      <c r="W201" s="37" t="str">
        <f t="shared" si="11"/>
        <v/>
      </c>
      <c r="X201" s="57"/>
      <c r="Y201" s="58"/>
      <c r="AC201" s="59"/>
      <c r="AZ201" s="172" t="s">
        <v>1</v>
      </c>
    </row>
    <row r="202" spans="1:52" ht="27" customHeight="1" x14ac:dyDescent="0.25">
      <c r="A202" s="55" t="s">
        <v>321</v>
      </c>
      <c r="B202" s="55" t="s">
        <v>322</v>
      </c>
      <c r="C202" s="32">
        <v>4301010944</v>
      </c>
      <c r="D202" s="385">
        <v>4607091387346</v>
      </c>
      <c r="E202" s="329"/>
      <c r="F202" s="304">
        <v>0.4</v>
      </c>
      <c r="G202" s="33">
        <v>10</v>
      </c>
      <c r="H202" s="304">
        <v>4</v>
      </c>
      <c r="I202" s="304">
        <v>4.24</v>
      </c>
      <c r="J202" s="33">
        <v>120</v>
      </c>
      <c r="K202" s="34" t="s">
        <v>96</v>
      </c>
      <c r="L202" s="33">
        <v>55</v>
      </c>
      <c r="M202" s="503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02" s="387"/>
      <c r="O202" s="387"/>
      <c r="P202" s="387"/>
      <c r="Q202" s="329"/>
      <c r="R202" s="35"/>
      <c r="S202" s="35"/>
      <c r="T202" s="36" t="s">
        <v>63</v>
      </c>
      <c r="U202" s="305">
        <v>0</v>
      </c>
      <c r="V202" s="306">
        <f t="shared" si="10"/>
        <v>0</v>
      </c>
      <c r="W202" s="37" t="str">
        <f t="shared" si="11"/>
        <v/>
      </c>
      <c r="X202" s="57"/>
      <c r="Y202" s="58"/>
      <c r="AC202" s="59"/>
      <c r="AZ202" s="173" t="s">
        <v>1</v>
      </c>
    </row>
    <row r="203" spans="1:52" ht="27" customHeight="1" x14ac:dyDescent="0.25">
      <c r="A203" s="55" t="s">
        <v>323</v>
      </c>
      <c r="B203" s="55" t="s">
        <v>324</v>
      </c>
      <c r="C203" s="32">
        <v>4301011353</v>
      </c>
      <c r="D203" s="385">
        <v>4607091389807</v>
      </c>
      <c r="E203" s="329"/>
      <c r="F203" s="304">
        <v>0.4</v>
      </c>
      <c r="G203" s="33">
        <v>10</v>
      </c>
      <c r="H203" s="304">
        <v>4</v>
      </c>
      <c r="I203" s="304">
        <v>4.24</v>
      </c>
      <c r="J203" s="33">
        <v>120</v>
      </c>
      <c r="K203" s="34" t="s">
        <v>96</v>
      </c>
      <c r="L203" s="33">
        <v>55</v>
      </c>
      <c r="M203" s="504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03" s="387"/>
      <c r="O203" s="387"/>
      <c r="P203" s="387"/>
      <c r="Q203" s="329"/>
      <c r="R203" s="35"/>
      <c r="S203" s="35"/>
      <c r="T203" s="36" t="s">
        <v>63</v>
      </c>
      <c r="U203" s="305">
        <v>0</v>
      </c>
      <c r="V203" s="306">
        <f t="shared" si="10"/>
        <v>0</v>
      </c>
      <c r="W203" s="37" t="str">
        <f t="shared" si="11"/>
        <v/>
      </c>
      <c r="X203" s="57"/>
      <c r="Y203" s="58"/>
      <c r="AC203" s="59"/>
      <c r="AZ203" s="174" t="s">
        <v>1</v>
      </c>
    </row>
    <row r="204" spans="1:52" x14ac:dyDescent="0.2">
      <c r="A204" s="389"/>
      <c r="B204" s="313"/>
      <c r="C204" s="313"/>
      <c r="D204" s="313"/>
      <c r="E204" s="313"/>
      <c r="F204" s="313"/>
      <c r="G204" s="313"/>
      <c r="H204" s="313"/>
      <c r="I204" s="313"/>
      <c r="J204" s="313"/>
      <c r="K204" s="313"/>
      <c r="L204" s="390"/>
      <c r="M204" s="388" t="s">
        <v>64</v>
      </c>
      <c r="N204" s="341"/>
      <c r="O204" s="341"/>
      <c r="P204" s="341"/>
      <c r="Q204" s="341"/>
      <c r="R204" s="341"/>
      <c r="S204" s="342"/>
      <c r="T204" s="38" t="s">
        <v>65</v>
      </c>
      <c r="U204" s="307">
        <f>IFERROR(U189/H189,"0")+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</f>
        <v>0</v>
      </c>
      <c r="V204" s="307">
        <f>IFERROR(V189/H189,"0")+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</f>
        <v>0</v>
      </c>
      <c r="W204" s="307">
        <f>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</f>
        <v>0</v>
      </c>
      <c r="X204" s="308"/>
      <c r="Y204" s="308"/>
    </row>
    <row r="205" spans="1:52" x14ac:dyDescent="0.2">
      <c r="A205" s="313"/>
      <c r="B205" s="313"/>
      <c r="C205" s="313"/>
      <c r="D205" s="313"/>
      <c r="E205" s="313"/>
      <c r="F205" s="313"/>
      <c r="G205" s="313"/>
      <c r="H205" s="313"/>
      <c r="I205" s="313"/>
      <c r="J205" s="313"/>
      <c r="K205" s="313"/>
      <c r="L205" s="390"/>
      <c r="M205" s="388" t="s">
        <v>64</v>
      </c>
      <c r="N205" s="341"/>
      <c r="O205" s="341"/>
      <c r="P205" s="341"/>
      <c r="Q205" s="341"/>
      <c r="R205" s="341"/>
      <c r="S205" s="342"/>
      <c r="T205" s="38" t="s">
        <v>63</v>
      </c>
      <c r="U205" s="307">
        <f>IFERROR(SUM(U189:U203),"0")</f>
        <v>0</v>
      </c>
      <c r="V205" s="307">
        <f>IFERROR(SUM(V189:V203),"0")</f>
        <v>0</v>
      </c>
      <c r="W205" s="38"/>
      <c r="X205" s="308"/>
      <c r="Y205" s="308"/>
    </row>
    <row r="206" spans="1:52" ht="14.25" customHeight="1" x14ac:dyDescent="0.25">
      <c r="A206" s="384" t="s">
        <v>93</v>
      </c>
      <c r="B206" s="313"/>
      <c r="C206" s="313"/>
      <c r="D206" s="313"/>
      <c r="E206" s="313"/>
      <c r="F206" s="313"/>
      <c r="G206" s="313"/>
      <c r="H206" s="313"/>
      <c r="I206" s="313"/>
      <c r="J206" s="313"/>
      <c r="K206" s="313"/>
      <c r="L206" s="313"/>
      <c r="M206" s="313"/>
      <c r="N206" s="313"/>
      <c r="O206" s="313"/>
      <c r="P206" s="313"/>
      <c r="Q206" s="313"/>
      <c r="R206" s="313"/>
      <c r="S206" s="313"/>
      <c r="T206" s="313"/>
      <c r="U206" s="313"/>
      <c r="V206" s="313"/>
      <c r="W206" s="313"/>
      <c r="X206" s="302"/>
      <c r="Y206" s="302"/>
    </row>
    <row r="207" spans="1:52" ht="27" customHeight="1" x14ac:dyDescent="0.25">
      <c r="A207" s="55" t="s">
        <v>325</v>
      </c>
      <c r="B207" s="55" t="s">
        <v>326</v>
      </c>
      <c r="C207" s="32">
        <v>4301020254</v>
      </c>
      <c r="D207" s="385">
        <v>4680115881914</v>
      </c>
      <c r="E207" s="329"/>
      <c r="F207" s="304">
        <v>0.4</v>
      </c>
      <c r="G207" s="33">
        <v>10</v>
      </c>
      <c r="H207" s="304">
        <v>4</v>
      </c>
      <c r="I207" s="304">
        <v>4.24</v>
      </c>
      <c r="J207" s="33">
        <v>120</v>
      </c>
      <c r="K207" s="34" t="s">
        <v>96</v>
      </c>
      <c r="L207" s="33">
        <v>90</v>
      </c>
      <c r="M207" s="505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07" s="387"/>
      <c r="O207" s="387"/>
      <c r="P207" s="387"/>
      <c r="Q207" s="329"/>
      <c r="R207" s="35"/>
      <c r="S207" s="35"/>
      <c r="T207" s="36" t="s">
        <v>63</v>
      </c>
      <c r="U207" s="305">
        <v>0</v>
      </c>
      <c r="V207" s="306">
        <f>IFERROR(IF(U207="",0,CEILING((U207/$H207),1)*$H207),"")</f>
        <v>0</v>
      </c>
      <c r="W207" s="37" t="str">
        <f>IFERROR(IF(V207=0,"",ROUNDUP(V207/H207,0)*0.00937),"")</f>
        <v/>
      </c>
      <c r="X207" s="57"/>
      <c r="Y207" s="58"/>
      <c r="AC207" s="59"/>
      <c r="AZ207" s="175" t="s">
        <v>1</v>
      </c>
    </row>
    <row r="208" spans="1:52" x14ac:dyDescent="0.2">
      <c r="A208" s="389"/>
      <c r="B208" s="313"/>
      <c r="C208" s="313"/>
      <c r="D208" s="313"/>
      <c r="E208" s="313"/>
      <c r="F208" s="313"/>
      <c r="G208" s="313"/>
      <c r="H208" s="313"/>
      <c r="I208" s="313"/>
      <c r="J208" s="313"/>
      <c r="K208" s="313"/>
      <c r="L208" s="390"/>
      <c r="M208" s="388" t="s">
        <v>64</v>
      </c>
      <c r="N208" s="341"/>
      <c r="O208" s="341"/>
      <c r="P208" s="341"/>
      <c r="Q208" s="341"/>
      <c r="R208" s="341"/>
      <c r="S208" s="342"/>
      <c r="T208" s="38" t="s">
        <v>65</v>
      </c>
      <c r="U208" s="307">
        <f>IFERROR(U207/H207,"0")</f>
        <v>0</v>
      </c>
      <c r="V208" s="307">
        <f>IFERROR(V207/H207,"0")</f>
        <v>0</v>
      </c>
      <c r="W208" s="307">
        <f>IFERROR(IF(W207="",0,W207),"0")</f>
        <v>0</v>
      </c>
      <c r="X208" s="308"/>
      <c r="Y208" s="308"/>
    </row>
    <row r="209" spans="1:52" x14ac:dyDescent="0.2">
      <c r="A209" s="313"/>
      <c r="B209" s="313"/>
      <c r="C209" s="313"/>
      <c r="D209" s="313"/>
      <c r="E209" s="313"/>
      <c r="F209" s="313"/>
      <c r="G209" s="313"/>
      <c r="H209" s="313"/>
      <c r="I209" s="313"/>
      <c r="J209" s="313"/>
      <c r="K209" s="313"/>
      <c r="L209" s="390"/>
      <c r="M209" s="388" t="s">
        <v>64</v>
      </c>
      <c r="N209" s="341"/>
      <c r="O209" s="341"/>
      <c r="P209" s="341"/>
      <c r="Q209" s="341"/>
      <c r="R209" s="341"/>
      <c r="S209" s="342"/>
      <c r="T209" s="38" t="s">
        <v>63</v>
      </c>
      <c r="U209" s="307">
        <f>IFERROR(SUM(U207:U207),"0")</f>
        <v>0</v>
      </c>
      <c r="V209" s="307">
        <f>IFERROR(SUM(V207:V207),"0")</f>
        <v>0</v>
      </c>
      <c r="W209" s="38"/>
      <c r="X209" s="308"/>
      <c r="Y209" s="308"/>
    </row>
    <row r="210" spans="1:52" ht="14.25" customHeight="1" x14ac:dyDescent="0.25">
      <c r="A210" s="384" t="s">
        <v>59</v>
      </c>
      <c r="B210" s="313"/>
      <c r="C210" s="313"/>
      <c r="D210" s="313"/>
      <c r="E210" s="313"/>
      <c r="F210" s="313"/>
      <c r="G210" s="313"/>
      <c r="H210" s="313"/>
      <c r="I210" s="313"/>
      <c r="J210" s="313"/>
      <c r="K210" s="313"/>
      <c r="L210" s="313"/>
      <c r="M210" s="313"/>
      <c r="N210" s="313"/>
      <c r="O210" s="313"/>
      <c r="P210" s="313"/>
      <c r="Q210" s="313"/>
      <c r="R210" s="313"/>
      <c r="S210" s="313"/>
      <c r="T210" s="313"/>
      <c r="U210" s="313"/>
      <c r="V210" s="313"/>
      <c r="W210" s="313"/>
      <c r="X210" s="302"/>
      <c r="Y210" s="302"/>
    </row>
    <row r="211" spans="1:52" ht="27" customHeight="1" x14ac:dyDescent="0.25">
      <c r="A211" s="55" t="s">
        <v>327</v>
      </c>
      <c r="B211" s="55" t="s">
        <v>328</v>
      </c>
      <c r="C211" s="32">
        <v>4301030878</v>
      </c>
      <c r="D211" s="385">
        <v>4607091387193</v>
      </c>
      <c r="E211" s="329"/>
      <c r="F211" s="304">
        <v>0.7</v>
      </c>
      <c r="G211" s="33">
        <v>6</v>
      </c>
      <c r="H211" s="304">
        <v>4.2</v>
      </c>
      <c r="I211" s="304">
        <v>4.46</v>
      </c>
      <c r="J211" s="33">
        <v>156</v>
      </c>
      <c r="K211" s="34" t="s">
        <v>62</v>
      </c>
      <c r="L211" s="33">
        <v>35</v>
      </c>
      <c r="M211" s="50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1" s="387"/>
      <c r="O211" s="387"/>
      <c r="P211" s="387"/>
      <c r="Q211" s="329"/>
      <c r="R211" s="35"/>
      <c r="S211" s="35"/>
      <c r="T211" s="36" t="s">
        <v>63</v>
      </c>
      <c r="U211" s="305">
        <v>0</v>
      </c>
      <c r="V211" s="306">
        <f>IFERROR(IF(U211="",0,CEILING((U211/$H211),1)*$H211),"")</f>
        <v>0</v>
      </c>
      <c r="W211" s="37" t="str">
        <f>IFERROR(IF(V211=0,"",ROUNDUP(V211/H211,0)*0.00753),"")</f>
        <v/>
      </c>
      <c r="X211" s="57"/>
      <c r="Y211" s="58"/>
      <c r="AC211" s="59"/>
      <c r="AZ211" s="176" t="s">
        <v>1</v>
      </c>
    </row>
    <row r="212" spans="1:52" ht="27" customHeight="1" x14ac:dyDescent="0.25">
      <c r="A212" s="55" t="s">
        <v>329</v>
      </c>
      <c r="B212" s="55" t="s">
        <v>330</v>
      </c>
      <c r="C212" s="32">
        <v>4301031153</v>
      </c>
      <c r="D212" s="385">
        <v>4607091387230</v>
      </c>
      <c r="E212" s="329"/>
      <c r="F212" s="304">
        <v>0.7</v>
      </c>
      <c r="G212" s="33">
        <v>6</v>
      </c>
      <c r="H212" s="304">
        <v>4.2</v>
      </c>
      <c r="I212" s="304">
        <v>4.46</v>
      </c>
      <c r="J212" s="33">
        <v>156</v>
      </c>
      <c r="K212" s="34" t="s">
        <v>62</v>
      </c>
      <c r="L212" s="33">
        <v>40</v>
      </c>
      <c r="M212" s="50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12" s="387"/>
      <c r="O212" s="387"/>
      <c r="P212" s="387"/>
      <c r="Q212" s="329"/>
      <c r="R212" s="35"/>
      <c r="S212" s="35"/>
      <c r="T212" s="36" t="s">
        <v>63</v>
      </c>
      <c r="U212" s="305">
        <v>0</v>
      </c>
      <c r="V212" s="306">
        <f>IFERROR(IF(U212="",0,CEILING((U212/$H212),1)*$H212),"")</f>
        <v>0</v>
      </c>
      <c r="W212" s="37" t="str">
        <f>IFERROR(IF(V212=0,"",ROUNDUP(V212/H212,0)*0.00753),"")</f>
        <v/>
      </c>
      <c r="X212" s="57"/>
      <c r="Y212" s="58"/>
      <c r="AC212" s="59"/>
      <c r="AZ212" s="177" t="s">
        <v>1</v>
      </c>
    </row>
    <row r="213" spans="1:52" ht="27" customHeight="1" x14ac:dyDescent="0.25">
      <c r="A213" s="55" t="s">
        <v>331</v>
      </c>
      <c r="B213" s="55" t="s">
        <v>332</v>
      </c>
      <c r="C213" s="32">
        <v>4301031152</v>
      </c>
      <c r="D213" s="385">
        <v>4607091387285</v>
      </c>
      <c r="E213" s="329"/>
      <c r="F213" s="304">
        <v>0.35</v>
      </c>
      <c r="G213" s="33">
        <v>6</v>
      </c>
      <c r="H213" s="304">
        <v>2.1</v>
      </c>
      <c r="I213" s="304">
        <v>2.23</v>
      </c>
      <c r="J213" s="33">
        <v>234</v>
      </c>
      <c r="K213" s="34" t="s">
        <v>62</v>
      </c>
      <c r="L213" s="33">
        <v>40</v>
      </c>
      <c r="M213" s="50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13" s="387"/>
      <c r="O213" s="387"/>
      <c r="P213" s="387"/>
      <c r="Q213" s="329"/>
      <c r="R213" s="35"/>
      <c r="S213" s="35"/>
      <c r="T213" s="36" t="s">
        <v>63</v>
      </c>
      <c r="U213" s="305">
        <v>0</v>
      </c>
      <c r="V213" s="306">
        <f>IFERROR(IF(U213="",0,CEILING((U213/$H213),1)*$H213),"")</f>
        <v>0</v>
      </c>
      <c r="W213" s="37" t="str">
        <f>IFERROR(IF(V213=0,"",ROUNDUP(V213/H213,0)*0.00502),"")</f>
        <v/>
      </c>
      <c r="X213" s="57"/>
      <c r="Y213" s="58"/>
      <c r="AC213" s="59"/>
      <c r="AZ213" s="178" t="s">
        <v>1</v>
      </c>
    </row>
    <row r="214" spans="1:52" ht="27" customHeight="1" x14ac:dyDescent="0.25">
      <c r="A214" s="55" t="s">
        <v>333</v>
      </c>
      <c r="B214" s="55" t="s">
        <v>334</v>
      </c>
      <c r="C214" s="32">
        <v>4301031151</v>
      </c>
      <c r="D214" s="385">
        <v>4607091389845</v>
      </c>
      <c r="E214" s="329"/>
      <c r="F214" s="304">
        <v>0.35</v>
      </c>
      <c r="G214" s="33">
        <v>6</v>
      </c>
      <c r="H214" s="304">
        <v>2.1</v>
      </c>
      <c r="I214" s="304">
        <v>2.2000000000000002</v>
      </c>
      <c r="J214" s="33">
        <v>234</v>
      </c>
      <c r="K214" s="34" t="s">
        <v>62</v>
      </c>
      <c r="L214" s="33">
        <v>40</v>
      </c>
      <c r="M214" s="509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14" s="387"/>
      <c r="O214" s="387"/>
      <c r="P214" s="387"/>
      <c r="Q214" s="329"/>
      <c r="R214" s="35"/>
      <c r="S214" s="35"/>
      <c r="T214" s="36" t="s">
        <v>63</v>
      </c>
      <c r="U214" s="305">
        <v>0</v>
      </c>
      <c r="V214" s="306">
        <f>IFERROR(IF(U214="",0,CEILING((U214/$H214),1)*$H214),"")</f>
        <v>0</v>
      </c>
      <c r="W214" s="37" t="str">
        <f>IFERROR(IF(V214=0,"",ROUNDUP(V214/H214,0)*0.00502),"")</f>
        <v/>
      </c>
      <c r="X214" s="57"/>
      <c r="Y214" s="58"/>
      <c r="AC214" s="59"/>
      <c r="AZ214" s="179" t="s">
        <v>1</v>
      </c>
    </row>
    <row r="215" spans="1:52" x14ac:dyDescent="0.2">
      <c r="A215" s="389"/>
      <c r="B215" s="313"/>
      <c r="C215" s="313"/>
      <c r="D215" s="313"/>
      <c r="E215" s="313"/>
      <c r="F215" s="313"/>
      <c r="G215" s="313"/>
      <c r="H215" s="313"/>
      <c r="I215" s="313"/>
      <c r="J215" s="313"/>
      <c r="K215" s="313"/>
      <c r="L215" s="390"/>
      <c r="M215" s="388" t="s">
        <v>64</v>
      </c>
      <c r="N215" s="341"/>
      <c r="O215" s="341"/>
      <c r="P215" s="341"/>
      <c r="Q215" s="341"/>
      <c r="R215" s="341"/>
      <c r="S215" s="342"/>
      <c r="T215" s="38" t="s">
        <v>65</v>
      </c>
      <c r="U215" s="307">
        <f>IFERROR(U211/H211,"0")+IFERROR(U212/H212,"0")+IFERROR(U213/H213,"0")+IFERROR(U214/H214,"0")</f>
        <v>0</v>
      </c>
      <c r="V215" s="307">
        <f>IFERROR(V211/H211,"0")+IFERROR(V212/H212,"0")+IFERROR(V213/H213,"0")+IFERROR(V214/H214,"0")</f>
        <v>0</v>
      </c>
      <c r="W215" s="307">
        <f>IFERROR(IF(W211="",0,W211),"0")+IFERROR(IF(W212="",0,W212),"0")+IFERROR(IF(W213="",0,W213),"0")+IFERROR(IF(W214="",0,W214),"0")</f>
        <v>0</v>
      </c>
      <c r="X215" s="308"/>
      <c r="Y215" s="308"/>
    </row>
    <row r="216" spans="1:52" x14ac:dyDescent="0.2">
      <c r="A216" s="313"/>
      <c r="B216" s="313"/>
      <c r="C216" s="313"/>
      <c r="D216" s="313"/>
      <c r="E216" s="313"/>
      <c r="F216" s="313"/>
      <c r="G216" s="313"/>
      <c r="H216" s="313"/>
      <c r="I216" s="313"/>
      <c r="J216" s="313"/>
      <c r="K216" s="313"/>
      <c r="L216" s="390"/>
      <c r="M216" s="388" t="s">
        <v>64</v>
      </c>
      <c r="N216" s="341"/>
      <c r="O216" s="341"/>
      <c r="P216" s="341"/>
      <c r="Q216" s="341"/>
      <c r="R216" s="341"/>
      <c r="S216" s="342"/>
      <c r="T216" s="38" t="s">
        <v>63</v>
      </c>
      <c r="U216" s="307">
        <f>IFERROR(SUM(U211:U214),"0")</f>
        <v>0</v>
      </c>
      <c r="V216" s="307">
        <f>IFERROR(SUM(V211:V214),"0")</f>
        <v>0</v>
      </c>
      <c r="W216" s="38"/>
      <c r="X216" s="308"/>
      <c r="Y216" s="308"/>
    </row>
    <row r="217" spans="1:52" ht="14.25" customHeight="1" x14ac:dyDescent="0.25">
      <c r="A217" s="384" t="s">
        <v>66</v>
      </c>
      <c r="B217" s="313"/>
      <c r="C217" s="313"/>
      <c r="D217" s="313"/>
      <c r="E217" s="313"/>
      <c r="F217" s="313"/>
      <c r="G217" s="313"/>
      <c r="H217" s="313"/>
      <c r="I217" s="313"/>
      <c r="J217" s="313"/>
      <c r="K217" s="313"/>
      <c r="L217" s="313"/>
      <c r="M217" s="313"/>
      <c r="N217" s="313"/>
      <c r="O217" s="313"/>
      <c r="P217" s="313"/>
      <c r="Q217" s="313"/>
      <c r="R217" s="313"/>
      <c r="S217" s="313"/>
      <c r="T217" s="313"/>
      <c r="U217" s="313"/>
      <c r="V217" s="313"/>
      <c r="W217" s="313"/>
      <c r="X217" s="302"/>
      <c r="Y217" s="302"/>
    </row>
    <row r="218" spans="1:52" ht="16.5" customHeight="1" x14ac:dyDescent="0.25">
      <c r="A218" s="55" t="s">
        <v>335</v>
      </c>
      <c r="B218" s="55" t="s">
        <v>336</v>
      </c>
      <c r="C218" s="32">
        <v>4301051101</v>
      </c>
      <c r="D218" s="385">
        <v>4607091387766</v>
      </c>
      <c r="E218" s="329"/>
      <c r="F218" s="304">
        <v>1.35</v>
      </c>
      <c r="G218" s="33">
        <v>6</v>
      </c>
      <c r="H218" s="304">
        <v>8.1</v>
      </c>
      <c r="I218" s="304">
        <v>8.6579999999999995</v>
      </c>
      <c r="J218" s="33">
        <v>56</v>
      </c>
      <c r="K218" s="34" t="s">
        <v>62</v>
      </c>
      <c r="L218" s="33">
        <v>40</v>
      </c>
      <c r="M218" s="51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18" s="387"/>
      <c r="O218" s="387"/>
      <c r="P218" s="387"/>
      <c r="Q218" s="329"/>
      <c r="R218" s="35"/>
      <c r="S218" s="35"/>
      <c r="T218" s="36" t="s">
        <v>63</v>
      </c>
      <c r="U218" s="305">
        <v>0</v>
      </c>
      <c r="V218" s="306">
        <f t="shared" ref="V218:V223" si="12">IFERROR(IF(U218="",0,CEILING((U218/$H218),1)*$H218),"")</f>
        <v>0</v>
      </c>
      <c r="W218" s="37" t="str">
        <f>IFERROR(IF(V218=0,"",ROUNDUP(V218/H218,0)*0.02175),"")</f>
        <v/>
      </c>
      <c r="X218" s="57"/>
      <c r="Y218" s="58"/>
      <c r="AC218" s="59"/>
      <c r="AZ218" s="180" t="s">
        <v>1</v>
      </c>
    </row>
    <row r="219" spans="1:52" ht="27" customHeight="1" x14ac:dyDescent="0.25">
      <c r="A219" s="55" t="s">
        <v>337</v>
      </c>
      <c r="B219" s="55" t="s">
        <v>338</v>
      </c>
      <c r="C219" s="32">
        <v>4301051116</v>
      </c>
      <c r="D219" s="385">
        <v>4607091387957</v>
      </c>
      <c r="E219" s="329"/>
      <c r="F219" s="304">
        <v>1.3</v>
      </c>
      <c r="G219" s="33">
        <v>6</v>
      </c>
      <c r="H219" s="304">
        <v>7.8</v>
      </c>
      <c r="I219" s="304">
        <v>8.3640000000000008</v>
      </c>
      <c r="J219" s="33">
        <v>56</v>
      </c>
      <c r="K219" s="34" t="s">
        <v>62</v>
      </c>
      <c r="L219" s="33">
        <v>40</v>
      </c>
      <c r="M219" s="51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19" s="387"/>
      <c r="O219" s="387"/>
      <c r="P219" s="387"/>
      <c r="Q219" s="329"/>
      <c r="R219" s="35"/>
      <c r="S219" s="35"/>
      <c r="T219" s="36" t="s">
        <v>63</v>
      </c>
      <c r="U219" s="305">
        <v>0</v>
      </c>
      <c r="V219" s="306">
        <f t="shared" si="12"/>
        <v>0</v>
      </c>
      <c r="W219" s="37" t="str">
        <f>IFERROR(IF(V219=0,"",ROUNDUP(V219/H219,0)*0.02175),"")</f>
        <v/>
      </c>
      <c r="X219" s="57"/>
      <c r="Y219" s="58"/>
      <c r="AC219" s="59"/>
      <c r="AZ219" s="181" t="s">
        <v>1</v>
      </c>
    </row>
    <row r="220" spans="1:52" ht="27" customHeight="1" x14ac:dyDescent="0.25">
      <c r="A220" s="55" t="s">
        <v>339</v>
      </c>
      <c r="B220" s="55" t="s">
        <v>340</v>
      </c>
      <c r="C220" s="32">
        <v>4301051115</v>
      </c>
      <c r="D220" s="385">
        <v>4607091387964</v>
      </c>
      <c r="E220" s="329"/>
      <c r="F220" s="304">
        <v>1.35</v>
      </c>
      <c r="G220" s="33">
        <v>6</v>
      </c>
      <c r="H220" s="304">
        <v>8.1</v>
      </c>
      <c r="I220" s="304">
        <v>8.6460000000000008</v>
      </c>
      <c r="J220" s="33">
        <v>56</v>
      </c>
      <c r="K220" s="34" t="s">
        <v>62</v>
      </c>
      <c r="L220" s="33">
        <v>40</v>
      </c>
      <c r="M220" s="51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0" s="387"/>
      <c r="O220" s="387"/>
      <c r="P220" s="387"/>
      <c r="Q220" s="329"/>
      <c r="R220" s="35"/>
      <c r="S220" s="35"/>
      <c r="T220" s="36" t="s">
        <v>63</v>
      </c>
      <c r="U220" s="305">
        <v>30</v>
      </c>
      <c r="V220" s="306">
        <f t="shared" si="12"/>
        <v>32.4</v>
      </c>
      <c r="W220" s="37">
        <f>IFERROR(IF(V220=0,"",ROUNDUP(V220/H220,0)*0.02175),"")</f>
        <v>8.6999999999999994E-2</v>
      </c>
      <c r="X220" s="57"/>
      <c r="Y220" s="58"/>
      <c r="AC220" s="59"/>
      <c r="AZ220" s="182" t="s">
        <v>1</v>
      </c>
    </row>
    <row r="221" spans="1:52" ht="16.5" customHeight="1" x14ac:dyDescent="0.25">
      <c r="A221" s="55" t="s">
        <v>341</v>
      </c>
      <c r="B221" s="55" t="s">
        <v>342</v>
      </c>
      <c r="C221" s="32">
        <v>4301051134</v>
      </c>
      <c r="D221" s="385">
        <v>4607091381672</v>
      </c>
      <c r="E221" s="329"/>
      <c r="F221" s="304">
        <v>0.6</v>
      </c>
      <c r="G221" s="33">
        <v>6</v>
      </c>
      <c r="H221" s="304">
        <v>3.6</v>
      </c>
      <c r="I221" s="304">
        <v>3.8759999999999999</v>
      </c>
      <c r="J221" s="33">
        <v>120</v>
      </c>
      <c r="K221" s="34" t="s">
        <v>62</v>
      </c>
      <c r="L221" s="33">
        <v>40</v>
      </c>
      <c r="M221" s="513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1" s="387"/>
      <c r="O221" s="387"/>
      <c r="P221" s="387"/>
      <c r="Q221" s="329"/>
      <c r="R221" s="35"/>
      <c r="S221" s="35"/>
      <c r="T221" s="36" t="s">
        <v>63</v>
      </c>
      <c r="U221" s="305">
        <v>0</v>
      </c>
      <c r="V221" s="306">
        <f t="shared" si="12"/>
        <v>0</v>
      </c>
      <c r="W221" s="37" t="str">
        <f>IFERROR(IF(V221=0,"",ROUNDUP(V221/H221,0)*0.00937),"")</f>
        <v/>
      </c>
      <c r="X221" s="57"/>
      <c r="Y221" s="58"/>
      <c r="AC221" s="59"/>
      <c r="AZ221" s="183" t="s">
        <v>1</v>
      </c>
    </row>
    <row r="222" spans="1:52" ht="27" customHeight="1" x14ac:dyDescent="0.25">
      <c r="A222" s="55" t="s">
        <v>343</v>
      </c>
      <c r="B222" s="55" t="s">
        <v>344</v>
      </c>
      <c r="C222" s="32">
        <v>4301051130</v>
      </c>
      <c r="D222" s="385">
        <v>4607091387537</v>
      </c>
      <c r="E222" s="329"/>
      <c r="F222" s="304">
        <v>0.45</v>
      </c>
      <c r="G222" s="33">
        <v>6</v>
      </c>
      <c r="H222" s="304">
        <v>2.7</v>
      </c>
      <c r="I222" s="304">
        <v>2.99</v>
      </c>
      <c r="J222" s="33">
        <v>156</v>
      </c>
      <c r="K222" s="34" t="s">
        <v>62</v>
      </c>
      <c r="L222" s="33">
        <v>40</v>
      </c>
      <c r="M222" s="514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22" s="387"/>
      <c r="O222" s="387"/>
      <c r="P222" s="387"/>
      <c r="Q222" s="329"/>
      <c r="R222" s="35"/>
      <c r="S222" s="35"/>
      <c r="T222" s="36" t="s">
        <v>63</v>
      </c>
      <c r="U222" s="305">
        <v>0</v>
      </c>
      <c r="V222" s="306">
        <f t="shared" si="12"/>
        <v>0</v>
      </c>
      <c r="W222" s="37" t="str">
        <f>IFERROR(IF(V222=0,"",ROUNDUP(V222/H222,0)*0.00753),"")</f>
        <v/>
      </c>
      <c r="X222" s="57"/>
      <c r="Y222" s="58"/>
      <c r="AC222" s="59"/>
      <c r="AZ222" s="184" t="s">
        <v>1</v>
      </c>
    </row>
    <row r="223" spans="1:52" ht="27" customHeight="1" x14ac:dyDescent="0.25">
      <c r="A223" s="55" t="s">
        <v>345</v>
      </c>
      <c r="B223" s="55" t="s">
        <v>346</v>
      </c>
      <c r="C223" s="32">
        <v>4301051132</v>
      </c>
      <c r="D223" s="385">
        <v>4607091387513</v>
      </c>
      <c r="E223" s="329"/>
      <c r="F223" s="304">
        <v>0.45</v>
      </c>
      <c r="G223" s="33">
        <v>6</v>
      </c>
      <c r="H223" s="304">
        <v>2.7</v>
      </c>
      <c r="I223" s="304">
        <v>2.9780000000000002</v>
      </c>
      <c r="J223" s="33">
        <v>156</v>
      </c>
      <c r="K223" s="34" t="s">
        <v>62</v>
      </c>
      <c r="L223" s="33">
        <v>40</v>
      </c>
      <c r="M223" s="51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23" s="387"/>
      <c r="O223" s="387"/>
      <c r="P223" s="387"/>
      <c r="Q223" s="329"/>
      <c r="R223" s="35"/>
      <c r="S223" s="35"/>
      <c r="T223" s="36" t="s">
        <v>63</v>
      </c>
      <c r="U223" s="305">
        <v>0</v>
      </c>
      <c r="V223" s="306">
        <f t="shared" si="12"/>
        <v>0</v>
      </c>
      <c r="W223" s="37" t="str">
        <f>IFERROR(IF(V223=0,"",ROUNDUP(V223/H223,0)*0.00753),"")</f>
        <v/>
      </c>
      <c r="X223" s="57"/>
      <c r="Y223" s="58"/>
      <c r="AC223" s="59"/>
      <c r="AZ223" s="185" t="s">
        <v>1</v>
      </c>
    </row>
    <row r="224" spans="1:52" x14ac:dyDescent="0.2">
      <c r="A224" s="389"/>
      <c r="B224" s="313"/>
      <c r="C224" s="313"/>
      <c r="D224" s="313"/>
      <c r="E224" s="313"/>
      <c r="F224" s="313"/>
      <c r="G224" s="313"/>
      <c r="H224" s="313"/>
      <c r="I224" s="313"/>
      <c r="J224" s="313"/>
      <c r="K224" s="313"/>
      <c r="L224" s="390"/>
      <c r="M224" s="388" t="s">
        <v>64</v>
      </c>
      <c r="N224" s="341"/>
      <c r="O224" s="341"/>
      <c r="P224" s="341"/>
      <c r="Q224" s="341"/>
      <c r="R224" s="341"/>
      <c r="S224" s="342"/>
      <c r="T224" s="38" t="s">
        <v>65</v>
      </c>
      <c r="U224" s="307">
        <f>IFERROR(U218/H218,"0")+IFERROR(U219/H219,"0")+IFERROR(U220/H220,"0")+IFERROR(U221/H221,"0")+IFERROR(U222/H222,"0")+IFERROR(U223/H223,"0")</f>
        <v>3.7037037037037037</v>
      </c>
      <c r="V224" s="307">
        <f>IFERROR(V218/H218,"0")+IFERROR(V219/H219,"0")+IFERROR(V220/H220,"0")+IFERROR(V221/H221,"0")+IFERROR(V222/H222,"0")+IFERROR(V223/H223,"0")</f>
        <v>4</v>
      </c>
      <c r="W224" s="307">
        <f>IFERROR(IF(W218="",0,W218),"0")+IFERROR(IF(W219="",0,W219),"0")+IFERROR(IF(W220="",0,W220),"0")+IFERROR(IF(W221="",0,W221),"0")+IFERROR(IF(W222="",0,W222),"0")+IFERROR(IF(W223="",0,W223),"0")</f>
        <v>8.6999999999999994E-2</v>
      </c>
      <c r="X224" s="308"/>
      <c r="Y224" s="308"/>
    </row>
    <row r="225" spans="1:52" x14ac:dyDescent="0.2">
      <c r="A225" s="313"/>
      <c r="B225" s="313"/>
      <c r="C225" s="313"/>
      <c r="D225" s="313"/>
      <c r="E225" s="313"/>
      <c r="F225" s="313"/>
      <c r="G225" s="313"/>
      <c r="H225" s="313"/>
      <c r="I225" s="313"/>
      <c r="J225" s="313"/>
      <c r="K225" s="313"/>
      <c r="L225" s="390"/>
      <c r="M225" s="388" t="s">
        <v>64</v>
      </c>
      <c r="N225" s="341"/>
      <c r="O225" s="341"/>
      <c r="P225" s="341"/>
      <c r="Q225" s="341"/>
      <c r="R225" s="341"/>
      <c r="S225" s="342"/>
      <c r="T225" s="38" t="s">
        <v>63</v>
      </c>
      <c r="U225" s="307">
        <f>IFERROR(SUM(U218:U223),"0")</f>
        <v>30</v>
      </c>
      <c r="V225" s="307">
        <f>IFERROR(SUM(V218:V223),"0")</f>
        <v>32.4</v>
      </c>
      <c r="W225" s="38"/>
      <c r="X225" s="308"/>
      <c r="Y225" s="308"/>
    </row>
    <row r="226" spans="1:52" ht="14.25" customHeight="1" x14ac:dyDescent="0.25">
      <c r="A226" s="384" t="s">
        <v>195</v>
      </c>
      <c r="B226" s="313"/>
      <c r="C226" s="313"/>
      <c r="D226" s="313"/>
      <c r="E226" s="313"/>
      <c r="F226" s="313"/>
      <c r="G226" s="313"/>
      <c r="H226" s="313"/>
      <c r="I226" s="313"/>
      <c r="J226" s="313"/>
      <c r="K226" s="313"/>
      <c r="L226" s="313"/>
      <c r="M226" s="313"/>
      <c r="N226" s="313"/>
      <c r="O226" s="313"/>
      <c r="P226" s="313"/>
      <c r="Q226" s="313"/>
      <c r="R226" s="313"/>
      <c r="S226" s="313"/>
      <c r="T226" s="313"/>
      <c r="U226" s="313"/>
      <c r="V226" s="313"/>
      <c r="W226" s="313"/>
      <c r="X226" s="302"/>
      <c r="Y226" s="302"/>
    </row>
    <row r="227" spans="1:52" ht="16.5" customHeight="1" x14ac:dyDescent="0.25">
      <c r="A227" s="55" t="s">
        <v>347</v>
      </c>
      <c r="B227" s="55" t="s">
        <v>348</v>
      </c>
      <c r="C227" s="32">
        <v>4301060326</v>
      </c>
      <c r="D227" s="385">
        <v>4607091380880</v>
      </c>
      <c r="E227" s="329"/>
      <c r="F227" s="304">
        <v>1.4</v>
      </c>
      <c r="G227" s="33">
        <v>6</v>
      </c>
      <c r="H227" s="304">
        <v>8.4</v>
      </c>
      <c r="I227" s="304">
        <v>8.9640000000000004</v>
      </c>
      <c r="J227" s="33">
        <v>56</v>
      </c>
      <c r="K227" s="34" t="s">
        <v>62</v>
      </c>
      <c r="L227" s="33">
        <v>30</v>
      </c>
      <c r="M227" s="516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27" s="387"/>
      <c r="O227" s="387"/>
      <c r="P227" s="387"/>
      <c r="Q227" s="329"/>
      <c r="R227" s="35"/>
      <c r="S227" s="35"/>
      <c r="T227" s="36" t="s">
        <v>63</v>
      </c>
      <c r="U227" s="305">
        <v>30</v>
      </c>
      <c r="V227" s="306">
        <f>IFERROR(IF(U227="",0,CEILING((U227/$H227),1)*$H227),"")</f>
        <v>33.6</v>
      </c>
      <c r="W227" s="37">
        <f>IFERROR(IF(V227=0,"",ROUNDUP(V227/H227,0)*0.02175),"")</f>
        <v>8.6999999999999994E-2</v>
      </c>
      <c r="X227" s="57"/>
      <c r="Y227" s="58"/>
      <c r="AC227" s="59"/>
      <c r="AZ227" s="186" t="s">
        <v>1</v>
      </c>
    </row>
    <row r="228" spans="1:52" ht="27" customHeight="1" x14ac:dyDescent="0.25">
      <c r="A228" s="55" t="s">
        <v>349</v>
      </c>
      <c r="B228" s="55" t="s">
        <v>350</v>
      </c>
      <c r="C228" s="32">
        <v>4301060308</v>
      </c>
      <c r="D228" s="385">
        <v>4607091384482</v>
      </c>
      <c r="E228" s="329"/>
      <c r="F228" s="304">
        <v>1.3</v>
      </c>
      <c r="G228" s="33">
        <v>6</v>
      </c>
      <c r="H228" s="304">
        <v>7.8</v>
      </c>
      <c r="I228" s="304">
        <v>8.3640000000000008</v>
      </c>
      <c r="J228" s="33">
        <v>56</v>
      </c>
      <c r="K228" s="34" t="s">
        <v>62</v>
      </c>
      <c r="L228" s="33">
        <v>30</v>
      </c>
      <c r="M228" s="517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28" s="387"/>
      <c r="O228" s="387"/>
      <c r="P228" s="387"/>
      <c r="Q228" s="329"/>
      <c r="R228" s="35"/>
      <c r="S228" s="35"/>
      <c r="T228" s="36" t="s">
        <v>63</v>
      </c>
      <c r="U228" s="305">
        <v>334</v>
      </c>
      <c r="V228" s="306">
        <f>IFERROR(IF(U228="",0,CEILING((U228/$H228),1)*$H228),"")</f>
        <v>335.4</v>
      </c>
      <c r="W228" s="37">
        <f>IFERROR(IF(V228=0,"",ROUNDUP(V228/H228,0)*0.02175),"")</f>
        <v>0.93524999999999991</v>
      </c>
      <c r="X228" s="57"/>
      <c r="Y228" s="58"/>
      <c r="AC228" s="59"/>
      <c r="AZ228" s="187" t="s">
        <v>1</v>
      </c>
    </row>
    <row r="229" spans="1:52" ht="16.5" customHeight="1" x14ac:dyDescent="0.25">
      <c r="A229" s="55" t="s">
        <v>351</v>
      </c>
      <c r="B229" s="55" t="s">
        <v>352</v>
      </c>
      <c r="C229" s="32">
        <v>4301060325</v>
      </c>
      <c r="D229" s="385">
        <v>4607091380897</v>
      </c>
      <c r="E229" s="329"/>
      <c r="F229" s="304">
        <v>1.4</v>
      </c>
      <c r="G229" s="33">
        <v>6</v>
      </c>
      <c r="H229" s="304">
        <v>8.4</v>
      </c>
      <c r="I229" s="304">
        <v>8.9640000000000004</v>
      </c>
      <c r="J229" s="33">
        <v>56</v>
      </c>
      <c r="K229" s="34" t="s">
        <v>62</v>
      </c>
      <c r="L229" s="33">
        <v>30</v>
      </c>
      <c r="M229" s="51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29" s="387"/>
      <c r="O229" s="387"/>
      <c r="P229" s="387"/>
      <c r="Q229" s="329"/>
      <c r="R229" s="35"/>
      <c r="S229" s="35"/>
      <c r="T229" s="36" t="s">
        <v>63</v>
      </c>
      <c r="U229" s="305">
        <v>50</v>
      </c>
      <c r="V229" s="306">
        <f>IFERROR(IF(U229="",0,CEILING((U229/$H229),1)*$H229),"")</f>
        <v>50.400000000000006</v>
      </c>
      <c r="W229" s="37">
        <f>IFERROR(IF(V229=0,"",ROUNDUP(V229/H229,0)*0.02175),"")</f>
        <v>0.1305</v>
      </c>
      <c r="X229" s="57"/>
      <c r="Y229" s="58"/>
      <c r="AC229" s="59"/>
      <c r="AZ229" s="188" t="s">
        <v>1</v>
      </c>
    </row>
    <row r="230" spans="1:52" ht="16.5" customHeight="1" x14ac:dyDescent="0.25">
      <c r="A230" s="55" t="s">
        <v>353</v>
      </c>
      <c r="B230" s="55" t="s">
        <v>354</v>
      </c>
      <c r="C230" s="32">
        <v>4301060337</v>
      </c>
      <c r="D230" s="385">
        <v>4680115880368</v>
      </c>
      <c r="E230" s="329"/>
      <c r="F230" s="304">
        <v>1</v>
      </c>
      <c r="G230" s="33">
        <v>4</v>
      </c>
      <c r="H230" s="304">
        <v>4</v>
      </c>
      <c r="I230" s="304">
        <v>4.3600000000000003</v>
      </c>
      <c r="J230" s="33">
        <v>104</v>
      </c>
      <c r="K230" s="34" t="s">
        <v>123</v>
      </c>
      <c r="L230" s="33">
        <v>40</v>
      </c>
      <c r="M230" s="519" t="str">
        <f>HYPERLINK("https://abi.ru/products/Охлажденные/Стародворье/Бордо/Сардельки/P003055/","Сардельки Царедворские Бордо ф/в 1 кг п/а Стародворье")</f>
        <v>Сардельки Царедворские Бордо ф/в 1 кг п/а Стародворье</v>
      </c>
      <c r="N230" s="387"/>
      <c r="O230" s="387"/>
      <c r="P230" s="387"/>
      <c r="Q230" s="329"/>
      <c r="R230" s="35"/>
      <c r="S230" s="35"/>
      <c r="T230" s="36" t="s">
        <v>63</v>
      </c>
      <c r="U230" s="305">
        <v>0</v>
      </c>
      <c r="V230" s="306">
        <f>IFERROR(IF(U230="",0,CEILING((U230/$H230),1)*$H230),"")</f>
        <v>0</v>
      </c>
      <c r="W230" s="37" t="str">
        <f>IFERROR(IF(V230=0,"",ROUNDUP(V230/H230,0)*0.01196),"")</f>
        <v/>
      </c>
      <c r="X230" s="57"/>
      <c r="Y230" s="58"/>
      <c r="AC230" s="59"/>
      <c r="AZ230" s="189" t="s">
        <v>1</v>
      </c>
    </row>
    <row r="231" spans="1:52" x14ac:dyDescent="0.2">
      <c r="A231" s="389"/>
      <c r="B231" s="313"/>
      <c r="C231" s="313"/>
      <c r="D231" s="313"/>
      <c r="E231" s="313"/>
      <c r="F231" s="313"/>
      <c r="G231" s="313"/>
      <c r="H231" s="313"/>
      <c r="I231" s="313"/>
      <c r="J231" s="313"/>
      <c r="K231" s="313"/>
      <c r="L231" s="390"/>
      <c r="M231" s="388" t="s">
        <v>64</v>
      </c>
      <c r="N231" s="341"/>
      <c r="O231" s="341"/>
      <c r="P231" s="341"/>
      <c r="Q231" s="341"/>
      <c r="R231" s="341"/>
      <c r="S231" s="342"/>
      <c r="T231" s="38" t="s">
        <v>65</v>
      </c>
      <c r="U231" s="307">
        <f>IFERROR(U227/H227,"0")+IFERROR(U228/H228,"0")+IFERROR(U229/H229,"0")+IFERROR(U230/H230,"0")</f>
        <v>52.34432234432235</v>
      </c>
      <c r="V231" s="307">
        <f>IFERROR(V227/H227,"0")+IFERROR(V228/H228,"0")+IFERROR(V229/H229,"0")+IFERROR(V230/H230,"0")</f>
        <v>53</v>
      </c>
      <c r="W231" s="307">
        <f>IFERROR(IF(W227="",0,W227),"0")+IFERROR(IF(W228="",0,W228),"0")+IFERROR(IF(W229="",0,W229),"0")+IFERROR(IF(W230="",0,W230),"0")</f>
        <v>1.1527499999999999</v>
      </c>
      <c r="X231" s="308"/>
      <c r="Y231" s="308"/>
    </row>
    <row r="232" spans="1:52" x14ac:dyDescent="0.2">
      <c r="A232" s="313"/>
      <c r="B232" s="313"/>
      <c r="C232" s="313"/>
      <c r="D232" s="313"/>
      <c r="E232" s="313"/>
      <c r="F232" s="313"/>
      <c r="G232" s="313"/>
      <c r="H232" s="313"/>
      <c r="I232" s="313"/>
      <c r="J232" s="313"/>
      <c r="K232" s="313"/>
      <c r="L232" s="390"/>
      <c r="M232" s="388" t="s">
        <v>64</v>
      </c>
      <c r="N232" s="341"/>
      <c r="O232" s="341"/>
      <c r="P232" s="341"/>
      <c r="Q232" s="341"/>
      <c r="R232" s="341"/>
      <c r="S232" s="342"/>
      <c r="T232" s="38" t="s">
        <v>63</v>
      </c>
      <c r="U232" s="307">
        <f>IFERROR(SUM(U227:U230),"0")</f>
        <v>414</v>
      </c>
      <c r="V232" s="307">
        <f>IFERROR(SUM(V227:V230),"0")</f>
        <v>419.4</v>
      </c>
      <c r="W232" s="38"/>
      <c r="X232" s="308"/>
      <c r="Y232" s="308"/>
    </row>
    <row r="233" spans="1:52" ht="14.25" customHeight="1" x14ac:dyDescent="0.25">
      <c r="A233" s="384" t="s">
        <v>79</v>
      </c>
      <c r="B233" s="313"/>
      <c r="C233" s="313"/>
      <c r="D233" s="313"/>
      <c r="E233" s="313"/>
      <c r="F233" s="313"/>
      <c r="G233" s="313"/>
      <c r="H233" s="313"/>
      <c r="I233" s="313"/>
      <c r="J233" s="313"/>
      <c r="K233" s="313"/>
      <c r="L233" s="313"/>
      <c r="M233" s="313"/>
      <c r="N233" s="313"/>
      <c r="O233" s="313"/>
      <c r="P233" s="313"/>
      <c r="Q233" s="313"/>
      <c r="R233" s="313"/>
      <c r="S233" s="313"/>
      <c r="T233" s="313"/>
      <c r="U233" s="313"/>
      <c r="V233" s="313"/>
      <c r="W233" s="313"/>
      <c r="X233" s="302"/>
      <c r="Y233" s="302"/>
    </row>
    <row r="234" spans="1:52" ht="16.5" customHeight="1" x14ac:dyDescent="0.25">
      <c r="A234" s="55" t="s">
        <v>355</v>
      </c>
      <c r="B234" s="55" t="s">
        <v>356</v>
      </c>
      <c r="C234" s="32">
        <v>4301030232</v>
      </c>
      <c r="D234" s="385">
        <v>4607091388374</v>
      </c>
      <c r="E234" s="329"/>
      <c r="F234" s="304">
        <v>0.38</v>
      </c>
      <c r="G234" s="33">
        <v>8</v>
      </c>
      <c r="H234" s="304">
        <v>3.04</v>
      </c>
      <c r="I234" s="304">
        <v>3.28</v>
      </c>
      <c r="J234" s="33">
        <v>156</v>
      </c>
      <c r="K234" s="34" t="s">
        <v>82</v>
      </c>
      <c r="L234" s="33">
        <v>180</v>
      </c>
      <c r="M234" s="520" t="s">
        <v>357</v>
      </c>
      <c r="N234" s="387"/>
      <c r="O234" s="387"/>
      <c r="P234" s="387"/>
      <c r="Q234" s="329"/>
      <c r="R234" s="35"/>
      <c r="S234" s="35"/>
      <c r="T234" s="36" t="s">
        <v>63</v>
      </c>
      <c r="U234" s="305">
        <v>0</v>
      </c>
      <c r="V234" s="306">
        <f>IFERROR(IF(U234="",0,CEILING((U234/$H234),1)*$H234),"")</f>
        <v>0</v>
      </c>
      <c r="W234" s="37" t="str">
        <f>IFERROR(IF(V234=0,"",ROUNDUP(V234/H234,0)*0.00753),"")</f>
        <v/>
      </c>
      <c r="X234" s="57"/>
      <c r="Y234" s="58"/>
      <c r="AC234" s="59"/>
      <c r="AZ234" s="190" t="s">
        <v>1</v>
      </c>
    </row>
    <row r="235" spans="1:52" ht="27" customHeight="1" x14ac:dyDescent="0.25">
      <c r="A235" s="55" t="s">
        <v>358</v>
      </c>
      <c r="B235" s="55" t="s">
        <v>359</v>
      </c>
      <c r="C235" s="32">
        <v>4301030235</v>
      </c>
      <c r="D235" s="385">
        <v>4607091388381</v>
      </c>
      <c r="E235" s="329"/>
      <c r="F235" s="304">
        <v>0.38</v>
      </c>
      <c r="G235" s="33">
        <v>8</v>
      </c>
      <c r="H235" s="304">
        <v>3.04</v>
      </c>
      <c r="I235" s="304">
        <v>3.32</v>
      </c>
      <c r="J235" s="33">
        <v>156</v>
      </c>
      <c r="K235" s="34" t="s">
        <v>82</v>
      </c>
      <c r="L235" s="33">
        <v>180</v>
      </c>
      <c r="M235" s="521" t="s">
        <v>360</v>
      </c>
      <c r="N235" s="387"/>
      <c r="O235" s="387"/>
      <c r="P235" s="387"/>
      <c r="Q235" s="329"/>
      <c r="R235" s="35"/>
      <c r="S235" s="35"/>
      <c r="T235" s="36" t="s">
        <v>63</v>
      </c>
      <c r="U235" s="305">
        <v>0</v>
      </c>
      <c r="V235" s="306">
        <f>IFERROR(IF(U235="",0,CEILING((U235/$H235),1)*$H235),"")</f>
        <v>0</v>
      </c>
      <c r="W235" s="37" t="str">
        <f>IFERROR(IF(V235=0,"",ROUNDUP(V235/H235,0)*0.00753),"")</f>
        <v/>
      </c>
      <c r="X235" s="57"/>
      <c r="Y235" s="58"/>
      <c r="AC235" s="59"/>
      <c r="AZ235" s="191" t="s">
        <v>1</v>
      </c>
    </row>
    <row r="236" spans="1:52" ht="27" customHeight="1" x14ac:dyDescent="0.25">
      <c r="A236" s="55" t="s">
        <v>361</v>
      </c>
      <c r="B236" s="55" t="s">
        <v>362</v>
      </c>
      <c r="C236" s="32">
        <v>4301030233</v>
      </c>
      <c r="D236" s="385">
        <v>4607091388404</v>
      </c>
      <c r="E236" s="329"/>
      <c r="F236" s="304">
        <v>0.17</v>
      </c>
      <c r="G236" s="33">
        <v>15</v>
      </c>
      <c r="H236" s="304">
        <v>2.5499999999999998</v>
      </c>
      <c r="I236" s="304">
        <v>2.9</v>
      </c>
      <c r="J236" s="33">
        <v>156</v>
      </c>
      <c r="K236" s="34" t="s">
        <v>82</v>
      </c>
      <c r="L236" s="33">
        <v>180</v>
      </c>
      <c r="M236" s="52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36" s="387"/>
      <c r="O236" s="387"/>
      <c r="P236" s="387"/>
      <c r="Q236" s="329"/>
      <c r="R236" s="35"/>
      <c r="S236" s="35"/>
      <c r="T236" s="36" t="s">
        <v>63</v>
      </c>
      <c r="U236" s="305">
        <v>0</v>
      </c>
      <c r="V236" s="306">
        <f>IFERROR(IF(U236="",0,CEILING((U236/$H236),1)*$H236),"")</f>
        <v>0</v>
      </c>
      <c r="W236" s="37" t="str">
        <f>IFERROR(IF(V236=0,"",ROUNDUP(V236/H236,0)*0.00753),"")</f>
        <v/>
      </c>
      <c r="X236" s="57"/>
      <c r="Y236" s="58"/>
      <c r="AC236" s="59"/>
      <c r="AZ236" s="192" t="s">
        <v>1</v>
      </c>
    </row>
    <row r="237" spans="1:52" x14ac:dyDescent="0.2">
      <c r="A237" s="389"/>
      <c r="B237" s="313"/>
      <c r="C237" s="313"/>
      <c r="D237" s="313"/>
      <c r="E237" s="313"/>
      <c r="F237" s="313"/>
      <c r="G237" s="313"/>
      <c r="H237" s="313"/>
      <c r="I237" s="313"/>
      <c r="J237" s="313"/>
      <c r="K237" s="313"/>
      <c r="L237" s="390"/>
      <c r="M237" s="388" t="s">
        <v>64</v>
      </c>
      <c r="N237" s="341"/>
      <c r="O237" s="341"/>
      <c r="P237" s="341"/>
      <c r="Q237" s="341"/>
      <c r="R237" s="341"/>
      <c r="S237" s="342"/>
      <c r="T237" s="38" t="s">
        <v>65</v>
      </c>
      <c r="U237" s="307">
        <f>IFERROR(U234/H234,"0")+IFERROR(U235/H235,"0")+IFERROR(U236/H236,"0")</f>
        <v>0</v>
      </c>
      <c r="V237" s="307">
        <f>IFERROR(V234/H234,"0")+IFERROR(V235/H235,"0")+IFERROR(V236/H236,"0")</f>
        <v>0</v>
      </c>
      <c r="W237" s="307">
        <f>IFERROR(IF(W234="",0,W234),"0")+IFERROR(IF(W235="",0,W235),"0")+IFERROR(IF(W236="",0,W236),"0")</f>
        <v>0</v>
      </c>
      <c r="X237" s="308"/>
      <c r="Y237" s="308"/>
    </row>
    <row r="238" spans="1:52" x14ac:dyDescent="0.2">
      <c r="A238" s="313"/>
      <c r="B238" s="313"/>
      <c r="C238" s="313"/>
      <c r="D238" s="313"/>
      <c r="E238" s="313"/>
      <c r="F238" s="313"/>
      <c r="G238" s="313"/>
      <c r="H238" s="313"/>
      <c r="I238" s="313"/>
      <c r="J238" s="313"/>
      <c r="K238" s="313"/>
      <c r="L238" s="390"/>
      <c r="M238" s="388" t="s">
        <v>64</v>
      </c>
      <c r="N238" s="341"/>
      <c r="O238" s="341"/>
      <c r="P238" s="341"/>
      <c r="Q238" s="341"/>
      <c r="R238" s="341"/>
      <c r="S238" s="342"/>
      <c r="T238" s="38" t="s">
        <v>63</v>
      </c>
      <c r="U238" s="307">
        <f>IFERROR(SUM(U234:U236),"0")</f>
        <v>0</v>
      </c>
      <c r="V238" s="307">
        <f>IFERROR(SUM(V234:V236),"0")</f>
        <v>0</v>
      </c>
      <c r="W238" s="38"/>
      <c r="X238" s="308"/>
      <c r="Y238" s="308"/>
    </row>
    <row r="239" spans="1:52" ht="14.25" customHeight="1" x14ac:dyDescent="0.25">
      <c r="A239" s="384" t="s">
        <v>363</v>
      </c>
      <c r="B239" s="313"/>
      <c r="C239" s="313"/>
      <c r="D239" s="313"/>
      <c r="E239" s="313"/>
      <c r="F239" s="313"/>
      <c r="G239" s="313"/>
      <c r="H239" s="313"/>
      <c r="I239" s="313"/>
      <c r="J239" s="313"/>
      <c r="K239" s="313"/>
      <c r="L239" s="313"/>
      <c r="M239" s="313"/>
      <c r="N239" s="313"/>
      <c r="O239" s="313"/>
      <c r="P239" s="313"/>
      <c r="Q239" s="313"/>
      <c r="R239" s="313"/>
      <c r="S239" s="313"/>
      <c r="T239" s="313"/>
      <c r="U239" s="313"/>
      <c r="V239" s="313"/>
      <c r="W239" s="313"/>
      <c r="X239" s="302"/>
      <c r="Y239" s="302"/>
    </row>
    <row r="240" spans="1:52" ht="16.5" customHeight="1" x14ac:dyDescent="0.25">
      <c r="A240" s="55" t="s">
        <v>364</v>
      </c>
      <c r="B240" s="55" t="s">
        <v>365</v>
      </c>
      <c r="C240" s="32">
        <v>4301180007</v>
      </c>
      <c r="D240" s="385">
        <v>4680115881808</v>
      </c>
      <c r="E240" s="329"/>
      <c r="F240" s="304">
        <v>0.1</v>
      </c>
      <c r="G240" s="33">
        <v>20</v>
      </c>
      <c r="H240" s="304">
        <v>2</v>
      </c>
      <c r="I240" s="304">
        <v>2.2400000000000002</v>
      </c>
      <c r="J240" s="33">
        <v>238</v>
      </c>
      <c r="K240" s="34" t="s">
        <v>366</v>
      </c>
      <c r="L240" s="33">
        <v>730</v>
      </c>
      <c r="M240" s="52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0" s="387"/>
      <c r="O240" s="387"/>
      <c r="P240" s="387"/>
      <c r="Q240" s="329"/>
      <c r="R240" s="35"/>
      <c r="S240" s="35"/>
      <c r="T240" s="36" t="s">
        <v>63</v>
      </c>
      <c r="U240" s="305">
        <v>0</v>
      </c>
      <c r="V240" s="306">
        <f>IFERROR(IF(U240="",0,CEILING((U240/$H240),1)*$H240),"")</f>
        <v>0</v>
      </c>
      <c r="W240" s="37" t="str">
        <f>IFERROR(IF(V240=0,"",ROUNDUP(V240/H240,0)*0.00474),"")</f>
        <v/>
      </c>
      <c r="X240" s="57"/>
      <c r="Y240" s="58"/>
      <c r="AC240" s="59"/>
      <c r="AZ240" s="193" t="s">
        <v>1</v>
      </c>
    </row>
    <row r="241" spans="1:52" ht="27" customHeight="1" x14ac:dyDescent="0.25">
      <c r="A241" s="55" t="s">
        <v>367</v>
      </c>
      <c r="B241" s="55" t="s">
        <v>368</v>
      </c>
      <c r="C241" s="32">
        <v>4301180006</v>
      </c>
      <c r="D241" s="385">
        <v>4680115881822</v>
      </c>
      <c r="E241" s="329"/>
      <c r="F241" s="304">
        <v>0.1</v>
      </c>
      <c r="G241" s="33">
        <v>20</v>
      </c>
      <c r="H241" s="304">
        <v>2</v>
      </c>
      <c r="I241" s="304">
        <v>2.2400000000000002</v>
      </c>
      <c r="J241" s="33">
        <v>238</v>
      </c>
      <c r="K241" s="34" t="s">
        <v>366</v>
      </c>
      <c r="L241" s="33">
        <v>730</v>
      </c>
      <c r="M241" s="52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1" s="387"/>
      <c r="O241" s="387"/>
      <c r="P241" s="387"/>
      <c r="Q241" s="329"/>
      <c r="R241" s="35"/>
      <c r="S241" s="35"/>
      <c r="T241" s="36" t="s">
        <v>63</v>
      </c>
      <c r="U241" s="305">
        <v>0</v>
      </c>
      <c r="V241" s="306">
        <f>IFERROR(IF(U241="",0,CEILING((U241/$H241),1)*$H241),"")</f>
        <v>0</v>
      </c>
      <c r="W241" s="37" t="str">
        <f>IFERROR(IF(V241=0,"",ROUNDUP(V241/H241,0)*0.00474),"")</f>
        <v/>
      </c>
      <c r="X241" s="57"/>
      <c r="Y241" s="58"/>
      <c r="AC241" s="59"/>
      <c r="AZ241" s="194" t="s">
        <v>1</v>
      </c>
    </row>
    <row r="242" spans="1:52" ht="27" customHeight="1" x14ac:dyDescent="0.25">
      <c r="A242" s="55" t="s">
        <v>369</v>
      </c>
      <c r="B242" s="55" t="s">
        <v>370</v>
      </c>
      <c r="C242" s="32">
        <v>4301180001</v>
      </c>
      <c r="D242" s="385">
        <v>4680115880016</v>
      </c>
      <c r="E242" s="329"/>
      <c r="F242" s="304">
        <v>0.1</v>
      </c>
      <c r="G242" s="33">
        <v>20</v>
      </c>
      <c r="H242" s="304">
        <v>2</v>
      </c>
      <c r="I242" s="304">
        <v>2.2400000000000002</v>
      </c>
      <c r="J242" s="33">
        <v>238</v>
      </c>
      <c r="K242" s="34" t="s">
        <v>366</v>
      </c>
      <c r="L242" s="33">
        <v>730</v>
      </c>
      <c r="M242" s="52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2" s="387"/>
      <c r="O242" s="387"/>
      <c r="P242" s="387"/>
      <c r="Q242" s="329"/>
      <c r="R242" s="35"/>
      <c r="S242" s="35"/>
      <c r="T242" s="36" t="s">
        <v>63</v>
      </c>
      <c r="U242" s="305">
        <v>0</v>
      </c>
      <c r="V242" s="306">
        <f>IFERROR(IF(U242="",0,CEILING((U242/$H242),1)*$H242),"")</f>
        <v>0</v>
      </c>
      <c r="W242" s="37" t="str">
        <f>IFERROR(IF(V242=0,"",ROUNDUP(V242/H242,0)*0.00474),"")</f>
        <v/>
      </c>
      <c r="X242" s="57"/>
      <c r="Y242" s="58"/>
      <c r="AC242" s="59"/>
      <c r="AZ242" s="195" t="s">
        <v>1</v>
      </c>
    </row>
    <row r="243" spans="1:52" x14ac:dyDescent="0.2">
      <c r="A243" s="389"/>
      <c r="B243" s="313"/>
      <c r="C243" s="313"/>
      <c r="D243" s="313"/>
      <c r="E243" s="313"/>
      <c r="F243" s="313"/>
      <c r="G243" s="313"/>
      <c r="H243" s="313"/>
      <c r="I243" s="313"/>
      <c r="J243" s="313"/>
      <c r="K243" s="313"/>
      <c r="L243" s="390"/>
      <c r="M243" s="388" t="s">
        <v>64</v>
      </c>
      <c r="N243" s="341"/>
      <c r="O243" s="341"/>
      <c r="P243" s="341"/>
      <c r="Q243" s="341"/>
      <c r="R243" s="341"/>
      <c r="S243" s="342"/>
      <c r="T243" s="38" t="s">
        <v>65</v>
      </c>
      <c r="U243" s="307">
        <f>IFERROR(U240/H240,"0")+IFERROR(U241/H241,"0")+IFERROR(U242/H242,"0")</f>
        <v>0</v>
      </c>
      <c r="V243" s="307">
        <f>IFERROR(V240/H240,"0")+IFERROR(V241/H241,"0")+IFERROR(V242/H242,"0")</f>
        <v>0</v>
      </c>
      <c r="W243" s="307">
        <f>IFERROR(IF(W240="",0,W240),"0")+IFERROR(IF(W241="",0,W241),"0")+IFERROR(IF(W242="",0,W242),"0")</f>
        <v>0</v>
      </c>
      <c r="X243" s="308"/>
      <c r="Y243" s="308"/>
    </row>
    <row r="244" spans="1:52" x14ac:dyDescent="0.2">
      <c r="A244" s="313"/>
      <c r="B244" s="313"/>
      <c r="C244" s="313"/>
      <c r="D244" s="313"/>
      <c r="E244" s="313"/>
      <c r="F244" s="313"/>
      <c r="G244" s="313"/>
      <c r="H244" s="313"/>
      <c r="I244" s="313"/>
      <c r="J244" s="313"/>
      <c r="K244" s="313"/>
      <c r="L244" s="390"/>
      <c r="M244" s="388" t="s">
        <v>64</v>
      </c>
      <c r="N244" s="341"/>
      <c r="O244" s="341"/>
      <c r="P244" s="341"/>
      <c r="Q244" s="341"/>
      <c r="R244" s="341"/>
      <c r="S244" s="342"/>
      <c r="T244" s="38" t="s">
        <v>63</v>
      </c>
      <c r="U244" s="307">
        <f>IFERROR(SUM(U240:U242),"0")</f>
        <v>0</v>
      </c>
      <c r="V244" s="307">
        <f>IFERROR(SUM(V240:V242),"0")</f>
        <v>0</v>
      </c>
      <c r="W244" s="38"/>
      <c r="X244" s="308"/>
      <c r="Y244" s="308"/>
    </row>
    <row r="245" spans="1:52" ht="16.5" customHeight="1" x14ac:dyDescent="0.25">
      <c r="A245" s="383" t="s">
        <v>371</v>
      </c>
      <c r="B245" s="313"/>
      <c r="C245" s="313"/>
      <c r="D245" s="313"/>
      <c r="E245" s="313"/>
      <c r="F245" s="313"/>
      <c r="G245" s="313"/>
      <c r="H245" s="313"/>
      <c r="I245" s="313"/>
      <c r="J245" s="313"/>
      <c r="K245" s="313"/>
      <c r="L245" s="313"/>
      <c r="M245" s="313"/>
      <c r="N245" s="313"/>
      <c r="O245" s="313"/>
      <c r="P245" s="313"/>
      <c r="Q245" s="313"/>
      <c r="R245" s="313"/>
      <c r="S245" s="313"/>
      <c r="T245" s="313"/>
      <c r="U245" s="313"/>
      <c r="V245" s="313"/>
      <c r="W245" s="313"/>
      <c r="X245" s="301"/>
      <c r="Y245" s="301"/>
    </row>
    <row r="246" spans="1:52" ht="14.25" customHeight="1" x14ac:dyDescent="0.25">
      <c r="A246" s="384" t="s">
        <v>100</v>
      </c>
      <c r="B246" s="313"/>
      <c r="C246" s="313"/>
      <c r="D246" s="313"/>
      <c r="E246" s="313"/>
      <c r="F246" s="313"/>
      <c r="G246" s="313"/>
      <c r="H246" s="313"/>
      <c r="I246" s="313"/>
      <c r="J246" s="313"/>
      <c r="K246" s="313"/>
      <c r="L246" s="313"/>
      <c r="M246" s="313"/>
      <c r="N246" s="313"/>
      <c r="O246" s="313"/>
      <c r="P246" s="313"/>
      <c r="Q246" s="313"/>
      <c r="R246" s="313"/>
      <c r="S246" s="313"/>
      <c r="T246" s="313"/>
      <c r="U246" s="313"/>
      <c r="V246" s="313"/>
      <c r="W246" s="313"/>
      <c r="X246" s="302"/>
      <c r="Y246" s="302"/>
    </row>
    <row r="247" spans="1:52" ht="27" customHeight="1" x14ac:dyDescent="0.25">
      <c r="A247" s="55" t="s">
        <v>372</v>
      </c>
      <c r="B247" s="55" t="s">
        <v>373</v>
      </c>
      <c r="C247" s="32">
        <v>4301011315</v>
      </c>
      <c r="D247" s="385">
        <v>4607091387421</v>
      </c>
      <c r="E247" s="329"/>
      <c r="F247" s="304">
        <v>1.35</v>
      </c>
      <c r="G247" s="33">
        <v>8</v>
      </c>
      <c r="H247" s="304">
        <v>10.8</v>
      </c>
      <c r="I247" s="304">
        <v>11.28</v>
      </c>
      <c r="J247" s="33">
        <v>56</v>
      </c>
      <c r="K247" s="34" t="s">
        <v>96</v>
      </c>
      <c r="L247" s="33">
        <v>55</v>
      </c>
      <c r="M247" s="526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7" s="387"/>
      <c r="O247" s="387"/>
      <c r="P247" s="387"/>
      <c r="Q247" s="329"/>
      <c r="R247" s="35"/>
      <c r="S247" s="35"/>
      <c r="T247" s="36" t="s">
        <v>63</v>
      </c>
      <c r="U247" s="305">
        <v>0</v>
      </c>
      <c r="V247" s="306">
        <f t="shared" ref="V247:V253" si="13">IFERROR(IF(U247="",0,CEILING((U247/$H247),1)*$H247),"")</f>
        <v>0</v>
      </c>
      <c r="W247" s="37" t="str">
        <f>IFERROR(IF(V247=0,"",ROUNDUP(V247/H247,0)*0.02175),"")</f>
        <v/>
      </c>
      <c r="X247" s="57"/>
      <c r="Y247" s="58"/>
      <c r="AC247" s="59"/>
      <c r="AZ247" s="196" t="s">
        <v>1</v>
      </c>
    </row>
    <row r="248" spans="1:52" ht="27" customHeight="1" x14ac:dyDescent="0.25">
      <c r="A248" s="55" t="s">
        <v>372</v>
      </c>
      <c r="B248" s="55" t="s">
        <v>374</v>
      </c>
      <c r="C248" s="32">
        <v>4301011121</v>
      </c>
      <c r="D248" s="385">
        <v>4607091387421</v>
      </c>
      <c r="E248" s="329"/>
      <c r="F248" s="304">
        <v>1.35</v>
      </c>
      <c r="G248" s="33">
        <v>8</v>
      </c>
      <c r="H248" s="304">
        <v>10.8</v>
      </c>
      <c r="I248" s="304">
        <v>11.28</v>
      </c>
      <c r="J248" s="33">
        <v>48</v>
      </c>
      <c r="K248" s="34" t="s">
        <v>300</v>
      </c>
      <c r="L248" s="33">
        <v>55</v>
      </c>
      <c r="M248" s="527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8" s="387"/>
      <c r="O248" s="387"/>
      <c r="P248" s="387"/>
      <c r="Q248" s="329"/>
      <c r="R248" s="35"/>
      <c r="S248" s="35"/>
      <c r="T248" s="36" t="s">
        <v>63</v>
      </c>
      <c r="U248" s="305">
        <v>0</v>
      </c>
      <c r="V248" s="306">
        <f t="shared" si="13"/>
        <v>0</v>
      </c>
      <c r="W248" s="37" t="str">
        <f>IFERROR(IF(V248=0,"",ROUNDUP(V248/H248,0)*0.02039),"")</f>
        <v/>
      </c>
      <c r="X248" s="57"/>
      <c r="Y248" s="58"/>
      <c r="AC248" s="59"/>
      <c r="AZ248" s="197" t="s">
        <v>1</v>
      </c>
    </row>
    <row r="249" spans="1:52" ht="27" customHeight="1" x14ac:dyDescent="0.25">
      <c r="A249" s="55" t="s">
        <v>375</v>
      </c>
      <c r="B249" s="55" t="s">
        <v>376</v>
      </c>
      <c r="C249" s="32">
        <v>4301011396</v>
      </c>
      <c r="D249" s="385">
        <v>4607091387452</v>
      </c>
      <c r="E249" s="329"/>
      <c r="F249" s="304">
        <v>1.35</v>
      </c>
      <c r="G249" s="33">
        <v>8</v>
      </c>
      <c r="H249" s="304">
        <v>10.8</v>
      </c>
      <c r="I249" s="304">
        <v>11.28</v>
      </c>
      <c r="J249" s="33">
        <v>48</v>
      </c>
      <c r="K249" s="34" t="s">
        <v>300</v>
      </c>
      <c r="L249" s="33">
        <v>55</v>
      </c>
      <c r="M249" s="528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49" s="387"/>
      <c r="O249" s="387"/>
      <c r="P249" s="387"/>
      <c r="Q249" s="329"/>
      <c r="R249" s="35"/>
      <c r="S249" s="35"/>
      <c r="T249" s="36" t="s">
        <v>63</v>
      </c>
      <c r="U249" s="305">
        <v>0</v>
      </c>
      <c r="V249" s="306">
        <f t="shared" si="13"/>
        <v>0</v>
      </c>
      <c r="W249" s="37" t="str">
        <f>IFERROR(IF(V249=0,"",ROUNDUP(V249/H249,0)*0.02039),"")</f>
        <v/>
      </c>
      <c r="X249" s="57"/>
      <c r="Y249" s="58"/>
      <c r="AC249" s="59"/>
      <c r="AZ249" s="198" t="s">
        <v>1</v>
      </c>
    </row>
    <row r="250" spans="1:52" ht="27" customHeight="1" x14ac:dyDescent="0.25">
      <c r="A250" s="55" t="s">
        <v>375</v>
      </c>
      <c r="B250" s="55" t="s">
        <v>377</v>
      </c>
      <c r="C250" s="32">
        <v>4301011322</v>
      </c>
      <c r="D250" s="385">
        <v>4607091387452</v>
      </c>
      <c r="E250" s="329"/>
      <c r="F250" s="304">
        <v>1.35</v>
      </c>
      <c r="G250" s="33">
        <v>8</v>
      </c>
      <c r="H250" s="304">
        <v>10.8</v>
      </c>
      <c r="I250" s="304">
        <v>11.28</v>
      </c>
      <c r="J250" s="33">
        <v>56</v>
      </c>
      <c r="K250" s="34" t="s">
        <v>123</v>
      </c>
      <c r="L250" s="33">
        <v>55</v>
      </c>
      <c r="M250" s="529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0" s="387"/>
      <c r="O250" s="387"/>
      <c r="P250" s="387"/>
      <c r="Q250" s="329"/>
      <c r="R250" s="35"/>
      <c r="S250" s="35"/>
      <c r="T250" s="36" t="s">
        <v>63</v>
      </c>
      <c r="U250" s="305">
        <v>0</v>
      </c>
      <c r="V250" s="306">
        <f t="shared" si="13"/>
        <v>0</v>
      </c>
      <c r="W250" s="37" t="str">
        <f>IFERROR(IF(V250=0,"",ROUNDUP(V250/H250,0)*0.02175),"")</f>
        <v/>
      </c>
      <c r="X250" s="57"/>
      <c r="Y250" s="58"/>
      <c r="AC250" s="59"/>
      <c r="AZ250" s="199" t="s">
        <v>1</v>
      </c>
    </row>
    <row r="251" spans="1:52" ht="27" customHeight="1" x14ac:dyDescent="0.25">
      <c r="A251" s="55" t="s">
        <v>378</v>
      </c>
      <c r="B251" s="55" t="s">
        <v>379</v>
      </c>
      <c r="C251" s="32">
        <v>4301011313</v>
      </c>
      <c r="D251" s="385">
        <v>4607091385984</v>
      </c>
      <c r="E251" s="329"/>
      <c r="F251" s="304">
        <v>1.35</v>
      </c>
      <c r="G251" s="33">
        <v>8</v>
      </c>
      <c r="H251" s="304">
        <v>10.8</v>
      </c>
      <c r="I251" s="304">
        <v>11.28</v>
      </c>
      <c r="J251" s="33">
        <v>56</v>
      </c>
      <c r="K251" s="34" t="s">
        <v>96</v>
      </c>
      <c r="L251" s="33">
        <v>55</v>
      </c>
      <c r="M251" s="530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1" s="387"/>
      <c r="O251" s="387"/>
      <c r="P251" s="387"/>
      <c r="Q251" s="329"/>
      <c r="R251" s="35"/>
      <c r="S251" s="35"/>
      <c r="T251" s="36" t="s">
        <v>63</v>
      </c>
      <c r="U251" s="305">
        <v>0</v>
      </c>
      <c r="V251" s="306">
        <f t="shared" si="13"/>
        <v>0</v>
      </c>
      <c r="W251" s="37" t="str">
        <f>IFERROR(IF(V251=0,"",ROUNDUP(V251/H251,0)*0.02175),"")</f>
        <v/>
      </c>
      <c r="X251" s="57"/>
      <c r="Y251" s="58"/>
      <c r="AC251" s="59"/>
      <c r="AZ251" s="200" t="s">
        <v>1</v>
      </c>
    </row>
    <row r="252" spans="1:52" ht="27" customHeight="1" x14ac:dyDescent="0.25">
      <c r="A252" s="55" t="s">
        <v>380</v>
      </c>
      <c r="B252" s="55" t="s">
        <v>381</v>
      </c>
      <c r="C252" s="32">
        <v>4301011316</v>
      </c>
      <c r="D252" s="385">
        <v>4607091387438</v>
      </c>
      <c r="E252" s="329"/>
      <c r="F252" s="304">
        <v>0.5</v>
      </c>
      <c r="G252" s="33">
        <v>10</v>
      </c>
      <c r="H252" s="304">
        <v>5</v>
      </c>
      <c r="I252" s="304">
        <v>5.24</v>
      </c>
      <c r="J252" s="33">
        <v>120</v>
      </c>
      <c r="K252" s="34" t="s">
        <v>96</v>
      </c>
      <c r="L252" s="33">
        <v>55</v>
      </c>
      <c r="M252" s="531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2" s="387"/>
      <c r="O252" s="387"/>
      <c r="P252" s="387"/>
      <c r="Q252" s="329"/>
      <c r="R252" s="35"/>
      <c r="S252" s="35"/>
      <c r="T252" s="36" t="s">
        <v>63</v>
      </c>
      <c r="U252" s="305">
        <v>10</v>
      </c>
      <c r="V252" s="306">
        <f t="shared" si="13"/>
        <v>10</v>
      </c>
      <c r="W252" s="37">
        <f>IFERROR(IF(V252=0,"",ROUNDUP(V252/H252,0)*0.00937),"")</f>
        <v>1.874E-2</v>
      </c>
      <c r="X252" s="57"/>
      <c r="Y252" s="58"/>
      <c r="AC252" s="59"/>
      <c r="AZ252" s="201" t="s">
        <v>1</v>
      </c>
    </row>
    <row r="253" spans="1:52" ht="27" customHeight="1" x14ac:dyDescent="0.25">
      <c r="A253" s="55" t="s">
        <v>382</v>
      </c>
      <c r="B253" s="55" t="s">
        <v>383</v>
      </c>
      <c r="C253" s="32">
        <v>4301011318</v>
      </c>
      <c r="D253" s="385">
        <v>4607091387469</v>
      </c>
      <c r="E253" s="329"/>
      <c r="F253" s="304">
        <v>0.5</v>
      </c>
      <c r="G253" s="33">
        <v>10</v>
      </c>
      <c r="H253" s="304">
        <v>5</v>
      </c>
      <c r="I253" s="304">
        <v>5.21</v>
      </c>
      <c r="J253" s="33">
        <v>120</v>
      </c>
      <c r="K253" s="34" t="s">
        <v>62</v>
      </c>
      <c r="L253" s="33">
        <v>55</v>
      </c>
      <c r="M253" s="532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53" s="387"/>
      <c r="O253" s="387"/>
      <c r="P253" s="387"/>
      <c r="Q253" s="329"/>
      <c r="R253" s="35"/>
      <c r="S253" s="35"/>
      <c r="T253" s="36" t="s">
        <v>63</v>
      </c>
      <c r="U253" s="305">
        <v>0</v>
      </c>
      <c r="V253" s="306">
        <f t="shared" si="13"/>
        <v>0</v>
      </c>
      <c r="W253" s="37" t="str">
        <f>IFERROR(IF(V253=0,"",ROUNDUP(V253/H253,0)*0.00937),"")</f>
        <v/>
      </c>
      <c r="X253" s="57"/>
      <c r="Y253" s="58"/>
      <c r="AC253" s="59"/>
      <c r="AZ253" s="202" t="s">
        <v>1</v>
      </c>
    </row>
    <row r="254" spans="1:52" x14ac:dyDescent="0.2">
      <c r="A254" s="389"/>
      <c r="B254" s="313"/>
      <c r="C254" s="313"/>
      <c r="D254" s="313"/>
      <c r="E254" s="313"/>
      <c r="F254" s="313"/>
      <c r="G254" s="313"/>
      <c r="H254" s="313"/>
      <c r="I254" s="313"/>
      <c r="J254" s="313"/>
      <c r="K254" s="313"/>
      <c r="L254" s="390"/>
      <c r="M254" s="388" t="s">
        <v>64</v>
      </c>
      <c r="N254" s="341"/>
      <c r="O254" s="341"/>
      <c r="P254" s="341"/>
      <c r="Q254" s="341"/>
      <c r="R254" s="341"/>
      <c r="S254" s="342"/>
      <c r="T254" s="38" t="s">
        <v>65</v>
      </c>
      <c r="U254" s="307">
        <f>IFERROR(U247/H247,"0")+IFERROR(U248/H248,"0")+IFERROR(U249/H249,"0")+IFERROR(U250/H250,"0")+IFERROR(U251/H251,"0")+IFERROR(U252/H252,"0")+IFERROR(U253/H253,"0")</f>
        <v>2</v>
      </c>
      <c r="V254" s="307">
        <f>IFERROR(V247/H247,"0")+IFERROR(V248/H248,"0")+IFERROR(V249/H249,"0")+IFERROR(V250/H250,"0")+IFERROR(V251/H251,"0")+IFERROR(V252/H252,"0")+IFERROR(V253/H253,"0")</f>
        <v>2</v>
      </c>
      <c r="W254" s="307">
        <f>IFERROR(IF(W247="",0,W247),"0")+IFERROR(IF(W248="",0,W248),"0")+IFERROR(IF(W249="",0,W249),"0")+IFERROR(IF(W250="",0,W250),"0")+IFERROR(IF(W251="",0,W251),"0")+IFERROR(IF(W252="",0,W252),"0")+IFERROR(IF(W253="",0,W253),"0")</f>
        <v>1.874E-2</v>
      </c>
      <c r="X254" s="308"/>
      <c r="Y254" s="308"/>
    </row>
    <row r="255" spans="1:52" x14ac:dyDescent="0.2">
      <c r="A255" s="313"/>
      <c r="B255" s="313"/>
      <c r="C255" s="313"/>
      <c r="D255" s="313"/>
      <c r="E255" s="313"/>
      <c r="F255" s="313"/>
      <c r="G255" s="313"/>
      <c r="H255" s="313"/>
      <c r="I255" s="313"/>
      <c r="J255" s="313"/>
      <c r="K255" s="313"/>
      <c r="L255" s="390"/>
      <c r="M255" s="388" t="s">
        <v>64</v>
      </c>
      <c r="N255" s="341"/>
      <c r="O255" s="341"/>
      <c r="P255" s="341"/>
      <c r="Q255" s="341"/>
      <c r="R255" s="341"/>
      <c r="S255" s="342"/>
      <c r="T255" s="38" t="s">
        <v>63</v>
      </c>
      <c r="U255" s="307">
        <f>IFERROR(SUM(U247:U253),"0")</f>
        <v>10</v>
      </c>
      <c r="V255" s="307">
        <f>IFERROR(SUM(V247:V253),"0")</f>
        <v>10</v>
      </c>
      <c r="W255" s="38"/>
      <c r="X255" s="308"/>
      <c r="Y255" s="308"/>
    </row>
    <row r="256" spans="1:52" ht="14.25" customHeight="1" x14ac:dyDescent="0.25">
      <c r="A256" s="384" t="s">
        <v>59</v>
      </c>
      <c r="B256" s="313"/>
      <c r="C256" s="313"/>
      <c r="D256" s="313"/>
      <c r="E256" s="313"/>
      <c r="F256" s="313"/>
      <c r="G256" s="313"/>
      <c r="H256" s="313"/>
      <c r="I256" s="313"/>
      <c r="J256" s="313"/>
      <c r="K256" s="313"/>
      <c r="L256" s="313"/>
      <c r="M256" s="313"/>
      <c r="N256" s="313"/>
      <c r="O256" s="313"/>
      <c r="P256" s="313"/>
      <c r="Q256" s="313"/>
      <c r="R256" s="313"/>
      <c r="S256" s="313"/>
      <c r="T256" s="313"/>
      <c r="U256" s="313"/>
      <c r="V256" s="313"/>
      <c r="W256" s="313"/>
      <c r="X256" s="302"/>
      <c r="Y256" s="302"/>
    </row>
    <row r="257" spans="1:52" ht="27" customHeight="1" x14ac:dyDescent="0.25">
      <c r="A257" s="55" t="s">
        <v>384</v>
      </c>
      <c r="B257" s="55" t="s">
        <v>385</v>
      </c>
      <c r="C257" s="32">
        <v>4301031154</v>
      </c>
      <c r="D257" s="385">
        <v>4607091387292</v>
      </c>
      <c r="E257" s="329"/>
      <c r="F257" s="304">
        <v>0.73</v>
      </c>
      <c r="G257" s="33">
        <v>6</v>
      </c>
      <c r="H257" s="304">
        <v>4.38</v>
      </c>
      <c r="I257" s="304">
        <v>4.6399999999999997</v>
      </c>
      <c r="J257" s="33">
        <v>156</v>
      </c>
      <c r="K257" s="34" t="s">
        <v>62</v>
      </c>
      <c r="L257" s="33">
        <v>45</v>
      </c>
      <c r="M257" s="53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57" s="387"/>
      <c r="O257" s="387"/>
      <c r="P257" s="387"/>
      <c r="Q257" s="329"/>
      <c r="R257" s="35"/>
      <c r="S257" s="35"/>
      <c r="T257" s="36" t="s">
        <v>63</v>
      </c>
      <c r="U257" s="305">
        <v>30</v>
      </c>
      <c r="V257" s="306">
        <f>IFERROR(IF(U257="",0,CEILING((U257/$H257),1)*$H257),"")</f>
        <v>30.66</v>
      </c>
      <c r="W257" s="37">
        <f>IFERROR(IF(V257=0,"",ROUNDUP(V257/H257,0)*0.00753),"")</f>
        <v>5.271E-2</v>
      </c>
      <c r="X257" s="57"/>
      <c r="Y257" s="58"/>
      <c r="AC257" s="59"/>
      <c r="AZ257" s="203" t="s">
        <v>1</v>
      </c>
    </row>
    <row r="258" spans="1:52" ht="27" customHeight="1" x14ac:dyDescent="0.25">
      <c r="A258" s="55" t="s">
        <v>386</v>
      </c>
      <c r="B258" s="55" t="s">
        <v>387</v>
      </c>
      <c r="C258" s="32">
        <v>4301031155</v>
      </c>
      <c r="D258" s="385">
        <v>4607091387315</v>
      </c>
      <c r="E258" s="329"/>
      <c r="F258" s="304">
        <v>0.7</v>
      </c>
      <c r="G258" s="33">
        <v>4</v>
      </c>
      <c r="H258" s="304">
        <v>2.8</v>
      </c>
      <c r="I258" s="304">
        <v>3.048</v>
      </c>
      <c r="J258" s="33">
        <v>156</v>
      </c>
      <c r="K258" s="34" t="s">
        <v>62</v>
      </c>
      <c r="L258" s="33">
        <v>45</v>
      </c>
      <c r="M258" s="534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58" s="387"/>
      <c r="O258" s="387"/>
      <c r="P258" s="387"/>
      <c r="Q258" s="329"/>
      <c r="R258" s="35"/>
      <c r="S258" s="35"/>
      <c r="T258" s="36" t="s">
        <v>63</v>
      </c>
      <c r="U258" s="305">
        <v>0</v>
      </c>
      <c r="V258" s="306">
        <f>IFERROR(IF(U258="",0,CEILING((U258/$H258),1)*$H258),"")</f>
        <v>0</v>
      </c>
      <c r="W258" s="37" t="str">
        <f>IFERROR(IF(V258=0,"",ROUNDUP(V258/H258,0)*0.00753),"")</f>
        <v/>
      </c>
      <c r="X258" s="57"/>
      <c r="Y258" s="58"/>
      <c r="AC258" s="59"/>
      <c r="AZ258" s="204" t="s">
        <v>1</v>
      </c>
    </row>
    <row r="259" spans="1:52" x14ac:dyDescent="0.2">
      <c r="A259" s="389"/>
      <c r="B259" s="313"/>
      <c r="C259" s="313"/>
      <c r="D259" s="313"/>
      <c r="E259" s="313"/>
      <c r="F259" s="313"/>
      <c r="G259" s="313"/>
      <c r="H259" s="313"/>
      <c r="I259" s="313"/>
      <c r="J259" s="313"/>
      <c r="K259" s="313"/>
      <c r="L259" s="390"/>
      <c r="M259" s="388" t="s">
        <v>64</v>
      </c>
      <c r="N259" s="341"/>
      <c r="O259" s="341"/>
      <c r="P259" s="341"/>
      <c r="Q259" s="341"/>
      <c r="R259" s="341"/>
      <c r="S259" s="342"/>
      <c r="T259" s="38" t="s">
        <v>65</v>
      </c>
      <c r="U259" s="307">
        <f>IFERROR(U257/H257,"0")+IFERROR(U258/H258,"0")</f>
        <v>6.8493150684931505</v>
      </c>
      <c r="V259" s="307">
        <f>IFERROR(V257/H257,"0")+IFERROR(V258/H258,"0")</f>
        <v>7</v>
      </c>
      <c r="W259" s="307">
        <f>IFERROR(IF(W257="",0,W257),"0")+IFERROR(IF(W258="",0,W258),"0")</f>
        <v>5.271E-2</v>
      </c>
      <c r="X259" s="308"/>
      <c r="Y259" s="308"/>
    </row>
    <row r="260" spans="1:52" x14ac:dyDescent="0.2">
      <c r="A260" s="313"/>
      <c r="B260" s="313"/>
      <c r="C260" s="313"/>
      <c r="D260" s="313"/>
      <c r="E260" s="313"/>
      <c r="F260" s="313"/>
      <c r="G260" s="313"/>
      <c r="H260" s="313"/>
      <c r="I260" s="313"/>
      <c r="J260" s="313"/>
      <c r="K260" s="313"/>
      <c r="L260" s="390"/>
      <c r="M260" s="388" t="s">
        <v>64</v>
      </c>
      <c r="N260" s="341"/>
      <c r="O260" s="341"/>
      <c r="P260" s="341"/>
      <c r="Q260" s="341"/>
      <c r="R260" s="341"/>
      <c r="S260" s="342"/>
      <c r="T260" s="38" t="s">
        <v>63</v>
      </c>
      <c r="U260" s="307">
        <f>IFERROR(SUM(U257:U258),"0")</f>
        <v>30</v>
      </c>
      <c r="V260" s="307">
        <f>IFERROR(SUM(V257:V258),"0")</f>
        <v>30.66</v>
      </c>
      <c r="W260" s="38"/>
      <c r="X260" s="308"/>
      <c r="Y260" s="308"/>
    </row>
    <row r="261" spans="1:52" ht="16.5" customHeight="1" x14ac:dyDescent="0.25">
      <c r="A261" s="383" t="s">
        <v>388</v>
      </c>
      <c r="B261" s="313"/>
      <c r="C261" s="313"/>
      <c r="D261" s="313"/>
      <c r="E261" s="313"/>
      <c r="F261" s="313"/>
      <c r="G261" s="313"/>
      <c r="H261" s="313"/>
      <c r="I261" s="313"/>
      <c r="J261" s="313"/>
      <c r="K261" s="313"/>
      <c r="L261" s="313"/>
      <c r="M261" s="313"/>
      <c r="N261" s="313"/>
      <c r="O261" s="313"/>
      <c r="P261" s="313"/>
      <c r="Q261" s="313"/>
      <c r="R261" s="313"/>
      <c r="S261" s="313"/>
      <c r="T261" s="313"/>
      <c r="U261" s="313"/>
      <c r="V261" s="313"/>
      <c r="W261" s="313"/>
      <c r="X261" s="301"/>
      <c r="Y261" s="301"/>
    </row>
    <row r="262" spans="1:52" ht="14.25" customHeight="1" x14ac:dyDescent="0.25">
      <c r="A262" s="384" t="s">
        <v>59</v>
      </c>
      <c r="B262" s="313"/>
      <c r="C262" s="313"/>
      <c r="D262" s="313"/>
      <c r="E262" s="313"/>
      <c r="F262" s="313"/>
      <c r="G262" s="313"/>
      <c r="H262" s="313"/>
      <c r="I262" s="313"/>
      <c r="J262" s="313"/>
      <c r="K262" s="313"/>
      <c r="L262" s="313"/>
      <c r="M262" s="313"/>
      <c r="N262" s="313"/>
      <c r="O262" s="313"/>
      <c r="P262" s="313"/>
      <c r="Q262" s="313"/>
      <c r="R262" s="313"/>
      <c r="S262" s="313"/>
      <c r="T262" s="313"/>
      <c r="U262" s="313"/>
      <c r="V262" s="313"/>
      <c r="W262" s="313"/>
      <c r="X262" s="302"/>
      <c r="Y262" s="302"/>
    </row>
    <row r="263" spans="1:52" ht="37.5" customHeight="1" x14ac:dyDescent="0.25">
      <c r="A263" s="55" t="s">
        <v>389</v>
      </c>
      <c r="B263" s="55" t="s">
        <v>390</v>
      </c>
      <c r="C263" s="32">
        <v>4301030368</v>
      </c>
      <c r="D263" s="385">
        <v>4607091383232</v>
      </c>
      <c r="E263" s="329"/>
      <c r="F263" s="304">
        <v>0.28000000000000003</v>
      </c>
      <c r="G263" s="33">
        <v>6</v>
      </c>
      <c r="H263" s="304">
        <v>1.68</v>
      </c>
      <c r="I263" s="304">
        <v>2.6</v>
      </c>
      <c r="J263" s="33">
        <v>156</v>
      </c>
      <c r="K263" s="34" t="s">
        <v>62</v>
      </c>
      <c r="L263" s="33">
        <v>35</v>
      </c>
      <c r="M263" s="535" t="str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>П/к колбасы Баварские копченые Бавария Фикс.вес 0,28 NDX мгс Стародворье</v>
      </c>
      <c r="N263" s="387"/>
      <c r="O263" s="387"/>
      <c r="P263" s="387"/>
      <c r="Q263" s="329"/>
      <c r="R263" s="35"/>
      <c r="S263" s="35"/>
      <c r="T263" s="36" t="s">
        <v>63</v>
      </c>
      <c r="U263" s="305">
        <v>0</v>
      </c>
      <c r="V263" s="306">
        <f>IFERROR(IF(U263="",0,CEILING((U263/$H263),1)*$H263),"")</f>
        <v>0</v>
      </c>
      <c r="W263" s="37" t="str">
        <f>IFERROR(IF(V263=0,"",ROUNDUP(V263/H263,0)*0.00753),"")</f>
        <v/>
      </c>
      <c r="X263" s="57"/>
      <c r="Y263" s="58"/>
      <c r="AC263" s="59"/>
      <c r="AZ263" s="205" t="s">
        <v>1</v>
      </c>
    </row>
    <row r="264" spans="1:52" ht="27" customHeight="1" x14ac:dyDescent="0.25">
      <c r="A264" s="55" t="s">
        <v>391</v>
      </c>
      <c r="B264" s="55" t="s">
        <v>392</v>
      </c>
      <c r="C264" s="32">
        <v>4301031066</v>
      </c>
      <c r="D264" s="385">
        <v>4607091383836</v>
      </c>
      <c r="E264" s="329"/>
      <c r="F264" s="304">
        <v>0.3</v>
      </c>
      <c r="G264" s="33">
        <v>6</v>
      </c>
      <c r="H264" s="304">
        <v>1.8</v>
      </c>
      <c r="I264" s="304">
        <v>2.048</v>
      </c>
      <c r="J264" s="33">
        <v>156</v>
      </c>
      <c r="K264" s="34" t="s">
        <v>62</v>
      </c>
      <c r="L264" s="33">
        <v>40</v>
      </c>
      <c r="M264" s="53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64" s="387"/>
      <c r="O264" s="387"/>
      <c r="P264" s="387"/>
      <c r="Q264" s="329"/>
      <c r="R264" s="35"/>
      <c r="S264" s="35"/>
      <c r="T264" s="36" t="s">
        <v>63</v>
      </c>
      <c r="U264" s="305">
        <v>0</v>
      </c>
      <c r="V264" s="306">
        <f>IFERROR(IF(U264="",0,CEILING((U264/$H264),1)*$H264),"")</f>
        <v>0</v>
      </c>
      <c r="W264" s="37" t="str">
        <f>IFERROR(IF(V264=0,"",ROUNDUP(V264/H264,0)*0.00753),"")</f>
        <v/>
      </c>
      <c r="X264" s="57"/>
      <c r="Y264" s="58"/>
      <c r="AC264" s="59"/>
      <c r="AZ264" s="206" t="s">
        <v>1</v>
      </c>
    </row>
    <row r="265" spans="1:52" x14ac:dyDescent="0.2">
      <c r="A265" s="389"/>
      <c r="B265" s="313"/>
      <c r="C265" s="313"/>
      <c r="D265" s="313"/>
      <c r="E265" s="313"/>
      <c r="F265" s="313"/>
      <c r="G265" s="313"/>
      <c r="H265" s="313"/>
      <c r="I265" s="313"/>
      <c r="J265" s="313"/>
      <c r="K265" s="313"/>
      <c r="L265" s="390"/>
      <c r="M265" s="388" t="s">
        <v>64</v>
      </c>
      <c r="N265" s="341"/>
      <c r="O265" s="341"/>
      <c r="P265" s="341"/>
      <c r="Q265" s="341"/>
      <c r="R265" s="341"/>
      <c r="S265" s="342"/>
      <c r="T265" s="38" t="s">
        <v>65</v>
      </c>
      <c r="U265" s="307">
        <f>IFERROR(U263/H263,"0")+IFERROR(U264/H264,"0")</f>
        <v>0</v>
      </c>
      <c r="V265" s="307">
        <f>IFERROR(V263/H263,"0")+IFERROR(V264/H264,"0")</f>
        <v>0</v>
      </c>
      <c r="W265" s="307">
        <f>IFERROR(IF(W263="",0,W263),"0")+IFERROR(IF(W264="",0,W264),"0")</f>
        <v>0</v>
      </c>
      <c r="X265" s="308"/>
      <c r="Y265" s="308"/>
    </row>
    <row r="266" spans="1:52" x14ac:dyDescent="0.2">
      <c r="A266" s="313"/>
      <c r="B266" s="313"/>
      <c r="C266" s="313"/>
      <c r="D266" s="313"/>
      <c r="E266" s="313"/>
      <c r="F266" s="313"/>
      <c r="G266" s="313"/>
      <c r="H266" s="313"/>
      <c r="I266" s="313"/>
      <c r="J266" s="313"/>
      <c r="K266" s="313"/>
      <c r="L266" s="390"/>
      <c r="M266" s="388" t="s">
        <v>64</v>
      </c>
      <c r="N266" s="341"/>
      <c r="O266" s="341"/>
      <c r="P266" s="341"/>
      <c r="Q266" s="341"/>
      <c r="R266" s="341"/>
      <c r="S266" s="342"/>
      <c r="T266" s="38" t="s">
        <v>63</v>
      </c>
      <c r="U266" s="307">
        <f>IFERROR(SUM(U263:U264),"0")</f>
        <v>0</v>
      </c>
      <c r="V266" s="307">
        <f>IFERROR(SUM(V263:V264),"0")</f>
        <v>0</v>
      </c>
      <c r="W266" s="38"/>
      <c r="X266" s="308"/>
      <c r="Y266" s="308"/>
    </row>
    <row r="267" spans="1:52" ht="14.25" customHeight="1" x14ac:dyDescent="0.25">
      <c r="A267" s="384" t="s">
        <v>66</v>
      </c>
      <c r="B267" s="313"/>
      <c r="C267" s="313"/>
      <c r="D267" s="313"/>
      <c r="E267" s="313"/>
      <c r="F267" s="313"/>
      <c r="G267" s="313"/>
      <c r="H267" s="313"/>
      <c r="I267" s="313"/>
      <c r="J267" s="313"/>
      <c r="K267" s="313"/>
      <c r="L267" s="313"/>
      <c r="M267" s="313"/>
      <c r="N267" s="313"/>
      <c r="O267" s="313"/>
      <c r="P267" s="313"/>
      <c r="Q267" s="313"/>
      <c r="R267" s="313"/>
      <c r="S267" s="313"/>
      <c r="T267" s="313"/>
      <c r="U267" s="313"/>
      <c r="V267" s="313"/>
      <c r="W267" s="313"/>
      <c r="X267" s="302"/>
      <c r="Y267" s="302"/>
    </row>
    <row r="268" spans="1:52" ht="27" customHeight="1" x14ac:dyDescent="0.25">
      <c r="A268" s="55" t="s">
        <v>393</v>
      </c>
      <c r="B268" s="55" t="s">
        <v>394</v>
      </c>
      <c r="C268" s="32">
        <v>4301051142</v>
      </c>
      <c r="D268" s="385">
        <v>4607091387919</v>
      </c>
      <c r="E268" s="329"/>
      <c r="F268" s="304">
        <v>1.35</v>
      </c>
      <c r="G268" s="33">
        <v>6</v>
      </c>
      <c r="H268" s="304">
        <v>8.1</v>
      </c>
      <c r="I268" s="304">
        <v>8.6639999999999997</v>
      </c>
      <c r="J268" s="33">
        <v>56</v>
      </c>
      <c r="K268" s="34" t="s">
        <v>62</v>
      </c>
      <c r="L268" s="33">
        <v>45</v>
      </c>
      <c r="M268" s="53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68" s="387"/>
      <c r="O268" s="387"/>
      <c r="P268" s="387"/>
      <c r="Q268" s="329"/>
      <c r="R268" s="35"/>
      <c r="S268" s="35"/>
      <c r="T268" s="36" t="s">
        <v>63</v>
      </c>
      <c r="U268" s="305">
        <v>100</v>
      </c>
      <c r="V268" s="306">
        <f>IFERROR(IF(U268="",0,CEILING((U268/$H268),1)*$H268),"")</f>
        <v>105.3</v>
      </c>
      <c r="W268" s="37">
        <f>IFERROR(IF(V268=0,"",ROUNDUP(V268/H268,0)*0.02175),"")</f>
        <v>0.28275</v>
      </c>
      <c r="X268" s="57"/>
      <c r="Y268" s="58"/>
      <c r="AC268" s="59"/>
      <c r="AZ268" s="207" t="s">
        <v>1</v>
      </c>
    </row>
    <row r="269" spans="1:52" ht="27" customHeight="1" x14ac:dyDescent="0.25">
      <c r="A269" s="55" t="s">
        <v>395</v>
      </c>
      <c r="B269" s="55" t="s">
        <v>396</v>
      </c>
      <c r="C269" s="32">
        <v>4301051109</v>
      </c>
      <c r="D269" s="385">
        <v>4607091383942</v>
      </c>
      <c r="E269" s="329"/>
      <c r="F269" s="304">
        <v>0.42</v>
      </c>
      <c r="G269" s="33">
        <v>6</v>
      </c>
      <c r="H269" s="304">
        <v>2.52</v>
      </c>
      <c r="I269" s="304">
        <v>2.7919999999999998</v>
      </c>
      <c r="J269" s="33">
        <v>156</v>
      </c>
      <c r="K269" s="34" t="s">
        <v>123</v>
      </c>
      <c r="L269" s="33">
        <v>45</v>
      </c>
      <c r="M269" s="538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69" s="387"/>
      <c r="O269" s="387"/>
      <c r="P269" s="387"/>
      <c r="Q269" s="329"/>
      <c r="R269" s="35"/>
      <c r="S269" s="35"/>
      <c r="T269" s="36" t="s">
        <v>63</v>
      </c>
      <c r="U269" s="305">
        <v>226</v>
      </c>
      <c r="V269" s="306">
        <f>IFERROR(IF(U269="",0,CEILING((U269/$H269),1)*$H269),"")</f>
        <v>226.8</v>
      </c>
      <c r="W269" s="37">
        <f>IFERROR(IF(V269=0,"",ROUNDUP(V269/H269,0)*0.00753),"")</f>
        <v>0.67769999999999997</v>
      </c>
      <c r="X269" s="57"/>
      <c r="Y269" s="58"/>
      <c r="AC269" s="59"/>
      <c r="AZ269" s="208" t="s">
        <v>1</v>
      </c>
    </row>
    <row r="270" spans="1:52" ht="27" customHeight="1" x14ac:dyDescent="0.25">
      <c r="A270" s="55" t="s">
        <v>397</v>
      </c>
      <c r="B270" s="55" t="s">
        <v>398</v>
      </c>
      <c r="C270" s="32">
        <v>4301051300</v>
      </c>
      <c r="D270" s="385">
        <v>4607091383959</v>
      </c>
      <c r="E270" s="329"/>
      <c r="F270" s="304">
        <v>0.42</v>
      </c>
      <c r="G270" s="33">
        <v>6</v>
      </c>
      <c r="H270" s="304">
        <v>2.52</v>
      </c>
      <c r="I270" s="304">
        <v>2.78</v>
      </c>
      <c r="J270" s="33">
        <v>156</v>
      </c>
      <c r="K270" s="34" t="s">
        <v>62</v>
      </c>
      <c r="L270" s="33">
        <v>35</v>
      </c>
      <c r="M270" s="539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70" s="387"/>
      <c r="O270" s="387"/>
      <c r="P270" s="387"/>
      <c r="Q270" s="329"/>
      <c r="R270" s="35"/>
      <c r="S270" s="35"/>
      <c r="T270" s="36" t="s">
        <v>63</v>
      </c>
      <c r="U270" s="305">
        <v>90</v>
      </c>
      <c r="V270" s="306">
        <f>IFERROR(IF(U270="",0,CEILING((U270/$H270),1)*$H270),"")</f>
        <v>90.72</v>
      </c>
      <c r="W270" s="37">
        <f>IFERROR(IF(V270=0,"",ROUNDUP(V270/H270,0)*0.00753),"")</f>
        <v>0.27107999999999999</v>
      </c>
      <c r="X270" s="57"/>
      <c r="Y270" s="58"/>
      <c r="AC270" s="59"/>
      <c r="AZ270" s="209" t="s">
        <v>1</v>
      </c>
    </row>
    <row r="271" spans="1:52" x14ac:dyDescent="0.2">
      <c r="A271" s="389"/>
      <c r="B271" s="313"/>
      <c r="C271" s="313"/>
      <c r="D271" s="313"/>
      <c r="E271" s="313"/>
      <c r="F271" s="313"/>
      <c r="G271" s="313"/>
      <c r="H271" s="313"/>
      <c r="I271" s="313"/>
      <c r="J271" s="313"/>
      <c r="K271" s="313"/>
      <c r="L271" s="390"/>
      <c r="M271" s="388" t="s">
        <v>64</v>
      </c>
      <c r="N271" s="341"/>
      <c r="O271" s="341"/>
      <c r="P271" s="341"/>
      <c r="Q271" s="341"/>
      <c r="R271" s="341"/>
      <c r="S271" s="342"/>
      <c r="T271" s="38" t="s">
        <v>65</v>
      </c>
      <c r="U271" s="307">
        <f>IFERROR(U268/H268,"0")+IFERROR(U269/H269,"0")+IFERROR(U270/H270,"0")</f>
        <v>137.74250440917109</v>
      </c>
      <c r="V271" s="307">
        <f>IFERROR(V268/H268,"0")+IFERROR(V269/H269,"0")+IFERROR(V270/H270,"0")</f>
        <v>139</v>
      </c>
      <c r="W271" s="307">
        <f>IFERROR(IF(W268="",0,W268),"0")+IFERROR(IF(W269="",0,W269),"0")+IFERROR(IF(W270="",0,W270),"0")</f>
        <v>1.23153</v>
      </c>
      <c r="X271" s="308"/>
      <c r="Y271" s="308"/>
    </row>
    <row r="272" spans="1:52" x14ac:dyDescent="0.2">
      <c r="A272" s="313"/>
      <c r="B272" s="313"/>
      <c r="C272" s="313"/>
      <c r="D272" s="313"/>
      <c r="E272" s="313"/>
      <c r="F272" s="313"/>
      <c r="G272" s="313"/>
      <c r="H272" s="313"/>
      <c r="I272" s="313"/>
      <c r="J272" s="313"/>
      <c r="K272" s="313"/>
      <c r="L272" s="390"/>
      <c r="M272" s="388" t="s">
        <v>64</v>
      </c>
      <c r="N272" s="341"/>
      <c r="O272" s="341"/>
      <c r="P272" s="341"/>
      <c r="Q272" s="341"/>
      <c r="R272" s="341"/>
      <c r="S272" s="342"/>
      <c r="T272" s="38" t="s">
        <v>63</v>
      </c>
      <c r="U272" s="307">
        <f>IFERROR(SUM(U268:U270),"0")</f>
        <v>416</v>
      </c>
      <c r="V272" s="307">
        <f>IFERROR(SUM(V268:V270),"0")</f>
        <v>422.82000000000005</v>
      </c>
      <c r="W272" s="38"/>
      <c r="X272" s="308"/>
      <c r="Y272" s="308"/>
    </row>
    <row r="273" spans="1:52" ht="14.25" customHeight="1" x14ac:dyDescent="0.25">
      <c r="A273" s="384" t="s">
        <v>195</v>
      </c>
      <c r="B273" s="313"/>
      <c r="C273" s="313"/>
      <c r="D273" s="313"/>
      <c r="E273" s="313"/>
      <c r="F273" s="313"/>
      <c r="G273" s="313"/>
      <c r="H273" s="313"/>
      <c r="I273" s="313"/>
      <c r="J273" s="313"/>
      <c r="K273" s="313"/>
      <c r="L273" s="313"/>
      <c r="M273" s="313"/>
      <c r="N273" s="313"/>
      <c r="O273" s="313"/>
      <c r="P273" s="313"/>
      <c r="Q273" s="313"/>
      <c r="R273" s="313"/>
      <c r="S273" s="313"/>
      <c r="T273" s="313"/>
      <c r="U273" s="313"/>
      <c r="V273" s="313"/>
      <c r="W273" s="313"/>
      <c r="X273" s="302"/>
      <c r="Y273" s="302"/>
    </row>
    <row r="274" spans="1:52" ht="27" customHeight="1" x14ac:dyDescent="0.25">
      <c r="A274" s="55" t="s">
        <v>399</v>
      </c>
      <c r="B274" s="55" t="s">
        <v>400</v>
      </c>
      <c r="C274" s="32">
        <v>4301060324</v>
      </c>
      <c r="D274" s="385">
        <v>4607091388831</v>
      </c>
      <c r="E274" s="329"/>
      <c r="F274" s="304">
        <v>0.38</v>
      </c>
      <c r="G274" s="33">
        <v>6</v>
      </c>
      <c r="H274" s="304">
        <v>2.2799999999999998</v>
      </c>
      <c r="I274" s="304">
        <v>2.552</v>
      </c>
      <c r="J274" s="33">
        <v>156</v>
      </c>
      <c r="K274" s="34" t="s">
        <v>62</v>
      </c>
      <c r="L274" s="33">
        <v>40</v>
      </c>
      <c r="M274" s="540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74" s="387"/>
      <c r="O274" s="387"/>
      <c r="P274" s="387"/>
      <c r="Q274" s="329"/>
      <c r="R274" s="35"/>
      <c r="S274" s="35"/>
      <c r="T274" s="36" t="s">
        <v>63</v>
      </c>
      <c r="U274" s="305">
        <v>4</v>
      </c>
      <c r="V274" s="306">
        <f>IFERROR(IF(U274="",0,CEILING((U274/$H274),1)*$H274),"")</f>
        <v>4.5599999999999996</v>
      </c>
      <c r="W274" s="37">
        <f>IFERROR(IF(V274=0,"",ROUNDUP(V274/H274,0)*0.00753),"")</f>
        <v>1.506E-2</v>
      </c>
      <c r="X274" s="57"/>
      <c r="Y274" s="58"/>
      <c r="AC274" s="59"/>
      <c r="AZ274" s="210" t="s">
        <v>1</v>
      </c>
    </row>
    <row r="275" spans="1:52" x14ac:dyDescent="0.2">
      <c r="A275" s="389"/>
      <c r="B275" s="313"/>
      <c r="C275" s="313"/>
      <c r="D275" s="313"/>
      <c r="E275" s="313"/>
      <c r="F275" s="313"/>
      <c r="G275" s="313"/>
      <c r="H275" s="313"/>
      <c r="I275" s="313"/>
      <c r="J275" s="313"/>
      <c r="K275" s="313"/>
      <c r="L275" s="390"/>
      <c r="M275" s="388" t="s">
        <v>64</v>
      </c>
      <c r="N275" s="341"/>
      <c r="O275" s="341"/>
      <c r="P275" s="341"/>
      <c r="Q275" s="341"/>
      <c r="R275" s="341"/>
      <c r="S275" s="342"/>
      <c r="T275" s="38" t="s">
        <v>65</v>
      </c>
      <c r="U275" s="307">
        <f>IFERROR(U274/H274,"0")</f>
        <v>1.7543859649122808</v>
      </c>
      <c r="V275" s="307">
        <f>IFERROR(V274/H274,"0")</f>
        <v>2</v>
      </c>
      <c r="W275" s="307">
        <f>IFERROR(IF(W274="",0,W274),"0")</f>
        <v>1.506E-2</v>
      </c>
      <c r="X275" s="308"/>
      <c r="Y275" s="308"/>
    </row>
    <row r="276" spans="1:52" x14ac:dyDescent="0.2">
      <c r="A276" s="313"/>
      <c r="B276" s="313"/>
      <c r="C276" s="313"/>
      <c r="D276" s="313"/>
      <c r="E276" s="313"/>
      <c r="F276" s="313"/>
      <c r="G276" s="313"/>
      <c r="H276" s="313"/>
      <c r="I276" s="313"/>
      <c r="J276" s="313"/>
      <c r="K276" s="313"/>
      <c r="L276" s="390"/>
      <c r="M276" s="388" t="s">
        <v>64</v>
      </c>
      <c r="N276" s="341"/>
      <c r="O276" s="341"/>
      <c r="P276" s="341"/>
      <c r="Q276" s="341"/>
      <c r="R276" s="341"/>
      <c r="S276" s="342"/>
      <c r="T276" s="38" t="s">
        <v>63</v>
      </c>
      <c r="U276" s="307">
        <f>IFERROR(SUM(U274:U274),"0")</f>
        <v>4</v>
      </c>
      <c r="V276" s="307">
        <f>IFERROR(SUM(V274:V274),"0")</f>
        <v>4.5599999999999996</v>
      </c>
      <c r="W276" s="38"/>
      <c r="X276" s="308"/>
      <c r="Y276" s="308"/>
    </row>
    <row r="277" spans="1:52" ht="14.25" customHeight="1" x14ac:dyDescent="0.25">
      <c r="A277" s="384" t="s">
        <v>79</v>
      </c>
      <c r="B277" s="313"/>
      <c r="C277" s="313"/>
      <c r="D277" s="313"/>
      <c r="E277" s="313"/>
      <c r="F277" s="313"/>
      <c r="G277" s="313"/>
      <c r="H277" s="313"/>
      <c r="I277" s="313"/>
      <c r="J277" s="313"/>
      <c r="K277" s="313"/>
      <c r="L277" s="313"/>
      <c r="M277" s="313"/>
      <c r="N277" s="313"/>
      <c r="O277" s="313"/>
      <c r="P277" s="313"/>
      <c r="Q277" s="313"/>
      <c r="R277" s="313"/>
      <c r="S277" s="313"/>
      <c r="T277" s="313"/>
      <c r="U277" s="313"/>
      <c r="V277" s="313"/>
      <c r="W277" s="313"/>
      <c r="X277" s="302"/>
      <c r="Y277" s="302"/>
    </row>
    <row r="278" spans="1:52" ht="27" customHeight="1" x14ac:dyDescent="0.25">
      <c r="A278" s="55" t="s">
        <v>401</v>
      </c>
      <c r="B278" s="55" t="s">
        <v>402</v>
      </c>
      <c r="C278" s="32">
        <v>4301032015</v>
      </c>
      <c r="D278" s="385">
        <v>4607091383102</v>
      </c>
      <c r="E278" s="329"/>
      <c r="F278" s="304">
        <v>0.17</v>
      </c>
      <c r="G278" s="33">
        <v>15</v>
      </c>
      <c r="H278" s="304">
        <v>2.5499999999999998</v>
      </c>
      <c r="I278" s="304">
        <v>2.9750000000000001</v>
      </c>
      <c r="J278" s="33">
        <v>156</v>
      </c>
      <c r="K278" s="34" t="s">
        <v>82</v>
      </c>
      <c r="L278" s="33">
        <v>180</v>
      </c>
      <c r="M278" s="541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78" s="387"/>
      <c r="O278" s="387"/>
      <c r="P278" s="387"/>
      <c r="Q278" s="329"/>
      <c r="R278" s="35"/>
      <c r="S278" s="35"/>
      <c r="T278" s="36" t="s">
        <v>63</v>
      </c>
      <c r="U278" s="305">
        <v>0</v>
      </c>
      <c r="V278" s="306">
        <f>IFERROR(IF(U278="",0,CEILING((U278/$H278),1)*$H278),"")</f>
        <v>0</v>
      </c>
      <c r="W278" s="37" t="str">
        <f>IFERROR(IF(V278=0,"",ROUNDUP(V278/H278,0)*0.00753),"")</f>
        <v/>
      </c>
      <c r="X278" s="57"/>
      <c r="Y278" s="58"/>
      <c r="AC278" s="59"/>
      <c r="AZ278" s="211" t="s">
        <v>1</v>
      </c>
    </row>
    <row r="279" spans="1:52" x14ac:dyDescent="0.2">
      <c r="A279" s="389"/>
      <c r="B279" s="313"/>
      <c r="C279" s="313"/>
      <c r="D279" s="313"/>
      <c r="E279" s="313"/>
      <c r="F279" s="313"/>
      <c r="G279" s="313"/>
      <c r="H279" s="313"/>
      <c r="I279" s="313"/>
      <c r="J279" s="313"/>
      <c r="K279" s="313"/>
      <c r="L279" s="390"/>
      <c r="M279" s="388" t="s">
        <v>64</v>
      </c>
      <c r="N279" s="341"/>
      <c r="O279" s="341"/>
      <c r="P279" s="341"/>
      <c r="Q279" s="341"/>
      <c r="R279" s="341"/>
      <c r="S279" s="342"/>
      <c r="T279" s="38" t="s">
        <v>65</v>
      </c>
      <c r="U279" s="307">
        <f>IFERROR(U278/H278,"0")</f>
        <v>0</v>
      </c>
      <c r="V279" s="307">
        <f>IFERROR(V278/H278,"0")</f>
        <v>0</v>
      </c>
      <c r="W279" s="307">
        <f>IFERROR(IF(W278="",0,W278),"0")</f>
        <v>0</v>
      </c>
      <c r="X279" s="308"/>
      <c r="Y279" s="308"/>
    </row>
    <row r="280" spans="1:52" x14ac:dyDescent="0.2">
      <c r="A280" s="313"/>
      <c r="B280" s="313"/>
      <c r="C280" s="313"/>
      <c r="D280" s="313"/>
      <c r="E280" s="313"/>
      <c r="F280" s="313"/>
      <c r="G280" s="313"/>
      <c r="H280" s="313"/>
      <c r="I280" s="313"/>
      <c r="J280" s="313"/>
      <c r="K280" s="313"/>
      <c r="L280" s="390"/>
      <c r="M280" s="388" t="s">
        <v>64</v>
      </c>
      <c r="N280" s="341"/>
      <c r="O280" s="341"/>
      <c r="P280" s="341"/>
      <c r="Q280" s="341"/>
      <c r="R280" s="341"/>
      <c r="S280" s="342"/>
      <c r="T280" s="38" t="s">
        <v>63</v>
      </c>
      <c r="U280" s="307">
        <f>IFERROR(SUM(U278:U278),"0")</f>
        <v>0</v>
      </c>
      <c r="V280" s="307">
        <f>IFERROR(SUM(V278:V278),"0")</f>
        <v>0</v>
      </c>
      <c r="W280" s="38"/>
      <c r="X280" s="308"/>
      <c r="Y280" s="308"/>
    </row>
    <row r="281" spans="1:52" ht="27.75" customHeight="1" x14ac:dyDescent="0.2">
      <c r="A281" s="381" t="s">
        <v>403</v>
      </c>
      <c r="B281" s="382"/>
      <c r="C281" s="382"/>
      <c r="D281" s="382"/>
      <c r="E281" s="382"/>
      <c r="F281" s="382"/>
      <c r="G281" s="382"/>
      <c r="H281" s="382"/>
      <c r="I281" s="382"/>
      <c r="J281" s="382"/>
      <c r="K281" s="382"/>
      <c r="L281" s="382"/>
      <c r="M281" s="382"/>
      <c r="N281" s="382"/>
      <c r="O281" s="382"/>
      <c r="P281" s="382"/>
      <c r="Q281" s="382"/>
      <c r="R281" s="382"/>
      <c r="S281" s="382"/>
      <c r="T281" s="382"/>
      <c r="U281" s="382"/>
      <c r="V281" s="382"/>
      <c r="W281" s="382"/>
      <c r="X281" s="49"/>
      <c r="Y281" s="49"/>
    </row>
    <row r="282" spans="1:52" ht="16.5" customHeight="1" x14ac:dyDescent="0.25">
      <c r="A282" s="383" t="s">
        <v>404</v>
      </c>
      <c r="B282" s="313"/>
      <c r="C282" s="313"/>
      <c r="D282" s="313"/>
      <c r="E282" s="313"/>
      <c r="F282" s="313"/>
      <c r="G282" s="313"/>
      <c r="H282" s="313"/>
      <c r="I282" s="313"/>
      <c r="J282" s="313"/>
      <c r="K282" s="313"/>
      <c r="L282" s="313"/>
      <c r="M282" s="313"/>
      <c r="N282" s="313"/>
      <c r="O282" s="313"/>
      <c r="P282" s="313"/>
      <c r="Q282" s="313"/>
      <c r="R282" s="313"/>
      <c r="S282" s="313"/>
      <c r="T282" s="313"/>
      <c r="U282" s="313"/>
      <c r="V282" s="313"/>
      <c r="W282" s="313"/>
      <c r="X282" s="301"/>
      <c r="Y282" s="301"/>
    </row>
    <row r="283" spans="1:52" ht="14.25" customHeight="1" x14ac:dyDescent="0.25">
      <c r="A283" s="384" t="s">
        <v>100</v>
      </c>
      <c r="B283" s="313"/>
      <c r="C283" s="313"/>
      <c r="D283" s="313"/>
      <c r="E283" s="313"/>
      <c r="F283" s="313"/>
      <c r="G283" s="313"/>
      <c r="H283" s="313"/>
      <c r="I283" s="313"/>
      <c r="J283" s="313"/>
      <c r="K283" s="313"/>
      <c r="L283" s="313"/>
      <c r="M283" s="313"/>
      <c r="N283" s="313"/>
      <c r="O283" s="313"/>
      <c r="P283" s="313"/>
      <c r="Q283" s="313"/>
      <c r="R283" s="313"/>
      <c r="S283" s="313"/>
      <c r="T283" s="313"/>
      <c r="U283" s="313"/>
      <c r="V283" s="313"/>
      <c r="W283" s="313"/>
      <c r="X283" s="302"/>
      <c r="Y283" s="302"/>
    </row>
    <row r="284" spans="1:52" ht="27" customHeight="1" x14ac:dyDescent="0.25">
      <c r="A284" s="55" t="s">
        <v>405</v>
      </c>
      <c r="B284" s="55" t="s">
        <v>406</v>
      </c>
      <c r="C284" s="32">
        <v>4301011239</v>
      </c>
      <c r="D284" s="385">
        <v>4607091383997</v>
      </c>
      <c r="E284" s="329"/>
      <c r="F284" s="304">
        <v>2.5</v>
      </c>
      <c r="G284" s="33">
        <v>6</v>
      </c>
      <c r="H284" s="304">
        <v>15</v>
      </c>
      <c r="I284" s="304">
        <v>15.48</v>
      </c>
      <c r="J284" s="33">
        <v>48</v>
      </c>
      <c r="K284" s="34" t="s">
        <v>300</v>
      </c>
      <c r="L284" s="33">
        <v>60</v>
      </c>
      <c r="M284" s="542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4" s="387"/>
      <c r="O284" s="387"/>
      <c r="P284" s="387"/>
      <c r="Q284" s="329"/>
      <c r="R284" s="35"/>
      <c r="S284" s="35"/>
      <c r="T284" s="36" t="s">
        <v>63</v>
      </c>
      <c r="U284" s="305">
        <v>0</v>
      </c>
      <c r="V284" s="306">
        <f t="shared" ref="V284:V291" si="14">IFERROR(IF(U284="",0,CEILING((U284/$H284),1)*$H284),"")</f>
        <v>0</v>
      </c>
      <c r="W284" s="37" t="str">
        <f>IFERROR(IF(V284=0,"",ROUNDUP(V284/H284,0)*0.02039),"")</f>
        <v/>
      </c>
      <c r="X284" s="57"/>
      <c r="Y284" s="58"/>
      <c r="AC284" s="59"/>
      <c r="AZ284" s="212" t="s">
        <v>1</v>
      </c>
    </row>
    <row r="285" spans="1:52" ht="27" customHeight="1" x14ac:dyDescent="0.25">
      <c r="A285" s="55" t="s">
        <v>405</v>
      </c>
      <c r="B285" s="55" t="s">
        <v>407</v>
      </c>
      <c r="C285" s="32">
        <v>4301011339</v>
      </c>
      <c r="D285" s="385">
        <v>4607091383997</v>
      </c>
      <c r="E285" s="329"/>
      <c r="F285" s="304">
        <v>2.5</v>
      </c>
      <c r="G285" s="33">
        <v>6</v>
      </c>
      <c r="H285" s="304">
        <v>15</v>
      </c>
      <c r="I285" s="304">
        <v>15.48</v>
      </c>
      <c r="J285" s="33">
        <v>48</v>
      </c>
      <c r="K285" s="34" t="s">
        <v>62</v>
      </c>
      <c r="L285" s="33">
        <v>60</v>
      </c>
      <c r="M285" s="54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5" s="387"/>
      <c r="O285" s="387"/>
      <c r="P285" s="387"/>
      <c r="Q285" s="329"/>
      <c r="R285" s="35"/>
      <c r="S285" s="35"/>
      <c r="T285" s="36" t="s">
        <v>63</v>
      </c>
      <c r="U285" s="305">
        <v>0</v>
      </c>
      <c r="V285" s="306">
        <f t="shared" si="14"/>
        <v>0</v>
      </c>
      <c r="W285" s="37" t="str">
        <f>IFERROR(IF(V285=0,"",ROUNDUP(V285/H285,0)*0.02175),"")</f>
        <v/>
      </c>
      <c r="X285" s="57"/>
      <c r="Y285" s="58"/>
      <c r="AC285" s="59"/>
      <c r="AZ285" s="213" t="s">
        <v>1</v>
      </c>
    </row>
    <row r="286" spans="1:52" ht="27" customHeight="1" x14ac:dyDescent="0.25">
      <c r="A286" s="55" t="s">
        <v>408</v>
      </c>
      <c r="B286" s="55" t="s">
        <v>409</v>
      </c>
      <c r="C286" s="32">
        <v>4301011326</v>
      </c>
      <c r="D286" s="385">
        <v>4607091384130</v>
      </c>
      <c r="E286" s="329"/>
      <c r="F286" s="304">
        <v>2.5</v>
      </c>
      <c r="G286" s="33">
        <v>6</v>
      </c>
      <c r="H286" s="304">
        <v>15</v>
      </c>
      <c r="I286" s="304">
        <v>15.48</v>
      </c>
      <c r="J286" s="33">
        <v>48</v>
      </c>
      <c r="K286" s="34" t="s">
        <v>62</v>
      </c>
      <c r="L286" s="33">
        <v>60</v>
      </c>
      <c r="M286" s="544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6" s="387"/>
      <c r="O286" s="387"/>
      <c r="P286" s="387"/>
      <c r="Q286" s="329"/>
      <c r="R286" s="35"/>
      <c r="S286" s="35"/>
      <c r="T286" s="36" t="s">
        <v>63</v>
      </c>
      <c r="U286" s="305">
        <v>0</v>
      </c>
      <c r="V286" s="306">
        <f t="shared" si="14"/>
        <v>0</v>
      </c>
      <c r="W286" s="37" t="str">
        <f>IFERROR(IF(V286=0,"",ROUNDUP(V286/H286,0)*0.02175),"")</f>
        <v/>
      </c>
      <c r="X286" s="57"/>
      <c r="Y286" s="58"/>
      <c r="AC286" s="59"/>
      <c r="AZ286" s="214" t="s">
        <v>1</v>
      </c>
    </row>
    <row r="287" spans="1:52" ht="27" customHeight="1" x14ac:dyDescent="0.25">
      <c r="A287" s="55" t="s">
        <v>408</v>
      </c>
      <c r="B287" s="55" t="s">
        <v>410</v>
      </c>
      <c r="C287" s="32">
        <v>4301011240</v>
      </c>
      <c r="D287" s="385">
        <v>4607091384130</v>
      </c>
      <c r="E287" s="329"/>
      <c r="F287" s="304">
        <v>2.5</v>
      </c>
      <c r="G287" s="33">
        <v>6</v>
      </c>
      <c r="H287" s="304">
        <v>15</v>
      </c>
      <c r="I287" s="304">
        <v>15.48</v>
      </c>
      <c r="J287" s="33">
        <v>48</v>
      </c>
      <c r="K287" s="34" t="s">
        <v>300</v>
      </c>
      <c r="L287" s="33">
        <v>60</v>
      </c>
      <c r="M287" s="545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7" s="387"/>
      <c r="O287" s="387"/>
      <c r="P287" s="387"/>
      <c r="Q287" s="329"/>
      <c r="R287" s="35"/>
      <c r="S287" s="35"/>
      <c r="T287" s="36" t="s">
        <v>63</v>
      </c>
      <c r="U287" s="305">
        <v>0</v>
      </c>
      <c r="V287" s="306">
        <f t="shared" si="14"/>
        <v>0</v>
      </c>
      <c r="W287" s="37" t="str">
        <f>IFERROR(IF(V287=0,"",ROUNDUP(V287/H287,0)*0.02039),"")</f>
        <v/>
      </c>
      <c r="X287" s="57"/>
      <c r="Y287" s="58"/>
      <c r="AC287" s="59"/>
      <c r="AZ287" s="215" t="s">
        <v>1</v>
      </c>
    </row>
    <row r="288" spans="1:52" ht="16.5" customHeight="1" x14ac:dyDescent="0.25">
      <c r="A288" s="55" t="s">
        <v>411</v>
      </c>
      <c r="B288" s="55" t="s">
        <v>412</v>
      </c>
      <c r="C288" s="32">
        <v>4301011330</v>
      </c>
      <c r="D288" s="385">
        <v>4607091384147</v>
      </c>
      <c r="E288" s="329"/>
      <c r="F288" s="304">
        <v>2.5</v>
      </c>
      <c r="G288" s="33">
        <v>6</v>
      </c>
      <c r="H288" s="304">
        <v>15</v>
      </c>
      <c r="I288" s="304">
        <v>15.48</v>
      </c>
      <c r="J288" s="33">
        <v>48</v>
      </c>
      <c r="K288" s="34" t="s">
        <v>62</v>
      </c>
      <c r="L288" s="33">
        <v>60</v>
      </c>
      <c r="M288" s="546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88" s="387"/>
      <c r="O288" s="387"/>
      <c r="P288" s="387"/>
      <c r="Q288" s="329"/>
      <c r="R288" s="35"/>
      <c r="S288" s="35"/>
      <c r="T288" s="36" t="s">
        <v>63</v>
      </c>
      <c r="U288" s="305">
        <v>0</v>
      </c>
      <c r="V288" s="306">
        <f t="shared" si="14"/>
        <v>0</v>
      </c>
      <c r="W288" s="37" t="str">
        <f>IFERROR(IF(V288=0,"",ROUNDUP(V288/H288,0)*0.02175),"")</f>
        <v/>
      </c>
      <c r="X288" s="57"/>
      <c r="Y288" s="58"/>
      <c r="AC288" s="59"/>
      <c r="AZ288" s="216" t="s">
        <v>1</v>
      </c>
    </row>
    <row r="289" spans="1:52" ht="16.5" customHeight="1" x14ac:dyDescent="0.25">
      <c r="A289" s="55" t="s">
        <v>411</v>
      </c>
      <c r="B289" s="55" t="s">
        <v>413</v>
      </c>
      <c r="C289" s="32">
        <v>4301011238</v>
      </c>
      <c r="D289" s="385">
        <v>4607091384147</v>
      </c>
      <c r="E289" s="329"/>
      <c r="F289" s="304">
        <v>2.5</v>
      </c>
      <c r="G289" s="33">
        <v>6</v>
      </c>
      <c r="H289" s="304">
        <v>15</v>
      </c>
      <c r="I289" s="304">
        <v>15.48</v>
      </c>
      <c r="J289" s="33">
        <v>48</v>
      </c>
      <c r="K289" s="34" t="s">
        <v>300</v>
      </c>
      <c r="L289" s="33">
        <v>60</v>
      </c>
      <c r="M289" s="547" t="s">
        <v>414</v>
      </c>
      <c r="N289" s="387"/>
      <c r="O289" s="387"/>
      <c r="P289" s="387"/>
      <c r="Q289" s="329"/>
      <c r="R289" s="35"/>
      <c r="S289" s="35"/>
      <c r="T289" s="36" t="s">
        <v>63</v>
      </c>
      <c r="U289" s="305">
        <v>0</v>
      </c>
      <c r="V289" s="306">
        <f t="shared" si="14"/>
        <v>0</v>
      </c>
      <c r="W289" s="37" t="str">
        <f>IFERROR(IF(V289=0,"",ROUNDUP(V289/H289,0)*0.02039),"")</f>
        <v/>
      </c>
      <c r="X289" s="57"/>
      <c r="Y289" s="58"/>
      <c r="AC289" s="59"/>
      <c r="AZ289" s="217" t="s">
        <v>1</v>
      </c>
    </row>
    <row r="290" spans="1:52" ht="27" customHeight="1" x14ac:dyDescent="0.25">
      <c r="A290" s="55" t="s">
        <v>415</v>
      </c>
      <c r="B290" s="55" t="s">
        <v>416</v>
      </c>
      <c r="C290" s="32">
        <v>4301011327</v>
      </c>
      <c r="D290" s="385">
        <v>4607091384154</v>
      </c>
      <c r="E290" s="329"/>
      <c r="F290" s="304">
        <v>0.5</v>
      </c>
      <c r="G290" s="33">
        <v>10</v>
      </c>
      <c r="H290" s="304">
        <v>5</v>
      </c>
      <c r="I290" s="304">
        <v>5.21</v>
      </c>
      <c r="J290" s="33">
        <v>120</v>
      </c>
      <c r="K290" s="34" t="s">
        <v>62</v>
      </c>
      <c r="L290" s="33">
        <v>60</v>
      </c>
      <c r="M290" s="548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0" s="387"/>
      <c r="O290" s="387"/>
      <c r="P290" s="387"/>
      <c r="Q290" s="329"/>
      <c r="R290" s="35"/>
      <c r="S290" s="35"/>
      <c r="T290" s="36" t="s">
        <v>63</v>
      </c>
      <c r="U290" s="305">
        <v>10</v>
      </c>
      <c r="V290" s="306">
        <f t="shared" si="14"/>
        <v>10</v>
      </c>
      <c r="W290" s="37">
        <f>IFERROR(IF(V290=0,"",ROUNDUP(V290/H290,0)*0.00937),"")</f>
        <v>1.874E-2</v>
      </c>
      <c r="X290" s="57"/>
      <c r="Y290" s="58"/>
      <c r="AC290" s="59"/>
      <c r="AZ290" s="218" t="s">
        <v>1</v>
      </c>
    </row>
    <row r="291" spans="1:52" ht="27" customHeight="1" x14ac:dyDescent="0.25">
      <c r="A291" s="55" t="s">
        <v>417</v>
      </c>
      <c r="B291" s="55" t="s">
        <v>418</v>
      </c>
      <c r="C291" s="32">
        <v>4301011332</v>
      </c>
      <c r="D291" s="385">
        <v>4607091384161</v>
      </c>
      <c r="E291" s="329"/>
      <c r="F291" s="304">
        <v>0.5</v>
      </c>
      <c r="G291" s="33">
        <v>10</v>
      </c>
      <c r="H291" s="304">
        <v>5</v>
      </c>
      <c r="I291" s="304">
        <v>5.21</v>
      </c>
      <c r="J291" s="33">
        <v>120</v>
      </c>
      <c r="K291" s="34" t="s">
        <v>62</v>
      </c>
      <c r="L291" s="33">
        <v>60</v>
      </c>
      <c r="M291" s="549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1" s="387"/>
      <c r="O291" s="387"/>
      <c r="P291" s="387"/>
      <c r="Q291" s="329"/>
      <c r="R291" s="35"/>
      <c r="S291" s="35"/>
      <c r="T291" s="36" t="s">
        <v>63</v>
      </c>
      <c r="U291" s="305">
        <v>5</v>
      </c>
      <c r="V291" s="306">
        <f t="shared" si="14"/>
        <v>5</v>
      </c>
      <c r="W291" s="37">
        <f>IFERROR(IF(V291=0,"",ROUNDUP(V291/H291,0)*0.00937),"")</f>
        <v>9.3699999999999999E-3</v>
      </c>
      <c r="X291" s="57"/>
      <c r="Y291" s="58"/>
      <c r="AC291" s="59"/>
      <c r="AZ291" s="219" t="s">
        <v>1</v>
      </c>
    </row>
    <row r="292" spans="1:52" x14ac:dyDescent="0.2">
      <c r="A292" s="389"/>
      <c r="B292" s="313"/>
      <c r="C292" s="313"/>
      <c r="D292" s="313"/>
      <c r="E292" s="313"/>
      <c r="F292" s="313"/>
      <c r="G292" s="313"/>
      <c r="H292" s="313"/>
      <c r="I292" s="313"/>
      <c r="J292" s="313"/>
      <c r="K292" s="313"/>
      <c r="L292" s="390"/>
      <c r="M292" s="388" t="s">
        <v>64</v>
      </c>
      <c r="N292" s="341"/>
      <c r="O292" s="341"/>
      <c r="P292" s="341"/>
      <c r="Q292" s="341"/>
      <c r="R292" s="341"/>
      <c r="S292" s="342"/>
      <c r="T292" s="38" t="s">
        <v>65</v>
      </c>
      <c r="U292" s="307">
        <f>IFERROR(U284/H284,"0")+IFERROR(U285/H285,"0")+IFERROR(U286/H286,"0")+IFERROR(U287/H287,"0")+IFERROR(U288/H288,"0")+IFERROR(U289/H289,"0")+IFERROR(U290/H290,"0")+IFERROR(U291/H291,"0")</f>
        <v>3</v>
      </c>
      <c r="V292" s="307">
        <f>IFERROR(V284/H284,"0")+IFERROR(V285/H285,"0")+IFERROR(V286/H286,"0")+IFERROR(V287/H287,"0")+IFERROR(V288/H288,"0")+IFERROR(V289/H289,"0")+IFERROR(V290/H290,"0")+IFERROR(V291/H291,"0")</f>
        <v>3</v>
      </c>
      <c r="W292" s="307">
        <f>IFERROR(IF(W284="",0,W284),"0")+IFERROR(IF(W285="",0,W285),"0")+IFERROR(IF(W286="",0,W286),"0")+IFERROR(IF(W287="",0,W287),"0")+IFERROR(IF(W288="",0,W288),"0")+IFERROR(IF(W289="",0,W289),"0")+IFERROR(IF(W290="",0,W290),"0")+IFERROR(IF(W291="",0,W291),"0")</f>
        <v>2.811E-2</v>
      </c>
      <c r="X292" s="308"/>
      <c r="Y292" s="308"/>
    </row>
    <row r="293" spans="1:52" x14ac:dyDescent="0.2">
      <c r="A293" s="313"/>
      <c r="B293" s="313"/>
      <c r="C293" s="313"/>
      <c r="D293" s="313"/>
      <c r="E293" s="313"/>
      <c r="F293" s="313"/>
      <c r="G293" s="313"/>
      <c r="H293" s="313"/>
      <c r="I293" s="313"/>
      <c r="J293" s="313"/>
      <c r="K293" s="313"/>
      <c r="L293" s="390"/>
      <c r="M293" s="388" t="s">
        <v>64</v>
      </c>
      <c r="N293" s="341"/>
      <c r="O293" s="341"/>
      <c r="P293" s="341"/>
      <c r="Q293" s="341"/>
      <c r="R293" s="341"/>
      <c r="S293" s="342"/>
      <c r="T293" s="38" t="s">
        <v>63</v>
      </c>
      <c r="U293" s="307">
        <f>IFERROR(SUM(U284:U291),"0")</f>
        <v>15</v>
      </c>
      <c r="V293" s="307">
        <f>IFERROR(SUM(V284:V291),"0")</f>
        <v>15</v>
      </c>
      <c r="W293" s="38"/>
      <c r="X293" s="308"/>
      <c r="Y293" s="308"/>
    </row>
    <row r="294" spans="1:52" ht="14.25" customHeight="1" x14ac:dyDescent="0.25">
      <c r="A294" s="384" t="s">
        <v>93</v>
      </c>
      <c r="B294" s="313"/>
      <c r="C294" s="313"/>
      <c r="D294" s="313"/>
      <c r="E294" s="313"/>
      <c r="F294" s="313"/>
      <c r="G294" s="313"/>
      <c r="H294" s="313"/>
      <c r="I294" s="313"/>
      <c r="J294" s="313"/>
      <c r="K294" s="313"/>
      <c r="L294" s="313"/>
      <c r="M294" s="313"/>
      <c r="N294" s="313"/>
      <c r="O294" s="313"/>
      <c r="P294" s="313"/>
      <c r="Q294" s="313"/>
      <c r="R294" s="313"/>
      <c r="S294" s="313"/>
      <c r="T294" s="313"/>
      <c r="U294" s="313"/>
      <c r="V294" s="313"/>
      <c r="W294" s="313"/>
      <c r="X294" s="302"/>
      <c r="Y294" s="302"/>
    </row>
    <row r="295" spans="1:52" ht="27" customHeight="1" x14ac:dyDescent="0.25">
      <c r="A295" s="55" t="s">
        <v>419</v>
      </c>
      <c r="B295" s="55" t="s">
        <v>420</v>
      </c>
      <c r="C295" s="32">
        <v>4301020178</v>
      </c>
      <c r="D295" s="385">
        <v>4607091383980</v>
      </c>
      <c r="E295" s="329"/>
      <c r="F295" s="304">
        <v>2.5</v>
      </c>
      <c r="G295" s="33">
        <v>6</v>
      </c>
      <c r="H295" s="304">
        <v>15</v>
      </c>
      <c r="I295" s="304">
        <v>15.48</v>
      </c>
      <c r="J295" s="33">
        <v>48</v>
      </c>
      <c r="K295" s="34" t="s">
        <v>96</v>
      </c>
      <c r="L295" s="33">
        <v>50</v>
      </c>
      <c r="M295" s="55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95" s="387"/>
      <c r="O295" s="387"/>
      <c r="P295" s="387"/>
      <c r="Q295" s="329"/>
      <c r="R295" s="35"/>
      <c r="S295" s="35"/>
      <c r="T295" s="36" t="s">
        <v>63</v>
      </c>
      <c r="U295" s="305">
        <v>0</v>
      </c>
      <c r="V295" s="306">
        <f>IFERROR(IF(U295="",0,CEILING((U295/$H295),1)*$H295),"")</f>
        <v>0</v>
      </c>
      <c r="W295" s="37" t="str">
        <f>IFERROR(IF(V295=0,"",ROUNDUP(V295/H295,0)*0.02175),"")</f>
        <v/>
      </c>
      <c r="X295" s="57"/>
      <c r="Y295" s="58"/>
      <c r="AC295" s="59"/>
      <c r="AZ295" s="220" t="s">
        <v>1</v>
      </c>
    </row>
    <row r="296" spans="1:52" ht="27" customHeight="1" x14ac:dyDescent="0.25">
      <c r="A296" s="55" t="s">
        <v>421</v>
      </c>
      <c r="B296" s="55" t="s">
        <v>422</v>
      </c>
      <c r="C296" s="32">
        <v>4301020179</v>
      </c>
      <c r="D296" s="385">
        <v>4607091384178</v>
      </c>
      <c r="E296" s="329"/>
      <c r="F296" s="304">
        <v>0.4</v>
      </c>
      <c r="G296" s="33">
        <v>10</v>
      </c>
      <c r="H296" s="304">
        <v>4</v>
      </c>
      <c r="I296" s="304">
        <v>4.24</v>
      </c>
      <c r="J296" s="33">
        <v>120</v>
      </c>
      <c r="K296" s="34" t="s">
        <v>96</v>
      </c>
      <c r="L296" s="33">
        <v>50</v>
      </c>
      <c r="M296" s="55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96" s="387"/>
      <c r="O296" s="387"/>
      <c r="P296" s="387"/>
      <c r="Q296" s="329"/>
      <c r="R296" s="35"/>
      <c r="S296" s="35"/>
      <c r="T296" s="36" t="s">
        <v>63</v>
      </c>
      <c r="U296" s="305">
        <v>0</v>
      </c>
      <c r="V296" s="306">
        <f>IFERROR(IF(U296="",0,CEILING((U296/$H296),1)*$H296),"")</f>
        <v>0</v>
      </c>
      <c r="W296" s="37" t="str">
        <f>IFERROR(IF(V296=0,"",ROUNDUP(V296/H296,0)*0.00937),"")</f>
        <v/>
      </c>
      <c r="X296" s="57"/>
      <c r="Y296" s="58"/>
      <c r="AC296" s="59"/>
      <c r="AZ296" s="221" t="s">
        <v>1</v>
      </c>
    </row>
    <row r="297" spans="1:52" x14ac:dyDescent="0.2">
      <c r="A297" s="389"/>
      <c r="B297" s="313"/>
      <c r="C297" s="313"/>
      <c r="D297" s="313"/>
      <c r="E297" s="313"/>
      <c r="F297" s="313"/>
      <c r="G297" s="313"/>
      <c r="H297" s="313"/>
      <c r="I297" s="313"/>
      <c r="J297" s="313"/>
      <c r="K297" s="313"/>
      <c r="L297" s="390"/>
      <c r="M297" s="388" t="s">
        <v>64</v>
      </c>
      <c r="N297" s="341"/>
      <c r="O297" s="341"/>
      <c r="P297" s="341"/>
      <c r="Q297" s="341"/>
      <c r="R297" s="341"/>
      <c r="S297" s="342"/>
      <c r="T297" s="38" t="s">
        <v>65</v>
      </c>
      <c r="U297" s="307">
        <f>IFERROR(U295/H295,"0")+IFERROR(U296/H296,"0")</f>
        <v>0</v>
      </c>
      <c r="V297" s="307">
        <f>IFERROR(V295/H295,"0")+IFERROR(V296/H296,"0")</f>
        <v>0</v>
      </c>
      <c r="W297" s="307">
        <f>IFERROR(IF(W295="",0,W295),"0")+IFERROR(IF(W296="",0,W296),"0")</f>
        <v>0</v>
      </c>
      <c r="X297" s="308"/>
      <c r="Y297" s="308"/>
    </row>
    <row r="298" spans="1:52" x14ac:dyDescent="0.2">
      <c r="A298" s="313"/>
      <c r="B298" s="313"/>
      <c r="C298" s="313"/>
      <c r="D298" s="313"/>
      <c r="E298" s="313"/>
      <c r="F298" s="313"/>
      <c r="G298" s="313"/>
      <c r="H298" s="313"/>
      <c r="I298" s="313"/>
      <c r="J298" s="313"/>
      <c r="K298" s="313"/>
      <c r="L298" s="390"/>
      <c r="M298" s="388" t="s">
        <v>64</v>
      </c>
      <c r="N298" s="341"/>
      <c r="O298" s="341"/>
      <c r="P298" s="341"/>
      <c r="Q298" s="341"/>
      <c r="R298" s="341"/>
      <c r="S298" s="342"/>
      <c r="T298" s="38" t="s">
        <v>63</v>
      </c>
      <c r="U298" s="307">
        <f>IFERROR(SUM(U295:U296),"0")</f>
        <v>0</v>
      </c>
      <c r="V298" s="307">
        <f>IFERROR(SUM(V295:V296),"0")</f>
        <v>0</v>
      </c>
      <c r="W298" s="38"/>
      <c r="X298" s="308"/>
      <c r="Y298" s="308"/>
    </row>
    <row r="299" spans="1:52" ht="14.25" customHeight="1" x14ac:dyDescent="0.25">
      <c r="A299" s="384" t="s">
        <v>59</v>
      </c>
      <c r="B299" s="313"/>
      <c r="C299" s="313"/>
      <c r="D299" s="313"/>
      <c r="E299" s="313"/>
      <c r="F299" s="313"/>
      <c r="G299" s="313"/>
      <c r="H299" s="313"/>
      <c r="I299" s="313"/>
      <c r="J299" s="313"/>
      <c r="K299" s="313"/>
      <c r="L299" s="313"/>
      <c r="M299" s="313"/>
      <c r="N299" s="313"/>
      <c r="O299" s="313"/>
      <c r="P299" s="313"/>
      <c r="Q299" s="313"/>
      <c r="R299" s="313"/>
      <c r="S299" s="313"/>
      <c r="T299" s="313"/>
      <c r="U299" s="313"/>
      <c r="V299" s="313"/>
      <c r="W299" s="313"/>
      <c r="X299" s="302"/>
      <c r="Y299" s="302"/>
    </row>
    <row r="300" spans="1:52" ht="27" customHeight="1" x14ac:dyDescent="0.25">
      <c r="A300" s="55" t="s">
        <v>423</v>
      </c>
      <c r="B300" s="55" t="s">
        <v>424</v>
      </c>
      <c r="C300" s="32">
        <v>4301031137</v>
      </c>
      <c r="D300" s="385">
        <v>4607091384857</v>
      </c>
      <c r="E300" s="329"/>
      <c r="F300" s="304">
        <v>0.73</v>
      </c>
      <c r="G300" s="33">
        <v>6</v>
      </c>
      <c r="H300" s="304">
        <v>4.38</v>
      </c>
      <c r="I300" s="304">
        <v>4.58</v>
      </c>
      <c r="J300" s="33">
        <v>156</v>
      </c>
      <c r="K300" s="34" t="s">
        <v>62</v>
      </c>
      <c r="L300" s="33">
        <v>35</v>
      </c>
      <c r="M300" s="552" t="str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>В/к колбасы Чесночная Особая Весовые Фиброуз в/у Особый рецепт</v>
      </c>
      <c r="N300" s="387"/>
      <c r="O300" s="387"/>
      <c r="P300" s="387"/>
      <c r="Q300" s="329"/>
      <c r="R300" s="35"/>
      <c r="S300" s="35"/>
      <c r="T300" s="36" t="s">
        <v>63</v>
      </c>
      <c r="U300" s="305">
        <v>60</v>
      </c>
      <c r="V300" s="306">
        <f>IFERROR(IF(U300="",0,CEILING((U300/$H300),1)*$H300),"")</f>
        <v>61.32</v>
      </c>
      <c r="W300" s="37">
        <f>IFERROR(IF(V300=0,"",ROUNDUP(V300/H300,0)*0.00753),"")</f>
        <v>0.10542</v>
      </c>
      <c r="X300" s="57"/>
      <c r="Y300" s="58"/>
      <c r="AC300" s="59"/>
      <c r="AZ300" s="222" t="s">
        <v>1</v>
      </c>
    </row>
    <row r="301" spans="1:52" x14ac:dyDescent="0.2">
      <c r="A301" s="389"/>
      <c r="B301" s="313"/>
      <c r="C301" s="313"/>
      <c r="D301" s="313"/>
      <c r="E301" s="313"/>
      <c r="F301" s="313"/>
      <c r="G301" s="313"/>
      <c r="H301" s="313"/>
      <c r="I301" s="313"/>
      <c r="J301" s="313"/>
      <c r="K301" s="313"/>
      <c r="L301" s="390"/>
      <c r="M301" s="388" t="s">
        <v>64</v>
      </c>
      <c r="N301" s="341"/>
      <c r="O301" s="341"/>
      <c r="P301" s="341"/>
      <c r="Q301" s="341"/>
      <c r="R301" s="341"/>
      <c r="S301" s="342"/>
      <c r="T301" s="38" t="s">
        <v>65</v>
      </c>
      <c r="U301" s="307">
        <f>IFERROR(U300/H300,"0")</f>
        <v>13.698630136986301</v>
      </c>
      <c r="V301" s="307">
        <f>IFERROR(V300/H300,"0")</f>
        <v>14</v>
      </c>
      <c r="W301" s="307">
        <f>IFERROR(IF(W300="",0,W300),"0")</f>
        <v>0.10542</v>
      </c>
      <c r="X301" s="308"/>
      <c r="Y301" s="308"/>
    </row>
    <row r="302" spans="1:52" x14ac:dyDescent="0.2">
      <c r="A302" s="313"/>
      <c r="B302" s="313"/>
      <c r="C302" s="313"/>
      <c r="D302" s="313"/>
      <c r="E302" s="313"/>
      <c r="F302" s="313"/>
      <c r="G302" s="313"/>
      <c r="H302" s="313"/>
      <c r="I302" s="313"/>
      <c r="J302" s="313"/>
      <c r="K302" s="313"/>
      <c r="L302" s="390"/>
      <c r="M302" s="388" t="s">
        <v>64</v>
      </c>
      <c r="N302" s="341"/>
      <c r="O302" s="341"/>
      <c r="P302" s="341"/>
      <c r="Q302" s="341"/>
      <c r="R302" s="341"/>
      <c r="S302" s="342"/>
      <c r="T302" s="38" t="s">
        <v>63</v>
      </c>
      <c r="U302" s="307">
        <f>IFERROR(SUM(U300:U300),"0")</f>
        <v>60</v>
      </c>
      <c r="V302" s="307">
        <f>IFERROR(SUM(V300:V300),"0")</f>
        <v>61.32</v>
      </c>
      <c r="W302" s="38"/>
      <c r="X302" s="308"/>
      <c r="Y302" s="308"/>
    </row>
    <row r="303" spans="1:52" ht="14.25" customHeight="1" x14ac:dyDescent="0.25">
      <c r="A303" s="384" t="s">
        <v>66</v>
      </c>
      <c r="B303" s="313"/>
      <c r="C303" s="313"/>
      <c r="D303" s="313"/>
      <c r="E303" s="313"/>
      <c r="F303" s="313"/>
      <c r="G303" s="313"/>
      <c r="H303" s="313"/>
      <c r="I303" s="313"/>
      <c r="J303" s="313"/>
      <c r="K303" s="313"/>
      <c r="L303" s="313"/>
      <c r="M303" s="313"/>
      <c r="N303" s="313"/>
      <c r="O303" s="313"/>
      <c r="P303" s="313"/>
      <c r="Q303" s="313"/>
      <c r="R303" s="313"/>
      <c r="S303" s="313"/>
      <c r="T303" s="313"/>
      <c r="U303" s="313"/>
      <c r="V303" s="313"/>
      <c r="W303" s="313"/>
      <c r="X303" s="302"/>
      <c r="Y303" s="302"/>
    </row>
    <row r="304" spans="1:52" ht="27" customHeight="1" x14ac:dyDescent="0.25">
      <c r="A304" s="55" t="s">
        <v>425</v>
      </c>
      <c r="B304" s="55" t="s">
        <v>426</v>
      </c>
      <c r="C304" s="32">
        <v>4301051298</v>
      </c>
      <c r="D304" s="385">
        <v>4607091384260</v>
      </c>
      <c r="E304" s="329"/>
      <c r="F304" s="304">
        <v>1.3</v>
      </c>
      <c r="G304" s="33">
        <v>6</v>
      </c>
      <c r="H304" s="304">
        <v>7.8</v>
      </c>
      <c r="I304" s="304">
        <v>8.3640000000000008</v>
      </c>
      <c r="J304" s="33">
        <v>56</v>
      </c>
      <c r="K304" s="34" t="s">
        <v>62</v>
      </c>
      <c r="L304" s="33">
        <v>35</v>
      </c>
      <c r="M304" s="553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4" s="387"/>
      <c r="O304" s="387"/>
      <c r="P304" s="387"/>
      <c r="Q304" s="329"/>
      <c r="R304" s="35"/>
      <c r="S304" s="35"/>
      <c r="T304" s="36" t="s">
        <v>63</v>
      </c>
      <c r="U304" s="305">
        <v>330</v>
      </c>
      <c r="V304" s="306">
        <f>IFERROR(IF(U304="",0,CEILING((U304/$H304),1)*$H304),"")</f>
        <v>335.4</v>
      </c>
      <c r="W304" s="37">
        <f>IFERROR(IF(V304=0,"",ROUNDUP(V304/H304,0)*0.02175),"")</f>
        <v>0.93524999999999991</v>
      </c>
      <c r="X304" s="57"/>
      <c r="Y304" s="58"/>
      <c r="AC304" s="59"/>
      <c r="AZ304" s="223" t="s">
        <v>1</v>
      </c>
    </row>
    <row r="305" spans="1:52" x14ac:dyDescent="0.2">
      <c r="A305" s="389"/>
      <c r="B305" s="313"/>
      <c r="C305" s="313"/>
      <c r="D305" s="313"/>
      <c r="E305" s="313"/>
      <c r="F305" s="313"/>
      <c r="G305" s="313"/>
      <c r="H305" s="313"/>
      <c r="I305" s="313"/>
      <c r="J305" s="313"/>
      <c r="K305" s="313"/>
      <c r="L305" s="390"/>
      <c r="M305" s="388" t="s">
        <v>64</v>
      </c>
      <c r="N305" s="341"/>
      <c r="O305" s="341"/>
      <c r="P305" s="341"/>
      <c r="Q305" s="341"/>
      <c r="R305" s="341"/>
      <c r="S305" s="342"/>
      <c r="T305" s="38" t="s">
        <v>65</v>
      </c>
      <c r="U305" s="307">
        <f>IFERROR(U304/H304,"0")</f>
        <v>42.307692307692307</v>
      </c>
      <c r="V305" s="307">
        <f>IFERROR(V304/H304,"0")</f>
        <v>43</v>
      </c>
      <c r="W305" s="307">
        <f>IFERROR(IF(W304="",0,W304),"0")</f>
        <v>0.93524999999999991</v>
      </c>
      <c r="X305" s="308"/>
      <c r="Y305" s="308"/>
    </row>
    <row r="306" spans="1:52" x14ac:dyDescent="0.2">
      <c r="A306" s="313"/>
      <c r="B306" s="313"/>
      <c r="C306" s="313"/>
      <c r="D306" s="313"/>
      <c r="E306" s="313"/>
      <c r="F306" s="313"/>
      <c r="G306" s="313"/>
      <c r="H306" s="313"/>
      <c r="I306" s="313"/>
      <c r="J306" s="313"/>
      <c r="K306" s="313"/>
      <c r="L306" s="390"/>
      <c r="M306" s="388" t="s">
        <v>64</v>
      </c>
      <c r="N306" s="341"/>
      <c r="O306" s="341"/>
      <c r="P306" s="341"/>
      <c r="Q306" s="341"/>
      <c r="R306" s="341"/>
      <c r="S306" s="342"/>
      <c r="T306" s="38" t="s">
        <v>63</v>
      </c>
      <c r="U306" s="307">
        <f>IFERROR(SUM(U304:U304),"0")</f>
        <v>330</v>
      </c>
      <c r="V306" s="307">
        <f>IFERROR(SUM(V304:V304),"0")</f>
        <v>335.4</v>
      </c>
      <c r="W306" s="38"/>
      <c r="X306" s="308"/>
      <c r="Y306" s="308"/>
    </row>
    <row r="307" spans="1:52" ht="14.25" customHeight="1" x14ac:dyDescent="0.25">
      <c r="A307" s="384" t="s">
        <v>195</v>
      </c>
      <c r="B307" s="313"/>
      <c r="C307" s="313"/>
      <c r="D307" s="313"/>
      <c r="E307" s="313"/>
      <c r="F307" s="313"/>
      <c r="G307" s="313"/>
      <c r="H307" s="313"/>
      <c r="I307" s="313"/>
      <c r="J307" s="313"/>
      <c r="K307" s="313"/>
      <c r="L307" s="313"/>
      <c r="M307" s="313"/>
      <c r="N307" s="313"/>
      <c r="O307" s="313"/>
      <c r="P307" s="313"/>
      <c r="Q307" s="313"/>
      <c r="R307" s="313"/>
      <c r="S307" s="313"/>
      <c r="T307" s="313"/>
      <c r="U307" s="313"/>
      <c r="V307" s="313"/>
      <c r="W307" s="313"/>
      <c r="X307" s="302"/>
      <c r="Y307" s="302"/>
    </row>
    <row r="308" spans="1:52" ht="16.5" customHeight="1" x14ac:dyDescent="0.25">
      <c r="A308" s="55" t="s">
        <v>427</v>
      </c>
      <c r="B308" s="55" t="s">
        <v>428</v>
      </c>
      <c r="C308" s="32">
        <v>4301060314</v>
      </c>
      <c r="D308" s="385">
        <v>4607091384673</v>
      </c>
      <c r="E308" s="329"/>
      <c r="F308" s="304">
        <v>1.3</v>
      </c>
      <c r="G308" s="33">
        <v>6</v>
      </c>
      <c r="H308" s="304">
        <v>7.8</v>
      </c>
      <c r="I308" s="304">
        <v>8.3640000000000008</v>
      </c>
      <c r="J308" s="33">
        <v>56</v>
      </c>
      <c r="K308" s="34" t="s">
        <v>62</v>
      </c>
      <c r="L308" s="33">
        <v>30</v>
      </c>
      <c r="M308" s="55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08" s="387"/>
      <c r="O308" s="387"/>
      <c r="P308" s="387"/>
      <c r="Q308" s="329"/>
      <c r="R308" s="35"/>
      <c r="S308" s="35"/>
      <c r="T308" s="36" t="s">
        <v>63</v>
      </c>
      <c r="U308" s="305">
        <v>170</v>
      </c>
      <c r="V308" s="306">
        <f>IFERROR(IF(U308="",0,CEILING((U308/$H308),1)*$H308),"")</f>
        <v>171.6</v>
      </c>
      <c r="W308" s="37">
        <f>IFERROR(IF(V308=0,"",ROUNDUP(V308/H308,0)*0.02175),"")</f>
        <v>0.47849999999999998</v>
      </c>
      <c r="X308" s="57"/>
      <c r="Y308" s="58"/>
      <c r="AC308" s="59"/>
      <c r="AZ308" s="224" t="s">
        <v>1</v>
      </c>
    </row>
    <row r="309" spans="1:52" x14ac:dyDescent="0.2">
      <c r="A309" s="389"/>
      <c r="B309" s="313"/>
      <c r="C309" s="313"/>
      <c r="D309" s="313"/>
      <c r="E309" s="313"/>
      <c r="F309" s="313"/>
      <c r="G309" s="313"/>
      <c r="H309" s="313"/>
      <c r="I309" s="313"/>
      <c r="J309" s="313"/>
      <c r="K309" s="313"/>
      <c r="L309" s="390"/>
      <c r="M309" s="388" t="s">
        <v>64</v>
      </c>
      <c r="N309" s="341"/>
      <c r="O309" s="341"/>
      <c r="P309" s="341"/>
      <c r="Q309" s="341"/>
      <c r="R309" s="341"/>
      <c r="S309" s="342"/>
      <c r="T309" s="38" t="s">
        <v>65</v>
      </c>
      <c r="U309" s="307">
        <f>IFERROR(U308/H308,"0")</f>
        <v>21.794871794871796</v>
      </c>
      <c r="V309" s="307">
        <f>IFERROR(V308/H308,"0")</f>
        <v>22</v>
      </c>
      <c r="W309" s="307">
        <f>IFERROR(IF(W308="",0,W308),"0")</f>
        <v>0.47849999999999998</v>
      </c>
      <c r="X309" s="308"/>
      <c r="Y309" s="308"/>
    </row>
    <row r="310" spans="1:52" x14ac:dyDescent="0.2">
      <c r="A310" s="313"/>
      <c r="B310" s="313"/>
      <c r="C310" s="313"/>
      <c r="D310" s="313"/>
      <c r="E310" s="313"/>
      <c r="F310" s="313"/>
      <c r="G310" s="313"/>
      <c r="H310" s="313"/>
      <c r="I310" s="313"/>
      <c r="J310" s="313"/>
      <c r="K310" s="313"/>
      <c r="L310" s="390"/>
      <c r="M310" s="388" t="s">
        <v>64</v>
      </c>
      <c r="N310" s="341"/>
      <c r="O310" s="341"/>
      <c r="P310" s="341"/>
      <c r="Q310" s="341"/>
      <c r="R310" s="341"/>
      <c r="S310" s="342"/>
      <c r="T310" s="38" t="s">
        <v>63</v>
      </c>
      <c r="U310" s="307">
        <f>IFERROR(SUM(U308:U308),"0")</f>
        <v>170</v>
      </c>
      <c r="V310" s="307">
        <f>IFERROR(SUM(V308:V308),"0")</f>
        <v>171.6</v>
      </c>
      <c r="W310" s="38"/>
      <c r="X310" s="308"/>
      <c r="Y310" s="308"/>
    </row>
    <row r="311" spans="1:52" ht="16.5" customHeight="1" x14ac:dyDescent="0.25">
      <c r="A311" s="383" t="s">
        <v>429</v>
      </c>
      <c r="B311" s="313"/>
      <c r="C311" s="313"/>
      <c r="D311" s="313"/>
      <c r="E311" s="313"/>
      <c r="F311" s="313"/>
      <c r="G311" s="313"/>
      <c r="H311" s="313"/>
      <c r="I311" s="313"/>
      <c r="J311" s="313"/>
      <c r="K311" s="313"/>
      <c r="L311" s="313"/>
      <c r="M311" s="313"/>
      <c r="N311" s="313"/>
      <c r="O311" s="313"/>
      <c r="P311" s="313"/>
      <c r="Q311" s="313"/>
      <c r="R311" s="313"/>
      <c r="S311" s="313"/>
      <c r="T311" s="313"/>
      <c r="U311" s="313"/>
      <c r="V311" s="313"/>
      <c r="W311" s="313"/>
      <c r="X311" s="301"/>
      <c r="Y311" s="301"/>
    </row>
    <row r="312" spans="1:52" ht="14.25" customHeight="1" x14ac:dyDescent="0.25">
      <c r="A312" s="384" t="s">
        <v>100</v>
      </c>
      <c r="B312" s="313"/>
      <c r="C312" s="313"/>
      <c r="D312" s="313"/>
      <c r="E312" s="313"/>
      <c r="F312" s="313"/>
      <c r="G312" s="313"/>
      <c r="H312" s="313"/>
      <c r="I312" s="313"/>
      <c r="J312" s="313"/>
      <c r="K312" s="313"/>
      <c r="L312" s="313"/>
      <c r="M312" s="313"/>
      <c r="N312" s="313"/>
      <c r="O312" s="313"/>
      <c r="P312" s="313"/>
      <c r="Q312" s="313"/>
      <c r="R312" s="313"/>
      <c r="S312" s="313"/>
      <c r="T312" s="313"/>
      <c r="U312" s="313"/>
      <c r="V312" s="313"/>
      <c r="W312" s="313"/>
      <c r="X312" s="302"/>
      <c r="Y312" s="302"/>
    </row>
    <row r="313" spans="1:52" ht="27" customHeight="1" x14ac:dyDescent="0.25">
      <c r="A313" s="55" t="s">
        <v>430</v>
      </c>
      <c r="B313" s="55" t="s">
        <v>431</v>
      </c>
      <c r="C313" s="32">
        <v>4301011324</v>
      </c>
      <c r="D313" s="385">
        <v>4607091384185</v>
      </c>
      <c r="E313" s="329"/>
      <c r="F313" s="304">
        <v>0.8</v>
      </c>
      <c r="G313" s="33">
        <v>15</v>
      </c>
      <c r="H313" s="304">
        <v>12</v>
      </c>
      <c r="I313" s="304">
        <v>12.48</v>
      </c>
      <c r="J313" s="33">
        <v>56</v>
      </c>
      <c r="K313" s="34" t="s">
        <v>62</v>
      </c>
      <c r="L313" s="33">
        <v>60</v>
      </c>
      <c r="M313" s="555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13" s="387"/>
      <c r="O313" s="387"/>
      <c r="P313" s="387"/>
      <c r="Q313" s="329"/>
      <c r="R313" s="35"/>
      <c r="S313" s="35"/>
      <c r="T313" s="36" t="s">
        <v>63</v>
      </c>
      <c r="U313" s="305">
        <v>130</v>
      </c>
      <c r="V313" s="306">
        <f>IFERROR(IF(U313="",0,CEILING((U313/$H313),1)*$H313),"")</f>
        <v>132</v>
      </c>
      <c r="W313" s="37">
        <f>IFERROR(IF(V313=0,"",ROUNDUP(V313/H313,0)*0.02175),"")</f>
        <v>0.23924999999999999</v>
      </c>
      <c r="X313" s="57"/>
      <c r="Y313" s="58"/>
      <c r="AC313" s="59"/>
      <c r="AZ313" s="225" t="s">
        <v>1</v>
      </c>
    </row>
    <row r="314" spans="1:52" ht="27" customHeight="1" x14ac:dyDescent="0.25">
      <c r="A314" s="55" t="s">
        <v>432</v>
      </c>
      <c r="B314" s="55" t="s">
        <v>433</v>
      </c>
      <c r="C314" s="32">
        <v>4301011312</v>
      </c>
      <c r="D314" s="385">
        <v>4607091384192</v>
      </c>
      <c r="E314" s="329"/>
      <c r="F314" s="304">
        <v>1.8</v>
      </c>
      <c r="G314" s="33">
        <v>6</v>
      </c>
      <c r="H314" s="304">
        <v>10.8</v>
      </c>
      <c r="I314" s="304">
        <v>11.28</v>
      </c>
      <c r="J314" s="33">
        <v>56</v>
      </c>
      <c r="K314" s="34" t="s">
        <v>96</v>
      </c>
      <c r="L314" s="33">
        <v>60</v>
      </c>
      <c r="M314" s="55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4" s="387"/>
      <c r="O314" s="387"/>
      <c r="P314" s="387"/>
      <c r="Q314" s="329"/>
      <c r="R314" s="35"/>
      <c r="S314" s="35"/>
      <c r="T314" s="36" t="s">
        <v>63</v>
      </c>
      <c r="U314" s="305">
        <v>0</v>
      </c>
      <c r="V314" s="306">
        <f>IFERROR(IF(U314="",0,CEILING((U314/$H314),1)*$H314),"")</f>
        <v>0</v>
      </c>
      <c r="W314" s="37" t="str">
        <f>IFERROR(IF(V314=0,"",ROUNDUP(V314/H314,0)*0.02175),"")</f>
        <v/>
      </c>
      <c r="X314" s="57"/>
      <c r="Y314" s="58"/>
      <c r="AC314" s="59"/>
      <c r="AZ314" s="226" t="s">
        <v>1</v>
      </c>
    </row>
    <row r="315" spans="1:52" ht="27" customHeight="1" x14ac:dyDescent="0.25">
      <c r="A315" s="55" t="s">
        <v>434</v>
      </c>
      <c r="B315" s="55" t="s">
        <v>435</v>
      </c>
      <c r="C315" s="32">
        <v>4301011483</v>
      </c>
      <c r="D315" s="385">
        <v>4680115881907</v>
      </c>
      <c r="E315" s="329"/>
      <c r="F315" s="304">
        <v>1.8</v>
      </c>
      <c r="G315" s="33">
        <v>6</v>
      </c>
      <c r="H315" s="304">
        <v>10.8</v>
      </c>
      <c r="I315" s="304">
        <v>11.28</v>
      </c>
      <c r="J315" s="33">
        <v>56</v>
      </c>
      <c r="K315" s="34" t="s">
        <v>62</v>
      </c>
      <c r="L315" s="33">
        <v>60</v>
      </c>
      <c r="M315" s="55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5" s="387"/>
      <c r="O315" s="387"/>
      <c r="P315" s="387"/>
      <c r="Q315" s="329"/>
      <c r="R315" s="35"/>
      <c r="S315" s="35"/>
      <c r="T315" s="36" t="s">
        <v>63</v>
      </c>
      <c r="U315" s="305">
        <v>0</v>
      </c>
      <c r="V315" s="306">
        <f>IFERROR(IF(U315="",0,CEILING((U315/$H315),1)*$H315),"")</f>
        <v>0</v>
      </c>
      <c r="W315" s="37" t="str">
        <f>IFERROR(IF(V315=0,"",ROUNDUP(V315/H315,0)*0.02175),"")</f>
        <v/>
      </c>
      <c r="X315" s="57"/>
      <c r="Y315" s="58"/>
      <c r="AC315" s="59"/>
      <c r="AZ315" s="227" t="s">
        <v>1</v>
      </c>
    </row>
    <row r="316" spans="1:52" ht="27" customHeight="1" x14ac:dyDescent="0.25">
      <c r="A316" s="55" t="s">
        <v>436</v>
      </c>
      <c r="B316" s="55" t="s">
        <v>437</v>
      </c>
      <c r="C316" s="32">
        <v>4301011303</v>
      </c>
      <c r="D316" s="385">
        <v>4607091384680</v>
      </c>
      <c r="E316" s="329"/>
      <c r="F316" s="304">
        <v>0.4</v>
      </c>
      <c r="G316" s="33">
        <v>10</v>
      </c>
      <c r="H316" s="304">
        <v>4</v>
      </c>
      <c r="I316" s="304">
        <v>4.21</v>
      </c>
      <c r="J316" s="33">
        <v>120</v>
      </c>
      <c r="K316" s="34" t="s">
        <v>62</v>
      </c>
      <c r="L316" s="33">
        <v>60</v>
      </c>
      <c r="M316" s="558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16" s="387"/>
      <c r="O316" s="387"/>
      <c r="P316" s="387"/>
      <c r="Q316" s="329"/>
      <c r="R316" s="35"/>
      <c r="S316" s="35"/>
      <c r="T316" s="36" t="s">
        <v>63</v>
      </c>
      <c r="U316" s="305">
        <v>0</v>
      </c>
      <c r="V316" s="306">
        <f>IFERROR(IF(U316="",0,CEILING((U316/$H316),1)*$H316),"")</f>
        <v>0</v>
      </c>
      <c r="W316" s="37" t="str">
        <f>IFERROR(IF(V316=0,"",ROUNDUP(V316/H316,0)*0.00937),"")</f>
        <v/>
      </c>
      <c r="X316" s="57"/>
      <c r="Y316" s="58"/>
      <c r="AC316" s="59"/>
      <c r="AZ316" s="228" t="s">
        <v>1</v>
      </c>
    </row>
    <row r="317" spans="1:52" x14ac:dyDescent="0.2">
      <c r="A317" s="389"/>
      <c r="B317" s="313"/>
      <c r="C317" s="313"/>
      <c r="D317" s="313"/>
      <c r="E317" s="313"/>
      <c r="F317" s="313"/>
      <c r="G317" s="313"/>
      <c r="H317" s="313"/>
      <c r="I317" s="313"/>
      <c r="J317" s="313"/>
      <c r="K317" s="313"/>
      <c r="L317" s="390"/>
      <c r="M317" s="388" t="s">
        <v>64</v>
      </c>
      <c r="N317" s="341"/>
      <c r="O317" s="341"/>
      <c r="P317" s="341"/>
      <c r="Q317" s="341"/>
      <c r="R317" s="341"/>
      <c r="S317" s="342"/>
      <c r="T317" s="38" t="s">
        <v>65</v>
      </c>
      <c r="U317" s="307">
        <f>IFERROR(U313/H313,"0")+IFERROR(U314/H314,"0")+IFERROR(U315/H315,"0")+IFERROR(U316/H316,"0")</f>
        <v>10.833333333333334</v>
      </c>
      <c r="V317" s="307">
        <f>IFERROR(V313/H313,"0")+IFERROR(V314/H314,"0")+IFERROR(V315/H315,"0")+IFERROR(V316/H316,"0")</f>
        <v>11</v>
      </c>
      <c r="W317" s="307">
        <f>IFERROR(IF(W313="",0,W313),"0")+IFERROR(IF(W314="",0,W314),"0")+IFERROR(IF(W315="",0,W315),"0")+IFERROR(IF(W316="",0,W316),"0")</f>
        <v>0.23924999999999999</v>
      </c>
      <c r="X317" s="308"/>
      <c r="Y317" s="308"/>
    </row>
    <row r="318" spans="1:52" x14ac:dyDescent="0.2">
      <c r="A318" s="313"/>
      <c r="B318" s="313"/>
      <c r="C318" s="313"/>
      <c r="D318" s="313"/>
      <c r="E318" s="313"/>
      <c r="F318" s="313"/>
      <c r="G318" s="313"/>
      <c r="H318" s="313"/>
      <c r="I318" s="313"/>
      <c r="J318" s="313"/>
      <c r="K318" s="313"/>
      <c r="L318" s="390"/>
      <c r="M318" s="388" t="s">
        <v>64</v>
      </c>
      <c r="N318" s="341"/>
      <c r="O318" s="341"/>
      <c r="P318" s="341"/>
      <c r="Q318" s="341"/>
      <c r="R318" s="341"/>
      <c r="S318" s="342"/>
      <c r="T318" s="38" t="s">
        <v>63</v>
      </c>
      <c r="U318" s="307">
        <f>IFERROR(SUM(U313:U316),"0")</f>
        <v>130</v>
      </c>
      <c r="V318" s="307">
        <f>IFERROR(SUM(V313:V316),"0")</f>
        <v>132</v>
      </c>
      <c r="W318" s="38"/>
      <c r="X318" s="308"/>
      <c r="Y318" s="308"/>
    </row>
    <row r="319" spans="1:52" ht="14.25" customHeight="1" x14ac:dyDescent="0.25">
      <c r="A319" s="384" t="s">
        <v>59</v>
      </c>
      <c r="B319" s="313"/>
      <c r="C319" s="313"/>
      <c r="D319" s="313"/>
      <c r="E319" s="313"/>
      <c r="F319" s="313"/>
      <c r="G319" s="313"/>
      <c r="H319" s="313"/>
      <c r="I319" s="313"/>
      <c r="J319" s="313"/>
      <c r="K319" s="313"/>
      <c r="L319" s="313"/>
      <c r="M319" s="313"/>
      <c r="N319" s="313"/>
      <c r="O319" s="313"/>
      <c r="P319" s="313"/>
      <c r="Q319" s="313"/>
      <c r="R319" s="313"/>
      <c r="S319" s="313"/>
      <c r="T319" s="313"/>
      <c r="U319" s="313"/>
      <c r="V319" s="313"/>
      <c r="W319" s="313"/>
      <c r="X319" s="302"/>
      <c r="Y319" s="302"/>
    </row>
    <row r="320" spans="1:52" ht="27" customHeight="1" x14ac:dyDescent="0.25">
      <c r="A320" s="55" t="s">
        <v>438</v>
      </c>
      <c r="B320" s="55" t="s">
        <v>439</v>
      </c>
      <c r="C320" s="32">
        <v>4301031139</v>
      </c>
      <c r="D320" s="385">
        <v>4607091384802</v>
      </c>
      <c r="E320" s="329"/>
      <c r="F320" s="304">
        <v>0.73</v>
      </c>
      <c r="G320" s="33">
        <v>6</v>
      </c>
      <c r="H320" s="304">
        <v>4.38</v>
      </c>
      <c r="I320" s="304">
        <v>4.58</v>
      </c>
      <c r="J320" s="33">
        <v>156</v>
      </c>
      <c r="K320" s="34" t="s">
        <v>62</v>
      </c>
      <c r="L320" s="33">
        <v>35</v>
      </c>
      <c r="M320" s="559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20" s="387"/>
      <c r="O320" s="387"/>
      <c r="P320" s="387"/>
      <c r="Q320" s="329"/>
      <c r="R320" s="35"/>
      <c r="S320" s="35"/>
      <c r="T320" s="36" t="s">
        <v>63</v>
      </c>
      <c r="U320" s="305">
        <v>110</v>
      </c>
      <c r="V320" s="306">
        <f>IFERROR(IF(U320="",0,CEILING((U320/$H320),1)*$H320),"")</f>
        <v>113.88</v>
      </c>
      <c r="W320" s="37">
        <f>IFERROR(IF(V320=0,"",ROUNDUP(V320/H320,0)*0.00753),"")</f>
        <v>0.19578000000000001</v>
      </c>
      <c r="X320" s="57"/>
      <c r="Y320" s="58"/>
      <c r="AC320" s="59"/>
      <c r="AZ320" s="229" t="s">
        <v>1</v>
      </c>
    </row>
    <row r="321" spans="1:52" ht="27" customHeight="1" x14ac:dyDescent="0.25">
      <c r="A321" s="55" t="s">
        <v>440</v>
      </c>
      <c r="B321" s="55" t="s">
        <v>441</v>
      </c>
      <c r="C321" s="32">
        <v>4301031140</v>
      </c>
      <c r="D321" s="385">
        <v>4607091384826</v>
      </c>
      <c r="E321" s="329"/>
      <c r="F321" s="304">
        <v>0.35</v>
      </c>
      <c r="G321" s="33">
        <v>8</v>
      </c>
      <c r="H321" s="304">
        <v>2.8</v>
      </c>
      <c r="I321" s="304">
        <v>2.9</v>
      </c>
      <c r="J321" s="33">
        <v>234</v>
      </c>
      <c r="K321" s="34" t="s">
        <v>62</v>
      </c>
      <c r="L321" s="33">
        <v>35</v>
      </c>
      <c r="M321" s="560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21" s="387"/>
      <c r="O321" s="387"/>
      <c r="P321" s="387"/>
      <c r="Q321" s="329"/>
      <c r="R321" s="35"/>
      <c r="S321" s="35"/>
      <c r="T321" s="36" t="s">
        <v>63</v>
      </c>
      <c r="U321" s="305">
        <v>0</v>
      </c>
      <c r="V321" s="306">
        <f>IFERROR(IF(U321="",0,CEILING((U321/$H321),1)*$H321),"")</f>
        <v>0</v>
      </c>
      <c r="W321" s="37" t="str">
        <f>IFERROR(IF(V321=0,"",ROUNDUP(V321/H321,0)*0.00502),"")</f>
        <v/>
      </c>
      <c r="X321" s="57"/>
      <c r="Y321" s="58"/>
      <c r="AC321" s="59"/>
      <c r="AZ321" s="230" t="s">
        <v>1</v>
      </c>
    </row>
    <row r="322" spans="1:52" x14ac:dyDescent="0.2">
      <c r="A322" s="389"/>
      <c r="B322" s="313"/>
      <c r="C322" s="313"/>
      <c r="D322" s="313"/>
      <c r="E322" s="313"/>
      <c r="F322" s="313"/>
      <c r="G322" s="313"/>
      <c r="H322" s="313"/>
      <c r="I322" s="313"/>
      <c r="J322" s="313"/>
      <c r="K322" s="313"/>
      <c r="L322" s="390"/>
      <c r="M322" s="388" t="s">
        <v>64</v>
      </c>
      <c r="N322" s="341"/>
      <c r="O322" s="341"/>
      <c r="P322" s="341"/>
      <c r="Q322" s="341"/>
      <c r="R322" s="341"/>
      <c r="S322" s="342"/>
      <c r="T322" s="38" t="s">
        <v>65</v>
      </c>
      <c r="U322" s="307">
        <f>IFERROR(U320/H320,"0")+IFERROR(U321/H321,"0")</f>
        <v>25.114155251141554</v>
      </c>
      <c r="V322" s="307">
        <f>IFERROR(V320/H320,"0")+IFERROR(V321/H321,"0")</f>
        <v>26</v>
      </c>
      <c r="W322" s="307">
        <f>IFERROR(IF(W320="",0,W320),"0")+IFERROR(IF(W321="",0,W321),"0")</f>
        <v>0.19578000000000001</v>
      </c>
      <c r="X322" s="308"/>
      <c r="Y322" s="308"/>
    </row>
    <row r="323" spans="1:52" x14ac:dyDescent="0.2">
      <c r="A323" s="313"/>
      <c r="B323" s="313"/>
      <c r="C323" s="313"/>
      <c r="D323" s="313"/>
      <c r="E323" s="313"/>
      <c r="F323" s="313"/>
      <c r="G323" s="313"/>
      <c r="H323" s="313"/>
      <c r="I323" s="313"/>
      <c r="J323" s="313"/>
      <c r="K323" s="313"/>
      <c r="L323" s="390"/>
      <c r="M323" s="388" t="s">
        <v>64</v>
      </c>
      <c r="N323" s="341"/>
      <c r="O323" s="341"/>
      <c r="P323" s="341"/>
      <c r="Q323" s="341"/>
      <c r="R323" s="341"/>
      <c r="S323" s="342"/>
      <c r="T323" s="38" t="s">
        <v>63</v>
      </c>
      <c r="U323" s="307">
        <f>IFERROR(SUM(U320:U321),"0")</f>
        <v>110</v>
      </c>
      <c r="V323" s="307">
        <f>IFERROR(SUM(V320:V321),"0")</f>
        <v>113.88</v>
      </c>
      <c r="W323" s="38"/>
      <c r="X323" s="308"/>
      <c r="Y323" s="308"/>
    </row>
    <row r="324" spans="1:52" ht="14.25" customHeight="1" x14ac:dyDescent="0.25">
      <c r="A324" s="384" t="s">
        <v>66</v>
      </c>
      <c r="B324" s="313"/>
      <c r="C324" s="313"/>
      <c r="D324" s="313"/>
      <c r="E324" s="313"/>
      <c r="F324" s="313"/>
      <c r="G324" s="313"/>
      <c r="H324" s="313"/>
      <c r="I324" s="313"/>
      <c r="J324" s="313"/>
      <c r="K324" s="313"/>
      <c r="L324" s="313"/>
      <c r="M324" s="313"/>
      <c r="N324" s="313"/>
      <c r="O324" s="313"/>
      <c r="P324" s="313"/>
      <c r="Q324" s="313"/>
      <c r="R324" s="313"/>
      <c r="S324" s="313"/>
      <c r="T324" s="313"/>
      <c r="U324" s="313"/>
      <c r="V324" s="313"/>
      <c r="W324" s="313"/>
      <c r="X324" s="302"/>
      <c r="Y324" s="302"/>
    </row>
    <row r="325" spans="1:52" ht="27" customHeight="1" x14ac:dyDescent="0.25">
      <c r="A325" s="55" t="s">
        <v>442</v>
      </c>
      <c r="B325" s="55" t="s">
        <v>443</v>
      </c>
      <c r="C325" s="32">
        <v>4301051303</v>
      </c>
      <c r="D325" s="385">
        <v>4607091384246</v>
      </c>
      <c r="E325" s="329"/>
      <c r="F325" s="304">
        <v>1.3</v>
      </c>
      <c r="G325" s="33">
        <v>6</v>
      </c>
      <c r="H325" s="304">
        <v>7.8</v>
      </c>
      <c r="I325" s="304">
        <v>8.3640000000000008</v>
      </c>
      <c r="J325" s="33">
        <v>56</v>
      </c>
      <c r="K325" s="34" t="s">
        <v>62</v>
      </c>
      <c r="L325" s="33">
        <v>40</v>
      </c>
      <c r="M325" s="561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5" s="387"/>
      <c r="O325" s="387"/>
      <c r="P325" s="387"/>
      <c r="Q325" s="329"/>
      <c r="R325" s="35"/>
      <c r="S325" s="35"/>
      <c r="T325" s="36" t="s">
        <v>63</v>
      </c>
      <c r="U325" s="305">
        <v>0</v>
      </c>
      <c r="V325" s="306">
        <f>IFERROR(IF(U325="",0,CEILING((U325/$H325),1)*$H325),"")</f>
        <v>0</v>
      </c>
      <c r="W325" s="37" t="str">
        <f>IFERROR(IF(V325=0,"",ROUNDUP(V325/H325,0)*0.02175),"")</f>
        <v/>
      </c>
      <c r="X325" s="57"/>
      <c r="Y325" s="58"/>
      <c r="AC325" s="59"/>
      <c r="AZ325" s="231" t="s">
        <v>1</v>
      </c>
    </row>
    <row r="326" spans="1:52" ht="27" customHeight="1" x14ac:dyDescent="0.25">
      <c r="A326" s="55" t="s">
        <v>444</v>
      </c>
      <c r="B326" s="55" t="s">
        <v>445</v>
      </c>
      <c r="C326" s="32">
        <v>4301051445</v>
      </c>
      <c r="D326" s="385">
        <v>4680115881976</v>
      </c>
      <c r="E326" s="329"/>
      <c r="F326" s="304">
        <v>1.3</v>
      </c>
      <c r="G326" s="33">
        <v>6</v>
      </c>
      <c r="H326" s="304">
        <v>7.8</v>
      </c>
      <c r="I326" s="304">
        <v>8.2799999999999994</v>
      </c>
      <c r="J326" s="33">
        <v>56</v>
      </c>
      <c r="K326" s="34" t="s">
        <v>62</v>
      </c>
      <c r="L326" s="33">
        <v>40</v>
      </c>
      <c r="M326" s="562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26" s="387"/>
      <c r="O326" s="387"/>
      <c r="P326" s="387"/>
      <c r="Q326" s="329"/>
      <c r="R326" s="35"/>
      <c r="S326" s="35"/>
      <c r="T326" s="36" t="s">
        <v>63</v>
      </c>
      <c r="U326" s="305">
        <v>0</v>
      </c>
      <c r="V326" s="306">
        <f>IFERROR(IF(U326="",0,CEILING((U326/$H326),1)*$H326),"")</f>
        <v>0</v>
      </c>
      <c r="W326" s="37" t="str">
        <f>IFERROR(IF(V326=0,"",ROUNDUP(V326/H326,0)*0.02175),"")</f>
        <v/>
      </c>
      <c r="X326" s="57"/>
      <c r="Y326" s="58"/>
      <c r="AC326" s="59"/>
      <c r="AZ326" s="232" t="s">
        <v>1</v>
      </c>
    </row>
    <row r="327" spans="1:52" ht="27" customHeight="1" x14ac:dyDescent="0.25">
      <c r="A327" s="55" t="s">
        <v>446</v>
      </c>
      <c r="B327" s="55" t="s">
        <v>447</v>
      </c>
      <c r="C327" s="32">
        <v>4301051297</v>
      </c>
      <c r="D327" s="385">
        <v>4607091384253</v>
      </c>
      <c r="E327" s="329"/>
      <c r="F327" s="304">
        <v>0.4</v>
      </c>
      <c r="G327" s="33">
        <v>6</v>
      </c>
      <c r="H327" s="304">
        <v>2.4</v>
      </c>
      <c r="I327" s="304">
        <v>2.6840000000000002</v>
      </c>
      <c r="J327" s="33">
        <v>156</v>
      </c>
      <c r="K327" s="34" t="s">
        <v>62</v>
      </c>
      <c r="L327" s="33">
        <v>40</v>
      </c>
      <c r="M327" s="56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27" s="387"/>
      <c r="O327" s="387"/>
      <c r="P327" s="387"/>
      <c r="Q327" s="329"/>
      <c r="R327" s="35"/>
      <c r="S327" s="35"/>
      <c r="T327" s="36" t="s">
        <v>63</v>
      </c>
      <c r="U327" s="305">
        <v>0</v>
      </c>
      <c r="V327" s="306">
        <f>IFERROR(IF(U327="",0,CEILING((U327/$H327),1)*$H327),"")</f>
        <v>0</v>
      </c>
      <c r="W327" s="37" t="str">
        <f>IFERROR(IF(V327=0,"",ROUNDUP(V327/H327,0)*0.00753),"")</f>
        <v/>
      </c>
      <c r="X327" s="57"/>
      <c r="Y327" s="58"/>
      <c r="AC327" s="59"/>
      <c r="AZ327" s="233" t="s">
        <v>1</v>
      </c>
    </row>
    <row r="328" spans="1:52" ht="27" customHeight="1" x14ac:dyDescent="0.25">
      <c r="A328" s="55" t="s">
        <v>448</v>
      </c>
      <c r="B328" s="55" t="s">
        <v>449</v>
      </c>
      <c r="C328" s="32">
        <v>4301051444</v>
      </c>
      <c r="D328" s="385">
        <v>4680115881969</v>
      </c>
      <c r="E328" s="329"/>
      <c r="F328" s="304">
        <v>0.4</v>
      </c>
      <c r="G328" s="33">
        <v>6</v>
      </c>
      <c r="H328" s="304">
        <v>2.4</v>
      </c>
      <c r="I328" s="304">
        <v>2.6</v>
      </c>
      <c r="J328" s="33">
        <v>156</v>
      </c>
      <c r="K328" s="34" t="s">
        <v>62</v>
      </c>
      <c r="L328" s="33">
        <v>40</v>
      </c>
      <c r="M328" s="56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28" s="387"/>
      <c r="O328" s="387"/>
      <c r="P328" s="387"/>
      <c r="Q328" s="329"/>
      <c r="R328" s="35"/>
      <c r="S328" s="35"/>
      <c r="T328" s="36" t="s">
        <v>63</v>
      </c>
      <c r="U328" s="305">
        <v>0</v>
      </c>
      <c r="V328" s="306">
        <f>IFERROR(IF(U328="",0,CEILING((U328/$H328),1)*$H328),"")</f>
        <v>0</v>
      </c>
      <c r="W328" s="37" t="str">
        <f>IFERROR(IF(V328=0,"",ROUNDUP(V328/H328,0)*0.00753),"")</f>
        <v/>
      </c>
      <c r="X328" s="57"/>
      <c r="Y328" s="58"/>
      <c r="AC328" s="59"/>
      <c r="AZ328" s="234" t="s">
        <v>1</v>
      </c>
    </row>
    <row r="329" spans="1:52" x14ac:dyDescent="0.2">
      <c r="A329" s="389"/>
      <c r="B329" s="313"/>
      <c r="C329" s="313"/>
      <c r="D329" s="313"/>
      <c r="E329" s="313"/>
      <c r="F329" s="313"/>
      <c r="G329" s="313"/>
      <c r="H329" s="313"/>
      <c r="I329" s="313"/>
      <c r="J329" s="313"/>
      <c r="K329" s="313"/>
      <c r="L329" s="390"/>
      <c r="M329" s="388" t="s">
        <v>64</v>
      </c>
      <c r="N329" s="341"/>
      <c r="O329" s="341"/>
      <c r="P329" s="341"/>
      <c r="Q329" s="341"/>
      <c r="R329" s="341"/>
      <c r="S329" s="342"/>
      <c r="T329" s="38" t="s">
        <v>65</v>
      </c>
      <c r="U329" s="307">
        <f>IFERROR(U325/H325,"0")+IFERROR(U326/H326,"0")+IFERROR(U327/H327,"0")+IFERROR(U328/H328,"0")</f>
        <v>0</v>
      </c>
      <c r="V329" s="307">
        <f>IFERROR(V325/H325,"0")+IFERROR(V326/H326,"0")+IFERROR(V327/H327,"0")+IFERROR(V328/H328,"0")</f>
        <v>0</v>
      </c>
      <c r="W329" s="307">
        <f>IFERROR(IF(W325="",0,W325),"0")+IFERROR(IF(W326="",0,W326),"0")+IFERROR(IF(W327="",0,W327),"0")+IFERROR(IF(W328="",0,W328),"0")</f>
        <v>0</v>
      </c>
      <c r="X329" s="308"/>
      <c r="Y329" s="308"/>
    </row>
    <row r="330" spans="1:52" x14ac:dyDescent="0.2">
      <c r="A330" s="313"/>
      <c r="B330" s="313"/>
      <c r="C330" s="313"/>
      <c r="D330" s="313"/>
      <c r="E330" s="313"/>
      <c r="F330" s="313"/>
      <c r="G330" s="313"/>
      <c r="H330" s="313"/>
      <c r="I330" s="313"/>
      <c r="J330" s="313"/>
      <c r="K330" s="313"/>
      <c r="L330" s="390"/>
      <c r="M330" s="388" t="s">
        <v>64</v>
      </c>
      <c r="N330" s="341"/>
      <c r="O330" s="341"/>
      <c r="P330" s="341"/>
      <c r="Q330" s="341"/>
      <c r="R330" s="341"/>
      <c r="S330" s="342"/>
      <c r="T330" s="38" t="s">
        <v>63</v>
      </c>
      <c r="U330" s="307">
        <f>IFERROR(SUM(U325:U328),"0")</f>
        <v>0</v>
      </c>
      <c r="V330" s="307">
        <f>IFERROR(SUM(V325:V328),"0")</f>
        <v>0</v>
      </c>
      <c r="W330" s="38"/>
      <c r="X330" s="308"/>
      <c r="Y330" s="308"/>
    </row>
    <row r="331" spans="1:52" ht="14.25" customHeight="1" x14ac:dyDescent="0.25">
      <c r="A331" s="384" t="s">
        <v>195</v>
      </c>
      <c r="B331" s="313"/>
      <c r="C331" s="313"/>
      <c r="D331" s="313"/>
      <c r="E331" s="313"/>
      <c r="F331" s="313"/>
      <c r="G331" s="313"/>
      <c r="H331" s="313"/>
      <c r="I331" s="313"/>
      <c r="J331" s="313"/>
      <c r="K331" s="313"/>
      <c r="L331" s="313"/>
      <c r="M331" s="313"/>
      <c r="N331" s="313"/>
      <c r="O331" s="313"/>
      <c r="P331" s="313"/>
      <c r="Q331" s="313"/>
      <c r="R331" s="313"/>
      <c r="S331" s="313"/>
      <c r="T331" s="313"/>
      <c r="U331" s="313"/>
      <c r="V331" s="313"/>
      <c r="W331" s="313"/>
      <c r="X331" s="302"/>
      <c r="Y331" s="302"/>
    </row>
    <row r="332" spans="1:52" ht="27" customHeight="1" x14ac:dyDescent="0.25">
      <c r="A332" s="55" t="s">
        <v>450</v>
      </c>
      <c r="B332" s="55" t="s">
        <v>451</v>
      </c>
      <c r="C332" s="32">
        <v>4301060322</v>
      </c>
      <c r="D332" s="385">
        <v>4607091389357</v>
      </c>
      <c r="E332" s="329"/>
      <c r="F332" s="304">
        <v>1.3</v>
      </c>
      <c r="G332" s="33">
        <v>6</v>
      </c>
      <c r="H332" s="304">
        <v>7.8</v>
      </c>
      <c r="I332" s="304">
        <v>8.2799999999999994</v>
      </c>
      <c r="J332" s="33">
        <v>56</v>
      </c>
      <c r="K332" s="34" t="s">
        <v>62</v>
      </c>
      <c r="L332" s="33">
        <v>40</v>
      </c>
      <c r="M332" s="565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32" s="387"/>
      <c r="O332" s="387"/>
      <c r="P332" s="387"/>
      <c r="Q332" s="329"/>
      <c r="R332" s="35"/>
      <c r="S332" s="35"/>
      <c r="T332" s="36" t="s">
        <v>63</v>
      </c>
      <c r="U332" s="305">
        <v>90</v>
      </c>
      <c r="V332" s="306">
        <f>IFERROR(IF(U332="",0,CEILING((U332/$H332),1)*$H332),"")</f>
        <v>93.6</v>
      </c>
      <c r="W332" s="37">
        <f>IFERROR(IF(V332=0,"",ROUNDUP(V332/H332,0)*0.02175),"")</f>
        <v>0.26100000000000001</v>
      </c>
      <c r="X332" s="57"/>
      <c r="Y332" s="58"/>
      <c r="AC332" s="59"/>
      <c r="AZ332" s="235" t="s">
        <v>1</v>
      </c>
    </row>
    <row r="333" spans="1:52" x14ac:dyDescent="0.2">
      <c r="A333" s="389"/>
      <c r="B333" s="313"/>
      <c r="C333" s="313"/>
      <c r="D333" s="313"/>
      <c r="E333" s="313"/>
      <c r="F333" s="313"/>
      <c r="G333" s="313"/>
      <c r="H333" s="313"/>
      <c r="I333" s="313"/>
      <c r="J333" s="313"/>
      <c r="K333" s="313"/>
      <c r="L333" s="390"/>
      <c r="M333" s="388" t="s">
        <v>64</v>
      </c>
      <c r="N333" s="341"/>
      <c r="O333" s="341"/>
      <c r="P333" s="341"/>
      <c r="Q333" s="341"/>
      <c r="R333" s="341"/>
      <c r="S333" s="342"/>
      <c r="T333" s="38" t="s">
        <v>65</v>
      </c>
      <c r="U333" s="307">
        <f>IFERROR(U332/H332,"0")</f>
        <v>11.538461538461538</v>
      </c>
      <c r="V333" s="307">
        <f>IFERROR(V332/H332,"0")</f>
        <v>12</v>
      </c>
      <c r="W333" s="307">
        <f>IFERROR(IF(W332="",0,W332),"0")</f>
        <v>0.26100000000000001</v>
      </c>
      <c r="X333" s="308"/>
      <c r="Y333" s="308"/>
    </row>
    <row r="334" spans="1:52" x14ac:dyDescent="0.2">
      <c r="A334" s="313"/>
      <c r="B334" s="313"/>
      <c r="C334" s="313"/>
      <c r="D334" s="313"/>
      <c r="E334" s="313"/>
      <c r="F334" s="313"/>
      <c r="G334" s="313"/>
      <c r="H334" s="313"/>
      <c r="I334" s="313"/>
      <c r="J334" s="313"/>
      <c r="K334" s="313"/>
      <c r="L334" s="390"/>
      <c r="M334" s="388" t="s">
        <v>64</v>
      </c>
      <c r="N334" s="341"/>
      <c r="O334" s="341"/>
      <c r="P334" s="341"/>
      <c r="Q334" s="341"/>
      <c r="R334" s="341"/>
      <c r="S334" s="342"/>
      <c r="T334" s="38" t="s">
        <v>63</v>
      </c>
      <c r="U334" s="307">
        <f>IFERROR(SUM(U332:U332),"0")</f>
        <v>90</v>
      </c>
      <c r="V334" s="307">
        <f>IFERROR(SUM(V332:V332),"0")</f>
        <v>93.6</v>
      </c>
      <c r="W334" s="38"/>
      <c r="X334" s="308"/>
      <c r="Y334" s="308"/>
    </row>
    <row r="335" spans="1:52" ht="27.75" customHeight="1" x14ac:dyDescent="0.2">
      <c r="A335" s="381" t="s">
        <v>452</v>
      </c>
      <c r="B335" s="382"/>
      <c r="C335" s="382"/>
      <c r="D335" s="382"/>
      <c r="E335" s="382"/>
      <c r="F335" s="382"/>
      <c r="G335" s="382"/>
      <c r="H335" s="382"/>
      <c r="I335" s="382"/>
      <c r="J335" s="382"/>
      <c r="K335" s="382"/>
      <c r="L335" s="382"/>
      <c r="M335" s="382"/>
      <c r="N335" s="382"/>
      <c r="O335" s="382"/>
      <c r="P335" s="382"/>
      <c r="Q335" s="382"/>
      <c r="R335" s="382"/>
      <c r="S335" s="382"/>
      <c r="T335" s="382"/>
      <c r="U335" s="382"/>
      <c r="V335" s="382"/>
      <c r="W335" s="382"/>
      <c r="X335" s="49"/>
      <c r="Y335" s="49"/>
    </row>
    <row r="336" spans="1:52" ht="16.5" customHeight="1" x14ac:dyDescent="0.25">
      <c r="A336" s="383" t="s">
        <v>453</v>
      </c>
      <c r="B336" s="313"/>
      <c r="C336" s="313"/>
      <c r="D336" s="313"/>
      <c r="E336" s="313"/>
      <c r="F336" s="313"/>
      <c r="G336" s="313"/>
      <c r="H336" s="313"/>
      <c r="I336" s="313"/>
      <c r="J336" s="313"/>
      <c r="K336" s="313"/>
      <c r="L336" s="313"/>
      <c r="M336" s="313"/>
      <c r="N336" s="313"/>
      <c r="O336" s="313"/>
      <c r="P336" s="313"/>
      <c r="Q336" s="313"/>
      <c r="R336" s="313"/>
      <c r="S336" s="313"/>
      <c r="T336" s="313"/>
      <c r="U336" s="313"/>
      <c r="V336" s="313"/>
      <c r="W336" s="313"/>
      <c r="X336" s="301"/>
      <c r="Y336" s="301"/>
    </row>
    <row r="337" spans="1:52" ht="14.25" customHeight="1" x14ac:dyDescent="0.25">
      <c r="A337" s="384" t="s">
        <v>100</v>
      </c>
      <c r="B337" s="313"/>
      <c r="C337" s="313"/>
      <c r="D337" s="313"/>
      <c r="E337" s="313"/>
      <c r="F337" s="313"/>
      <c r="G337" s="313"/>
      <c r="H337" s="313"/>
      <c r="I337" s="313"/>
      <c r="J337" s="313"/>
      <c r="K337" s="313"/>
      <c r="L337" s="313"/>
      <c r="M337" s="313"/>
      <c r="N337" s="313"/>
      <c r="O337" s="313"/>
      <c r="P337" s="313"/>
      <c r="Q337" s="313"/>
      <c r="R337" s="313"/>
      <c r="S337" s="313"/>
      <c r="T337" s="313"/>
      <c r="U337" s="313"/>
      <c r="V337" s="313"/>
      <c r="W337" s="313"/>
      <c r="X337" s="302"/>
      <c r="Y337" s="302"/>
    </row>
    <row r="338" spans="1:52" ht="27" customHeight="1" x14ac:dyDescent="0.25">
      <c r="A338" s="55" t="s">
        <v>454</v>
      </c>
      <c r="B338" s="55" t="s">
        <v>455</v>
      </c>
      <c r="C338" s="32">
        <v>4301011428</v>
      </c>
      <c r="D338" s="385">
        <v>4607091389708</v>
      </c>
      <c r="E338" s="329"/>
      <c r="F338" s="304">
        <v>0.45</v>
      </c>
      <c r="G338" s="33">
        <v>6</v>
      </c>
      <c r="H338" s="304">
        <v>2.7</v>
      </c>
      <c r="I338" s="304">
        <v>2.9</v>
      </c>
      <c r="J338" s="33">
        <v>156</v>
      </c>
      <c r="K338" s="34" t="s">
        <v>96</v>
      </c>
      <c r="L338" s="33">
        <v>50</v>
      </c>
      <c r="M338" s="56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38" s="387"/>
      <c r="O338" s="387"/>
      <c r="P338" s="387"/>
      <c r="Q338" s="329"/>
      <c r="R338" s="35"/>
      <c r="S338" s="35"/>
      <c r="T338" s="36" t="s">
        <v>63</v>
      </c>
      <c r="U338" s="305">
        <v>0</v>
      </c>
      <c r="V338" s="306">
        <f>IFERROR(IF(U338="",0,CEILING((U338/$H338),1)*$H338),"")</f>
        <v>0</v>
      </c>
      <c r="W338" s="37" t="str">
        <f>IFERROR(IF(V338=0,"",ROUNDUP(V338/H338,0)*0.00753),"")</f>
        <v/>
      </c>
      <c r="X338" s="57"/>
      <c r="Y338" s="58"/>
      <c r="AC338" s="59"/>
      <c r="AZ338" s="236" t="s">
        <v>1</v>
      </c>
    </row>
    <row r="339" spans="1:52" ht="27" customHeight="1" x14ac:dyDescent="0.25">
      <c r="A339" s="55" t="s">
        <v>456</v>
      </c>
      <c r="B339" s="55" t="s">
        <v>457</v>
      </c>
      <c r="C339" s="32">
        <v>4301011427</v>
      </c>
      <c r="D339" s="385">
        <v>4607091389692</v>
      </c>
      <c r="E339" s="329"/>
      <c r="F339" s="304">
        <v>0.45</v>
      </c>
      <c r="G339" s="33">
        <v>6</v>
      </c>
      <c r="H339" s="304">
        <v>2.7</v>
      </c>
      <c r="I339" s="304">
        <v>2.9</v>
      </c>
      <c r="J339" s="33">
        <v>156</v>
      </c>
      <c r="K339" s="34" t="s">
        <v>96</v>
      </c>
      <c r="L339" s="33">
        <v>50</v>
      </c>
      <c r="M339" s="567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39" s="387"/>
      <c r="O339" s="387"/>
      <c r="P339" s="387"/>
      <c r="Q339" s="329"/>
      <c r="R339" s="35"/>
      <c r="S339" s="35"/>
      <c r="T339" s="36" t="s">
        <v>63</v>
      </c>
      <c r="U339" s="305">
        <v>0</v>
      </c>
      <c r="V339" s="306">
        <f>IFERROR(IF(U339="",0,CEILING((U339/$H339),1)*$H339),"")</f>
        <v>0</v>
      </c>
      <c r="W339" s="37" t="str">
        <f>IFERROR(IF(V339=0,"",ROUNDUP(V339/H339,0)*0.00753),"")</f>
        <v/>
      </c>
      <c r="X339" s="57"/>
      <c r="Y339" s="58"/>
      <c r="AC339" s="59"/>
      <c r="AZ339" s="237" t="s">
        <v>1</v>
      </c>
    </row>
    <row r="340" spans="1:52" x14ac:dyDescent="0.2">
      <c r="A340" s="389"/>
      <c r="B340" s="313"/>
      <c r="C340" s="313"/>
      <c r="D340" s="313"/>
      <c r="E340" s="313"/>
      <c r="F340" s="313"/>
      <c r="G340" s="313"/>
      <c r="H340" s="313"/>
      <c r="I340" s="313"/>
      <c r="J340" s="313"/>
      <c r="K340" s="313"/>
      <c r="L340" s="390"/>
      <c r="M340" s="388" t="s">
        <v>64</v>
      </c>
      <c r="N340" s="341"/>
      <c r="O340" s="341"/>
      <c r="P340" s="341"/>
      <c r="Q340" s="341"/>
      <c r="R340" s="341"/>
      <c r="S340" s="342"/>
      <c r="T340" s="38" t="s">
        <v>65</v>
      </c>
      <c r="U340" s="307">
        <f>IFERROR(U338/H338,"0")+IFERROR(U339/H339,"0")</f>
        <v>0</v>
      </c>
      <c r="V340" s="307">
        <f>IFERROR(V338/H338,"0")+IFERROR(V339/H339,"0")</f>
        <v>0</v>
      </c>
      <c r="W340" s="307">
        <f>IFERROR(IF(W338="",0,W338),"0")+IFERROR(IF(W339="",0,W339),"0")</f>
        <v>0</v>
      </c>
      <c r="X340" s="308"/>
      <c r="Y340" s="308"/>
    </row>
    <row r="341" spans="1:52" x14ac:dyDescent="0.2">
      <c r="A341" s="313"/>
      <c r="B341" s="313"/>
      <c r="C341" s="313"/>
      <c r="D341" s="313"/>
      <c r="E341" s="313"/>
      <c r="F341" s="313"/>
      <c r="G341" s="313"/>
      <c r="H341" s="313"/>
      <c r="I341" s="313"/>
      <c r="J341" s="313"/>
      <c r="K341" s="313"/>
      <c r="L341" s="390"/>
      <c r="M341" s="388" t="s">
        <v>64</v>
      </c>
      <c r="N341" s="341"/>
      <c r="O341" s="341"/>
      <c r="P341" s="341"/>
      <c r="Q341" s="341"/>
      <c r="R341" s="341"/>
      <c r="S341" s="342"/>
      <c r="T341" s="38" t="s">
        <v>63</v>
      </c>
      <c r="U341" s="307">
        <f>IFERROR(SUM(U338:U339),"0")</f>
        <v>0</v>
      </c>
      <c r="V341" s="307">
        <f>IFERROR(SUM(V338:V339),"0")</f>
        <v>0</v>
      </c>
      <c r="W341" s="38"/>
      <c r="X341" s="308"/>
      <c r="Y341" s="308"/>
    </row>
    <row r="342" spans="1:52" ht="14.25" customHeight="1" x14ac:dyDescent="0.25">
      <c r="A342" s="384" t="s">
        <v>59</v>
      </c>
      <c r="B342" s="313"/>
      <c r="C342" s="313"/>
      <c r="D342" s="313"/>
      <c r="E342" s="313"/>
      <c r="F342" s="313"/>
      <c r="G342" s="313"/>
      <c r="H342" s="313"/>
      <c r="I342" s="313"/>
      <c r="J342" s="313"/>
      <c r="K342" s="313"/>
      <c r="L342" s="313"/>
      <c r="M342" s="313"/>
      <c r="N342" s="313"/>
      <c r="O342" s="313"/>
      <c r="P342" s="313"/>
      <c r="Q342" s="313"/>
      <c r="R342" s="313"/>
      <c r="S342" s="313"/>
      <c r="T342" s="313"/>
      <c r="U342" s="313"/>
      <c r="V342" s="313"/>
      <c r="W342" s="313"/>
      <c r="X342" s="302"/>
      <c r="Y342" s="302"/>
    </row>
    <row r="343" spans="1:52" ht="27" customHeight="1" x14ac:dyDescent="0.25">
      <c r="A343" s="55" t="s">
        <v>458</v>
      </c>
      <c r="B343" s="55" t="s">
        <v>459</v>
      </c>
      <c r="C343" s="32">
        <v>4301031177</v>
      </c>
      <c r="D343" s="385">
        <v>4607091389753</v>
      </c>
      <c r="E343" s="329"/>
      <c r="F343" s="304">
        <v>0.7</v>
      </c>
      <c r="G343" s="33">
        <v>6</v>
      </c>
      <c r="H343" s="304">
        <v>4.2</v>
      </c>
      <c r="I343" s="304">
        <v>4.43</v>
      </c>
      <c r="J343" s="33">
        <v>156</v>
      </c>
      <c r="K343" s="34" t="s">
        <v>62</v>
      </c>
      <c r="L343" s="33">
        <v>45</v>
      </c>
      <c r="M343" s="568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43" s="387"/>
      <c r="O343" s="387"/>
      <c r="P343" s="387"/>
      <c r="Q343" s="329"/>
      <c r="R343" s="35"/>
      <c r="S343" s="35"/>
      <c r="T343" s="36" t="s">
        <v>63</v>
      </c>
      <c r="U343" s="305">
        <v>545</v>
      </c>
      <c r="V343" s="306">
        <f t="shared" ref="V343:V355" si="15">IFERROR(IF(U343="",0,CEILING((U343/$H343),1)*$H343),"")</f>
        <v>546</v>
      </c>
      <c r="W343" s="37">
        <f>IFERROR(IF(V343=0,"",ROUNDUP(V343/H343,0)*0.00753),"")</f>
        <v>0.97889999999999999</v>
      </c>
      <c r="X343" s="57"/>
      <c r="Y343" s="58"/>
      <c r="AC343" s="59"/>
      <c r="AZ343" s="238" t="s">
        <v>1</v>
      </c>
    </row>
    <row r="344" spans="1:52" ht="27" customHeight="1" x14ac:dyDescent="0.25">
      <c r="A344" s="55" t="s">
        <v>460</v>
      </c>
      <c r="B344" s="55" t="s">
        <v>461</v>
      </c>
      <c r="C344" s="32">
        <v>4301031174</v>
      </c>
      <c r="D344" s="385">
        <v>4607091389760</v>
      </c>
      <c r="E344" s="329"/>
      <c r="F344" s="304">
        <v>0.7</v>
      </c>
      <c r="G344" s="33">
        <v>6</v>
      </c>
      <c r="H344" s="304">
        <v>4.2</v>
      </c>
      <c r="I344" s="304">
        <v>4.43</v>
      </c>
      <c r="J344" s="33">
        <v>156</v>
      </c>
      <c r="K344" s="34" t="s">
        <v>62</v>
      </c>
      <c r="L344" s="33">
        <v>45</v>
      </c>
      <c r="M344" s="569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44" s="387"/>
      <c r="O344" s="387"/>
      <c r="P344" s="387"/>
      <c r="Q344" s="329"/>
      <c r="R344" s="35"/>
      <c r="S344" s="35"/>
      <c r="T344" s="36" t="s">
        <v>63</v>
      </c>
      <c r="U344" s="305">
        <v>90</v>
      </c>
      <c r="V344" s="306">
        <f t="shared" si="15"/>
        <v>92.4</v>
      </c>
      <c r="W344" s="37">
        <f>IFERROR(IF(V344=0,"",ROUNDUP(V344/H344,0)*0.00753),"")</f>
        <v>0.16566</v>
      </c>
      <c r="X344" s="57"/>
      <c r="Y344" s="58"/>
      <c r="AC344" s="59"/>
      <c r="AZ344" s="239" t="s">
        <v>1</v>
      </c>
    </row>
    <row r="345" spans="1:52" ht="27" customHeight="1" x14ac:dyDescent="0.25">
      <c r="A345" s="55" t="s">
        <v>462</v>
      </c>
      <c r="B345" s="55" t="s">
        <v>463</v>
      </c>
      <c r="C345" s="32">
        <v>4301031175</v>
      </c>
      <c r="D345" s="385">
        <v>4607091389746</v>
      </c>
      <c r="E345" s="329"/>
      <c r="F345" s="304">
        <v>0.7</v>
      </c>
      <c r="G345" s="33">
        <v>6</v>
      </c>
      <c r="H345" s="304">
        <v>4.2</v>
      </c>
      <c r="I345" s="304">
        <v>4.43</v>
      </c>
      <c r="J345" s="33">
        <v>156</v>
      </c>
      <c r="K345" s="34" t="s">
        <v>62</v>
      </c>
      <c r="L345" s="33">
        <v>45</v>
      </c>
      <c r="M345" s="570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5" s="387"/>
      <c r="O345" s="387"/>
      <c r="P345" s="387"/>
      <c r="Q345" s="329"/>
      <c r="R345" s="35"/>
      <c r="S345" s="35"/>
      <c r="T345" s="36" t="s">
        <v>63</v>
      </c>
      <c r="U345" s="305">
        <v>484</v>
      </c>
      <c r="V345" s="306">
        <f t="shared" si="15"/>
        <v>487.20000000000005</v>
      </c>
      <c r="W345" s="37">
        <f>IFERROR(IF(V345=0,"",ROUNDUP(V345/H345,0)*0.00753),"")</f>
        <v>0.87348000000000003</v>
      </c>
      <c r="X345" s="57"/>
      <c r="Y345" s="58"/>
      <c r="AC345" s="59"/>
      <c r="AZ345" s="240" t="s">
        <v>1</v>
      </c>
    </row>
    <row r="346" spans="1:52" ht="37.5" customHeight="1" x14ac:dyDescent="0.25">
      <c r="A346" s="55" t="s">
        <v>464</v>
      </c>
      <c r="B346" s="55" t="s">
        <v>465</v>
      </c>
      <c r="C346" s="32">
        <v>4301031236</v>
      </c>
      <c r="D346" s="385">
        <v>4680115882928</v>
      </c>
      <c r="E346" s="329"/>
      <c r="F346" s="304">
        <v>0.28000000000000003</v>
      </c>
      <c r="G346" s="33">
        <v>6</v>
      </c>
      <c r="H346" s="304">
        <v>1.68</v>
      </c>
      <c r="I346" s="304">
        <v>2.6</v>
      </c>
      <c r="J346" s="33">
        <v>156</v>
      </c>
      <c r="K346" s="34" t="s">
        <v>62</v>
      </c>
      <c r="L346" s="33">
        <v>35</v>
      </c>
      <c r="M346" s="571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46" s="387"/>
      <c r="O346" s="387"/>
      <c r="P346" s="387"/>
      <c r="Q346" s="329"/>
      <c r="R346" s="35"/>
      <c r="S346" s="35"/>
      <c r="T346" s="36" t="s">
        <v>63</v>
      </c>
      <c r="U346" s="305">
        <v>0</v>
      </c>
      <c r="V346" s="306">
        <f t="shared" si="15"/>
        <v>0</v>
      </c>
      <c r="W346" s="37" t="str">
        <f>IFERROR(IF(V346=0,"",ROUNDUP(V346/H346,0)*0.00753),"")</f>
        <v/>
      </c>
      <c r="X346" s="57"/>
      <c r="Y346" s="58"/>
      <c r="AC346" s="59"/>
      <c r="AZ346" s="241" t="s">
        <v>1</v>
      </c>
    </row>
    <row r="347" spans="1:52" ht="27" customHeight="1" x14ac:dyDescent="0.25">
      <c r="A347" s="55" t="s">
        <v>466</v>
      </c>
      <c r="B347" s="55" t="s">
        <v>467</v>
      </c>
      <c r="C347" s="32">
        <v>4301031257</v>
      </c>
      <c r="D347" s="385">
        <v>4680115883147</v>
      </c>
      <c r="E347" s="329"/>
      <c r="F347" s="304">
        <v>0.28000000000000003</v>
      </c>
      <c r="G347" s="33">
        <v>6</v>
      </c>
      <c r="H347" s="304">
        <v>1.68</v>
      </c>
      <c r="I347" s="304">
        <v>1.81</v>
      </c>
      <c r="J347" s="33">
        <v>234</v>
      </c>
      <c r="K347" s="34" t="s">
        <v>62</v>
      </c>
      <c r="L347" s="33">
        <v>45</v>
      </c>
      <c r="M347" s="572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47" s="387"/>
      <c r="O347" s="387"/>
      <c r="P347" s="387"/>
      <c r="Q347" s="329"/>
      <c r="R347" s="35"/>
      <c r="S347" s="35"/>
      <c r="T347" s="36" t="s">
        <v>63</v>
      </c>
      <c r="U347" s="305">
        <v>0</v>
      </c>
      <c r="V347" s="306">
        <f t="shared" si="15"/>
        <v>0</v>
      </c>
      <c r="W347" s="37" t="str">
        <f t="shared" ref="W347:W355" si="16">IFERROR(IF(V347=0,"",ROUNDUP(V347/H347,0)*0.00502),"")</f>
        <v/>
      </c>
      <c r="X347" s="57"/>
      <c r="Y347" s="58"/>
      <c r="AC347" s="59"/>
      <c r="AZ347" s="242" t="s">
        <v>1</v>
      </c>
    </row>
    <row r="348" spans="1:52" ht="27" customHeight="1" x14ac:dyDescent="0.25">
      <c r="A348" s="55" t="s">
        <v>468</v>
      </c>
      <c r="B348" s="55" t="s">
        <v>469</v>
      </c>
      <c r="C348" s="32">
        <v>4301031178</v>
      </c>
      <c r="D348" s="385">
        <v>4607091384338</v>
      </c>
      <c r="E348" s="329"/>
      <c r="F348" s="304">
        <v>0.35</v>
      </c>
      <c r="G348" s="33">
        <v>6</v>
      </c>
      <c r="H348" s="304">
        <v>2.1</v>
      </c>
      <c r="I348" s="304">
        <v>2.23</v>
      </c>
      <c r="J348" s="33">
        <v>234</v>
      </c>
      <c r="K348" s="34" t="s">
        <v>62</v>
      </c>
      <c r="L348" s="33">
        <v>45</v>
      </c>
      <c r="M348" s="57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48" s="387"/>
      <c r="O348" s="387"/>
      <c r="P348" s="387"/>
      <c r="Q348" s="329"/>
      <c r="R348" s="35"/>
      <c r="S348" s="35"/>
      <c r="T348" s="36" t="s">
        <v>63</v>
      </c>
      <c r="U348" s="305">
        <v>2</v>
      </c>
      <c r="V348" s="306">
        <f t="shared" si="15"/>
        <v>2.1</v>
      </c>
      <c r="W348" s="37">
        <f t="shared" si="16"/>
        <v>5.0200000000000002E-3</v>
      </c>
      <c r="X348" s="57"/>
      <c r="Y348" s="58"/>
      <c r="AC348" s="59"/>
      <c r="AZ348" s="243" t="s">
        <v>1</v>
      </c>
    </row>
    <row r="349" spans="1:52" ht="37.5" customHeight="1" x14ac:dyDescent="0.25">
      <c r="A349" s="55" t="s">
        <v>470</v>
      </c>
      <c r="B349" s="55" t="s">
        <v>471</v>
      </c>
      <c r="C349" s="32">
        <v>4301031254</v>
      </c>
      <c r="D349" s="385">
        <v>4680115883154</v>
      </c>
      <c r="E349" s="329"/>
      <c r="F349" s="304">
        <v>0.28000000000000003</v>
      </c>
      <c r="G349" s="33">
        <v>6</v>
      </c>
      <c r="H349" s="304">
        <v>1.68</v>
      </c>
      <c r="I349" s="304">
        <v>1.81</v>
      </c>
      <c r="J349" s="33">
        <v>234</v>
      </c>
      <c r="K349" s="34" t="s">
        <v>62</v>
      </c>
      <c r="L349" s="33">
        <v>45</v>
      </c>
      <c r="M349" s="57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49" s="387"/>
      <c r="O349" s="387"/>
      <c r="P349" s="387"/>
      <c r="Q349" s="329"/>
      <c r="R349" s="35"/>
      <c r="S349" s="35"/>
      <c r="T349" s="36" t="s">
        <v>63</v>
      </c>
      <c r="U349" s="305">
        <v>0</v>
      </c>
      <c r="V349" s="306">
        <f t="shared" si="15"/>
        <v>0</v>
      </c>
      <c r="W349" s="37" t="str">
        <f t="shared" si="16"/>
        <v/>
      </c>
      <c r="X349" s="57"/>
      <c r="Y349" s="58"/>
      <c r="AC349" s="59"/>
      <c r="AZ349" s="244" t="s">
        <v>1</v>
      </c>
    </row>
    <row r="350" spans="1:52" ht="37.5" customHeight="1" x14ac:dyDescent="0.25">
      <c r="A350" s="55" t="s">
        <v>472</v>
      </c>
      <c r="B350" s="55" t="s">
        <v>473</v>
      </c>
      <c r="C350" s="32">
        <v>4301031171</v>
      </c>
      <c r="D350" s="385">
        <v>4607091389524</v>
      </c>
      <c r="E350" s="329"/>
      <c r="F350" s="304">
        <v>0.35</v>
      </c>
      <c r="G350" s="33">
        <v>6</v>
      </c>
      <c r="H350" s="304">
        <v>2.1</v>
      </c>
      <c r="I350" s="304">
        <v>2.23</v>
      </c>
      <c r="J350" s="33">
        <v>234</v>
      </c>
      <c r="K350" s="34" t="s">
        <v>62</v>
      </c>
      <c r="L350" s="33">
        <v>45</v>
      </c>
      <c r="M350" s="575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50" s="387"/>
      <c r="O350" s="387"/>
      <c r="P350" s="387"/>
      <c r="Q350" s="329"/>
      <c r="R350" s="35"/>
      <c r="S350" s="35"/>
      <c r="T350" s="36" t="s">
        <v>63</v>
      </c>
      <c r="U350" s="305">
        <v>0</v>
      </c>
      <c r="V350" s="306">
        <f t="shared" si="15"/>
        <v>0</v>
      </c>
      <c r="W350" s="37" t="str">
        <f t="shared" si="16"/>
        <v/>
      </c>
      <c r="X350" s="57"/>
      <c r="Y350" s="58"/>
      <c r="AC350" s="59"/>
      <c r="AZ350" s="245" t="s">
        <v>1</v>
      </c>
    </row>
    <row r="351" spans="1:52" ht="27" customHeight="1" x14ac:dyDescent="0.25">
      <c r="A351" s="55" t="s">
        <v>474</v>
      </c>
      <c r="B351" s="55" t="s">
        <v>475</v>
      </c>
      <c r="C351" s="32">
        <v>4301031258</v>
      </c>
      <c r="D351" s="385">
        <v>4680115883161</v>
      </c>
      <c r="E351" s="329"/>
      <c r="F351" s="304">
        <v>0.28000000000000003</v>
      </c>
      <c r="G351" s="33">
        <v>6</v>
      </c>
      <c r="H351" s="304">
        <v>1.68</v>
      </c>
      <c r="I351" s="304">
        <v>1.81</v>
      </c>
      <c r="J351" s="33">
        <v>234</v>
      </c>
      <c r="K351" s="34" t="s">
        <v>62</v>
      </c>
      <c r="L351" s="33">
        <v>45</v>
      </c>
      <c r="M351" s="576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51" s="387"/>
      <c r="O351" s="387"/>
      <c r="P351" s="387"/>
      <c r="Q351" s="329"/>
      <c r="R351" s="35"/>
      <c r="S351" s="35"/>
      <c r="T351" s="36" t="s">
        <v>63</v>
      </c>
      <c r="U351" s="305">
        <v>0</v>
      </c>
      <c r="V351" s="306">
        <f t="shared" si="15"/>
        <v>0</v>
      </c>
      <c r="W351" s="37" t="str">
        <f t="shared" si="16"/>
        <v/>
      </c>
      <c r="X351" s="57"/>
      <c r="Y351" s="58"/>
      <c r="AC351" s="59"/>
      <c r="AZ351" s="246" t="s">
        <v>1</v>
      </c>
    </row>
    <row r="352" spans="1:52" ht="27" customHeight="1" x14ac:dyDescent="0.25">
      <c r="A352" s="55" t="s">
        <v>476</v>
      </c>
      <c r="B352" s="55" t="s">
        <v>477</v>
      </c>
      <c r="C352" s="32">
        <v>4301031170</v>
      </c>
      <c r="D352" s="385">
        <v>4607091384345</v>
      </c>
      <c r="E352" s="329"/>
      <c r="F352" s="304">
        <v>0.35</v>
      </c>
      <c r="G352" s="33">
        <v>6</v>
      </c>
      <c r="H352" s="304">
        <v>2.1</v>
      </c>
      <c r="I352" s="304">
        <v>2.23</v>
      </c>
      <c r="J352" s="33">
        <v>234</v>
      </c>
      <c r="K352" s="34" t="s">
        <v>62</v>
      </c>
      <c r="L352" s="33">
        <v>45</v>
      </c>
      <c r="M352" s="577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52" s="387"/>
      <c r="O352" s="387"/>
      <c r="P352" s="387"/>
      <c r="Q352" s="329"/>
      <c r="R352" s="35"/>
      <c r="S352" s="35"/>
      <c r="T352" s="36" t="s">
        <v>63</v>
      </c>
      <c r="U352" s="305">
        <v>0</v>
      </c>
      <c r="V352" s="306">
        <f t="shared" si="15"/>
        <v>0</v>
      </c>
      <c r="W352" s="37" t="str">
        <f t="shared" si="16"/>
        <v/>
      </c>
      <c r="X352" s="57"/>
      <c r="Y352" s="58"/>
      <c r="AC352" s="59"/>
      <c r="AZ352" s="247" t="s">
        <v>1</v>
      </c>
    </row>
    <row r="353" spans="1:52" ht="27" customHeight="1" x14ac:dyDescent="0.25">
      <c r="A353" s="55" t="s">
        <v>478</v>
      </c>
      <c r="B353" s="55" t="s">
        <v>479</v>
      </c>
      <c r="C353" s="32">
        <v>4301031256</v>
      </c>
      <c r="D353" s="385">
        <v>4680115883178</v>
      </c>
      <c r="E353" s="329"/>
      <c r="F353" s="304">
        <v>0.28000000000000003</v>
      </c>
      <c r="G353" s="33">
        <v>6</v>
      </c>
      <c r="H353" s="304">
        <v>1.68</v>
      </c>
      <c r="I353" s="304">
        <v>1.81</v>
      </c>
      <c r="J353" s="33">
        <v>234</v>
      </c>
      <c r="K353" s="34" t="s">
        <v>62</v>
      </c>
      <c r="L353" s="33">
        <v>45</v>
      </c>
      <c r="M353" s="578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53" s="387"/>
      <c r="O353" s="387"/>
      <c r="P353" s="387"/>
      <c r="Q353" s="329"/>
      <c r="R353" s="35"/>
      <c r="S353" s="35"/>
      <c r="T353" s="36" t="s">
        <v>63</v>
      </c>
      <c r="U353" s="305">
        <v>0</v>
      </c>
      <c r="V353" s="306">
        <f t="shared" si="15"/>
        <v>0</v>
      </c>
      <c r="W353" s="37" t="str">
        <f t="shared" si="16"/>
        <v/>
      </c>
      <c r="X353" s="57"/>
      <c r="Y353" s="58"/>
      <c r="AC353" s="59"/>
      <c r="AZ353" s="248" t="s">
        <v>1</v>
      </c>
    </row>
    <row r="354" spans="1:52" ht="27" customHeight="1" x14ac:dyDescent="0.25">
      <c r="A354" s="55" t="s">
        <v>480</v>
      </c>
      <c r="B354" s="55" t="s">
        <v>481</v>
      </c>
      <c r="C354" s="32">
        <v>4301031172</v>
      </c>
      <c r="D354" s="385">
        <v>4607091389531</v>
      </c>
      <c r="E354" s="329"/>
      <c r="F354" s="304">
        <v>0.35</v>
      </c>
      <c r="G354" s="33">
        <v>6</v>
      </c>
      <c r="H354" s="304">
        <v>2.1</v>
      </c>
      <c r="I354" s="304">
        <v>2.23</v>
      </c>
      <c r="J354" s="33">
        <v>234</v>
      </c>
      <c r="K354" s="34" t="s">
        <v>62</v>
      </c>
      <c r="L354" s="33">
        <v>45</v>
      </c>
      <c r="M354" s="579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4" s="387"/>
      <c r="O354" s="387"/>
      <c r="P354" s="387"/>
      <c r="Q354" s="329"/>
      <c r="R354" s="35"/>
      <c r="S354" s="35"/>
      <c r="T354" s="36" t="s">
        <v>63</v>
      </c>
      <c r="U354" s="305">
        <v>4</v>
      </c>
      <c r="V354" s="306">
        <f t="shared" si="15"/>
        <v>4.2</v>
      </c>
      <c r="W354" s="37">
        <f t="shared" si="16"/>
        <v>1.004E-2</v>
      </c>
      <c r="X354" s="57"/>
      <c r="Y354" s="58"/>
      <c r="AC354" s="59"/>
      <c r="AZ354" s="249" t="s">
        <v>1</v>
      </c>
    </row>
    <row r="355" spans="1:52" ht="27" customHeight="1" x14ac:dyDescent="0.25">
      <c r="A355" s="55" t="s">
        <v>482</v>
      </c>
      <c r="B355" s="55" t="s">
        <v>483</v>
      </c>
      <c r="C355" s="32">
        <v>4301031255</v>
      </c>
      <c r="D355" s="385">
        <v>4680115883185</v>
      </c>
      <c r="E355" s="329"/>
      <c r="F355" s="304">
        <v>0.28000000000000003</v>
      </c>
      <c r="G355" s="33">
        <v>6</v>
      </c>
      <c r="H355" s="304">
        <v>1.68</v>
      </c>
      <c r="I355" s="304">
        <v>1.81</v>
      </c>
      <c r="J355" s="33">
        <v>234</v>
      </c>
      <c r="K355" s="34" t="s">
        <v>62</v>
      </c>
      <c r="L355" s="33">
        <v>45</v>
      </c>
      <c r="M355" s="580" t="s">
        <v>484</v>
      </c>
      <c r="N355" s="387"/>
      <c r="O355" s="387"/>
      <c r="P355" s="387"/>
      <c r="Q355" s="329"/>
      <c r="R355" s="35"/>
      <c r="S355" s="35"/>
      <c r="T355" s="36" t="s">
        <v>63</v>
      </c>
      <c r="U355" s="305">
        <v>0</v>
      </c>
      <c r="V355" s="306">
        <f t="shared" si="15"/>
        <v>0</v>
      </c>
      <c r="W355" s="37" t="str">
        <f t="shared" si="16"/>
        <v/>
      </c>
      <c r="X355" s="57"/>
      <c r="Y355" s="58"/>
      <c r="AC355" s="59"/>
      <c r="AZ355" s="250" t="s">
        <v>1</v>
      </c>
    </row>
    <row r="356" spans="1:52" x14ac:dyDescent="0.2">
      <c r="A356" s="389"/>
      <c r="B356" s="313"/>
      <c r="C356" s="313"/>
      <c r="D356" s="313"/>
      <c r="E356" s="313"/>
      <c r="F356" s="313"/>
      <c r="G356" s="313"/>
      <c r="H356" s="313"/>
      <c r="I356" s="313"/>
      <c r="J356" s="313"/>
      <c r="K356" s="313"/>
      <c r="L356" s="390"/>
      <c r="M356" s="388" t="s">
        <v>64</v>
      </c>
      <c r="N356" s="341"/>
      <c r="O356" s="341"/>
      <c r="P356" s="341"/>
      <c r="Q356" s="341"/>
      <c r="R356" s="341"/>
      <c r="S356" s="342"/>
      <c r="T356" s="38" t="s">
        <v>65</v>
      </c>
      <c r="U356" s="307">
        <f>IFERROR(U343/H343,"0")+IFERROR(U344/H344,"0")+IFERROR(U345/H345,"0")+IFERROR(U346/H346,"0")+IFERROR(U347/H347,"0")+IFERROR(U348/H348,"0")+IFERROR(U349/H349,"0")+IFERROR(U350/H350,"0")+IFERROR(U351/H351,"0")+IFERROR(U352/H352,"0")+IFERROR(U353/H353,"0")+IFERROR(U354/H354,"0")+IFERROR(U355/H355,"0")</f>
        <v>269.28571428571428</v>
      </c>
      <c r="V356" s="307">
        <f>IFERROR(V343/H343,"0")+IFERROR(V344/H344,"0")+IFERROR(V345/H345,"0")+IFERROR(V346/H346,"0")+IFERROR(V347/H347,"0")+IFERROR(V348/H348,"0")+IFERROR(V349/H349,"0")+IFERROR(V350/H350,"0")+IFERROR(V351/H351,"0")+IFERROR(V352/H352,"0")+IFERROR(V353/H353,"0")+IFERROR(V354/H354,"0")+IFERROR(V355/H355,"0")</f>
        <v>271</v>
      </c>
      <c r="W356" s="307">
        <f>IFERROR(IF(W343="",0,W343),"0")+IFERROR(IF(W344="",0,W344),"0")+IFERROR(IF(W345="",0,W345),"0")+IFERROR(IF(W346="",0,W346),"0")+IFERROR(IF(W347="",0,W347),"0")+IFERROR(IF(W348="",0,W348),"0")+IFERROR(IF(W349="",0,W349),"0")+IFERROR(IF(W350="",0,W350),"0")+IFERROR(IF(W351="",0,W351),"0")+IFERROR(IF(W352="",0,W352),"0")+IFERROR(IF(W353="",0,W353),"0")+IFERROR(IF(W354="",0,W354),"0")+IFERROR(IF(W355="",0,W355),"0")</f>
        <v>2.0331000000000001</v>
      </c>
      <c r="X356" s="308"/>
      <c r="Y356" s="308"/>
    </row>
    <row r="357" spans="1:52" x14ac:dyDescent="0.2">
      <c r="A357" s="313"/>
      <c r="B357" s="313"/>
      <c r="C357" s="313"/>
      <c r="D357" s="313"/>
      <c r="E357" s="313"/>
      <c r="F357" s="313"/>
      <c r="G357" s="313"/>
      <c r="H357" s="313"/>
      <c r="I357" s="313"/>
      <c r="J357" s="313"/>
      <c r="K357" s="313"/>
      <c r="L357" s="390"/>
      <c r="M357" s="388" t="s">
        <v>64</v>
      </c>
      <c r="N357" s="341"/>
      <c r="O357" s="341"/>
      <c r="P357" s="341"/>
      <c r="Q357" s="341"/>
      <c r="R357" s="341"/>
      <c r="S357" s="342"/>
      <c r="T357" s="38" t="s">
        <v>63</v>
      </c>
      <c r="U357" s="307">
        <f>IFERROR(SUM(U343:U355),"0")</f>
        <v>1125</v>
      </c>
      <c r="V357" s="307">
        <f>IFERROR(SUM(V343:V355),"0")</f>
        <v>1131.8999999999999</v>
      </c>
      <c r="W357" s="38"/>
      <c r="X357" s="308"/>
      <c r="Y357" s="308"/>
    </row>
    <row r="358" spans="1:52" ht="14.25" customHeight="1" x14ac:dyDescent="0.25">
      <c r="A358" s="384" t="s">
        <v>66</v>
      </c>
      <c r="B358" s="313"/>
      <c r="C358" s="313"/>
      <c r="D358" s="313"/>
      <c r="E358" s="313"/>
      <c r="F358" s="313"/>
      <c r="G358" s="313"/>
      <c r="H358" s="313"/>
      <c r="I358" s="313"/>
      <c r="J358" s="313"/>
      <c r="K358" s="313"/>
      <c r="L358" s="313"/>
      <c r="M358" s="313"/>
      <c r="N358" s="313"/>
      <c r="O358" s="313"/>
      <c r="P358" s="313"/>
      <c r="Q358" s="313"/>
      <c r="R358" s="313"/>
      <c r="S358" s="313"/>
      <c r="T358" s="313"/>
      <c r="U358" s="313"/>
      <c r="V358" s="313"/>
      <c r="W358" s="313"/>
      <c r="X358" s="302"/>
      <c r="Y358" s="302"/>
    </row>
    <row r="359" spans="1:52" ht="27" customHeight="1" x14ac:dyDescent="0.25">
      <c r="A359" s="55" t="s">
        <v>485</v>
      </c>
      <c r="B359" s="55" t="s">
        <v>486</v>
      </c>
      <c r="C359" s="32">
        <v>4301051258</v>
      </c>
      <c r="D359" s="385">
        <v>4607091389685</v>
      </c>
      <c r="E359" s="329"/>
      <c r="F359" s="304">
        <v>1.3</v>
      </c>
      <c r="G359" s="33">
        <v>6</v>
      </c>
      <c r="H359" s="304">
        <v>7.8</v>
      </c>
      <c r="I359" s="304">
        <v>8.3460000000000001</v>
      </c>
      <c r="J359" s="33">
        <v>56</v>
      </c>
      <c r="K359" s="34" t="s">
        <v>123</v>
      </c>
      <c r="L359" s="33">
        <v>45</v>
      </c>
      <c r="M359" s="581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59" s="387"/>
      <c r="O359" s="387"/>
      <c r="P359" s="387"/>
      <c r="Q359" s="329"/>
      <c r="R359" s="35"/>
      <c r="S359" s="35"/>
      <c r="T359" s="36" t="s">
        <v>63</v>
      </c>
      <c r="U359" s="305">
        <v>60</v>
      </c>
      <c r="V359" s="306">
        <f>IFERROR(IF(U359="",0,CEILING((U359/$H359),1)*$H359),"")</f>
        <v>62.4</v>
      </c>
      <c r="W359" s="37">
        <f>IFERROR(IF(V359=0,"",ROUNDUP(V359/H359,0)*0.02175),"")</f>
        <v>0.17399999999999999</v>
      </c>
      <c r="X359" s="57"/>
      <c r="Y359" s="58"/>
      <c r="AC359" s="59"/>
      <c r="AZ359" s="251" t="s">
        <v>1</v>
      </c>
    </row>
    <row r="360" spans="1:52" ht="27" customHeight="1" x14ac:dyDescent="0.25">
      <c r="A360" s="55" t="s">
        <v>487</v>
      </c>
      <c r="B360" s="55" t="s">
        <v>488</v>
      </c>
      <c r="C360" s="32">
        <v>4301051431</v>
      </c>
      <c r="D360" s="385">
        <v>4607091389654</v>
      </c>
      <c r="E360" s="329"/>
      <c r="F360" s="304">
        <v>0.33</v>
      </c>
      <c r="G360" s="33">
        <v>6</v>
      </c>
      <c r="H360" s="304">
        <v>1.98</v>
      </c>
      <c r="I360" s="304">
        <v>2.258</v>
      </c>
      <c r="J360" s="33">
        <v>156</v>
      </c>
      <c r="K360" s="34" t="s">
        <v>123</v>
      </c>
      <c r="L360" s="33">
        <v>45</v>
      </c>
      <c r="M360" s="58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60" s="387"/>
      <c r="O360" s="387"/>
      <c r="P360" s="387"/>
      <c r="Q360" s="329"/>
      <c r="R360" s="35"/>
      <c r="S360" s="35"/>
      <c r="T360" s="36" t="s">
        <v>63</v>
      </c>
      <c r="U360" s="305">
        <v>0</v>
      </c>
      <c r="V360" s="306">
        <f>IFERROR(IF(U360="",0,CEILING((U360/$H360),1)*$H360),"")</f>
        <v>0</v>
      </c>
      <c r="W360" s="37" t="str">
        <f>IFERROR(IF(V360=0,"",ROUNDUP(V360/H360,0)*0.00753),"")</f>
        <v/>
      </c>
      <c r="X360" s="57"/>
      <c r="Y360" s="58"/>
      <c r="AC360" s="59"/>
      <c r="AZ360" s="252" t="s">
        <v>1</v>
      </c>
    </row>
    <row r="361" spans="1:52" ht="27" customHeight="1" x14ac:dyDescent="0.25">
      <c r="A361" s="55" t="s">
        <v>489</v>
      </c>
      <c r="B361" s="55" t="s">
        <v>490</v>
      </c>
      <c r="C361" s="32">
        <v>4301051284</v>
      </c>
      <c r="D361" s="385">
        <v>4607091384352</v>
      </c>
      <c r="E361" s="329"/>
      <c r="F361" s="304">
        <v>0.6</v>
      </c>
      <c r="G361" s="33">
        <v>4</v>
      </c>
      <c r="H361" s="304">
        <v>2.4</v>
      </c>
      <c r="I361" s="304">
        <v>2.6459999999999999</v>
      </c>
      <c r="J361" s="33">
        <v>120</v>
      </c>
      <c r="K361" s="34" t="s">
        <v>123</v>
      </c>
      <c r="L361" s="33">
        <v>45</v>
      </c>
      <c r="M361" s="58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61" s="387"/>
      <c r="O361" s="387"/>
      <c r="P361" s="387"/>
      <c r="Q361" s="329"/>
      <c r="R361" s="35"/>
      <c r="S361" s="35"/>
      <c r="T361" s="36" t="s">
        <v>63</v>
      </c>
      <c r="U361" s="305">
        <v>0</v>
      </c>
      <c r="V361" s="306">
        <f>IFERROR(IF(U361="",0,CEILING((U361/$H361),1)*$H361),"")</f>
        <v>0</v>
      </c>
      <c r="W361" s="37" t="str">
        <f>IFERROR(IF(V361=0,"",ROUNDUP(V361/H361,0)*0.00937),"")</f>
        <v/>
      </c>
      <c r="X361" s="57"/>
      <c r="Y361" s="58"/>
      <c r="AC361" s="59"/>
      <c r="AZ361" s="253" t="s">
        <v>1</v>
      </c>
    </row>
    <row r="362" spans="1:52" ht="27" customHeight="1" x14ac:dyDescent="0.25">
      <c r="A362" s="55" t="s">
        <v>491</v>
      </c>
      <c r="B362" s="55" t="s">
        <v>492</v>
      </c>
      <c r="C362" s="32">
        <v>4301051257</v>
      </c>
      <c r="D362" s="385">
        <v>4607091389661</v>
      </c>
      <c r="E362" s="329"/>
      <c r="F362" s="304">
        <v>0.55000000000000004</v>
      </c>
      <c r="G362" s="33">
        <v>4</v>
      </c>
      <c r="H362" s="304">
        <v>2.2000000000000002</v>
      </c>
      <c r="I362" s="304">
        <v>2.492</v>
      </c>
      <c r="J362" s="33">
        <v>120</v>
      </c>
      <c r="K362" s="34" t="s">
        <v>123</v>
      </c>
      <c r="L362" s="33">
        <v>45</v>
      </c>
      <c r="M362" s="584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62" s="387"/>
      <c r="O362" s="387"/>
      <c r="P362" s="387"/>
      <c r="Q362" s="329"/>
      <c r="R362" s="35"/>
      <c r="S362" s="35"/>
      <c r="T362" s="36" t="s">
        <v>63</v>
      </c>
      <c r="U362" s="305">
        <v>0</v>
      </c>
      <c r="V362" s="306">
        <f>IFERROR(IF(U362="",0,CEILING((U362/$H362),1)*$H362),"")</f>
        <v>0</v>
      </c>
      <c r="W362" s="37" t="str">
        <f>IFERROR(IF(V362=0,"",ROUNDUP(V362/H362,0)*0.00937),"")</f>
        <v/>
      </c>
      <c r="X362" s="57"/>
      <c r="Y362" s="58"/>
      <c r="AC362" s="59"/>
      <c r="AZ362" s="254" t="s">
        <v>1</v>
      </c>
    </row>
    <row r="363" spans="1:52" x14ac:dyDescent="0.2">
      <c r="A363" s="389"/>
      <c r="B363" s="313"/>
      <c r="C363" s="313"/>
      <c r="D363" s="313"/>
      <c r="E363" s="313"/>
      <c r="F363" s="313"/>
      <c r="G363" s="313"/>
      <c r="H363" s="313"/>
      <c r="I363" s="313"/>
      <c r="J363" s="313"/>
      <c r="K363" s="313"/>
      <c r="L363" s="390"/>
      <c r="M363" s="388" t="s">
        <v>64</v>
      </c>
      <c r="N363" s="341"/>
      <c r="O363" s="341"/>
      <c r="P363" s="341"/>
      <c r="Q363" s="341"/>
      <c r="R363" s="341"/>
      <c r="S363" s="342"/>
      <c r="T363" s="38" t="s">
        <v>65</v>
      </c>
      <c r="U363" s="307">
        <f>IFERROR(U359/H359,"0")+IFERROR(U360/H360,"0")+IFERROR(U361/H361,"0")+IFERROR(U362/H362,"0")</f>
        <v>7.6923076923076925</v>
      </c>
      <c r="V363" s="307">
        <f>IFERROR(V359/H359,"0")+IFERROR(V360/H360,"0")+IFERROR(V361/H361,"0")+IFERROR(V362/H362,"0")</f>
        <v>8</v>
      </c>
      <c r="W363" s="307">
        <f>IFERROR(IF(W359="",0,W359),"0")+IFERROR(IF(W360="",0,W360),"0")+IFERROR(IF(W361="",0,W361),"0")+IFERROR(IF(W362="",0,W362),"0")</f>
        <v>0.17399999999999999</v>
      </c>
      <c r="X363" s="308"/>
      <c r="Y363" s="308"/>
    </row>
    <row r="364" spans="1:52" x14ac:dyDescent="0.2">
      <c r="A364" s="313"/>
      <c r="B364" s="313"/>
      <c r="C364" s="313"/>
      <c r="D364" s="313"/>
      <c r="E364" s="313"/>
      <c r="F364" s="313"/>
      <c r="G364" s="313"/>
      <c r="H364" s="313"/>
      <c r="I364" s="313"/>
      <c r="J364" s="313"/>
      <c r="K364" s="313"/>
      <c r="L364" s="390"/>
      <c r="M364" s="388" t="s">
        <v>64</v>
      </c>
      <c r="N364" s="341"/>
      <c r="O364" s="341"/>
      <c r="P364" s="341"/>
      <c r="Q364" s="341"/>
      <c r="R364" s="341"/>
      <c r="S364" s="342"/>
      <c r="T364" s="38" t="s">
        <v>63</v>
      </c>
      <c r="U364" s="307">
        <f>IFERROR(SUM(U359:U362),"0")</f>
        <v>60</v>
      </c>
      <c r="V364" s="307">
        <f>IFERROR(SUM(V359:V362),"0")</f>
        <v>62.4</v>
      </c>
      <c r="W364" s="38"/>
      <c r="X364" s="308"/>
      <c r="Y364" s="308"/>
    </row>
    <row r="365" spans="1:52" ht="14.25" customHeight="1" x14ac:dyDescent="0.25">
      <c r="A365" s="384" t="s">
        <v>195</v>
      </c>
      <c r="B365" s="313"/>
      <c r="C365" s="313"/>
      <c r="D365" s="313"/>
      <c r="E365" s="313"/>
      <c r="F365" s="313"/>
      <c r="G365" s="313"/>
      <c r="H365" s="313"/>
      <c r="I365" s="313"/>
      <c r="J365" s="313"/>
      <c r="K365" s="313"/>
      <c r="L365" s="313"/>
      <c r="M365" s="313"/>
      <c r="N365" s="313"/>
      <c r="O365" s="313"/>
      <c r="P365" s="313"/>
      <c r="Q365" s="313"/>
      <c r="R365" s="313"/>
      <c r="S365" s="313"/>
      <c r="T365" s="313"/>
      <c r="U365" s="313"/>
      <c r="V365" s="313"/>
      <c r="W365" s="313"/>
      <c r="X365" s="302"/>
      <c r="Y365" s="302"/>
    </row>
    <row r="366" spans="1:52" ht="27" customHeight="1" x14ac:dyDescent="0.25">
      <c r="A366" s="55" t="s">
        <v>493</v>
      </c>
      <c r="B366" s="55" t="s">
        <v>494</v>
      </c>
      <c r="C366" s="32">
        <v>4301060352</v>
      </c>
      <c r="D366" s="385">
        <v>4680115881648</v>
      </c>
      <c r="E366" s="329"/>
      <c r="F366" s="304">
        <v>1</v>
      </c>
      <c r="G366" s="33">
        <v>4</v>
      </c>
      <c r="H366" s="304">
        <v>4</v>
      </c>
      <c r="I366" s="304">
        <v>4.4039999999999999</v>
      </c>
      <c r="J366" s="33">
        <v>104</v>
      </c>
      <c r="K366" s="34" t="s">
        <v>62</v>
      </c>
      <c r="L366" s="33">
        <v>35</v>
      </c>
      <c r="M366" s="585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66" s="387"/>
      <c r="O366" s="387"/>
      <c r="P366" s="387"/>
      <c r="Q366" s="329"/>
      <c r="R366" s="35"/>
      <c r="S366" s="35"/>
      <c r="T366" s="36" t="s">
        <v>63</v>
      </c>
      <c r="U366" s="305">
        <v>0</v>
      </c>
      <c r="V366" s="306">
        <f>IFERROR(IF(U366="",0,CEILING((U366/$H366),1)*$H366),"")</f>
        <v>0</v>
      </c>
      <c r="W366" s="37" t="str">
        <f>IFERROR(IF(V366=0,"",ROUNDUP(V366/H366,0)*0.01196),"")</f>
        <v/>
      </c>
      <c r="X366" s="57"/>
      <c r="Y366" s="58"/>
      <c r="AC366" s="59"/>
      <c r="AZ366" s="255" t="s">
        <v>1</v>
      </c>
    </row>
    <row r="367" spans="1:52" x14ac:dyDescent="0.2">
      <c r="A367" s="389"/>
      <c r="B367" s="313"/>
      <c r="C367" s="313"/>
      <c r="D367" s="313"/>
      <c r="E367" s="313"/>
      <c r="F367" s="313"/>
      <c r="G367" s="313"/>
      <c r="H367" s="313"/>
      <c r="I367" s="313"/>
      <c r="J367" s="313"/>
      <c r="K367" s="313"/>
      <c r="L367" s="390"/>
      <c r="M367" s="388" t="s">
        <v>64</v>
      </c>
      <c r="N367" s="341"/>
      <c r="O367" s="341"/>
      <c r="P367" s="341"/>
      <c r="Q367" s="341"/>
      <c r="R367" s="341"/>
      <c r="S367" s="342"/>
      <c r="T367" s="38" t="s">
        <v>65</v>
      </c>
      <c r="U367" s="307">
        <f>IFERROR(U366/H366,"0")</f>
        <v>0</v>
      </c>
      <c r="V367" s="307">
        <f>IFERROR(V366/H366,"0")</f>
        <v>0</v>
      </c>
      <c r="W367" s="307">
        <f>IFERROR(IF(W366="",0,W366),"0")</f>
        <v>0</v>
      </c>
      <c r="X367" s="308"/>
      <c r="Y367" s="308"/>
    </row>
    <row r="368" spans="1:52" x14ac:dyDescent="0.2">
      <c r="A368" s="313"/>
      <c r="B368" s="313"/>
      <c r="C368" s="313"/>
      <c r="D368" s="313"/>
      <c r="E368" s="313"/>
      <c r="F368" s="313"/>
      <c r="G368" s="313"/>
      <c r="H368" s="313"/>
      <c r="I368" s="313"/>
      <c r="J368" s="313"/>
      <c r="K368" s="313"/>
      <c r="L368" s="390"/>
      <c r="M368" s="388" t="s">
        <v>64</v>
      </c>
      <c r="N368" s="341"/>
      <c r="O368" s="341"/>
      <c r="P368" s="341"/>
      <c r="Q368" s="341"/>
      <c r="R368" s="341"/>
      <c r="S368" s="342"/>
      <c r="T368" s="38" t="s">
        <v>63</v>
      </c>
      <c r="U368" s="307">
        <f>IFERROR(SUM(U366:U366),"0")</f>
        <v>0</v>
      </c>
      <c r="V368" s="307">
        <f>IFERROR(SUM(V366:V366),"0")</f>
        <v>0</v>
      </c>
      <c r="W368" s="38"/>
      <c r="X368" s="308"/>
      <c r="Y368" s="308"/>
    </row>
    <row r="369" spans="1:52" ht="14.25" customHeight="1" x14ac:dyDescent="0.25">
      <c r="A369" s="384" t="s">
        <v>79</v>
      </c>
      <c r="B369" s="313"/>
      <c r="C369" s="313"/>
      <c r="D369" s="313"/>
      <c r="E369" s="313"/>
      <c r="F369" s="313"/>
      <c r="G369" s="313"/>
      <c r="H369" s="313"/>
      <c r="I369" s="313"/>
      <c r="J369" s="313"/>
      <c r="K369" s="313"/>
      <c r="L369" s="313"/>
      <c r="M369" s="313"/>
      <c r="N369" s="313"/>
      <c r="O369" s="313"/>
      <c r="P369" s="313"/>
      <c r="Q369" s="313"/>
      <c r="R369" s="313"/>
      <c r="S369" s="313"/>
      <c r="T369" s="313"/>
      <c r="U369" s="313"/>
      <c r="V369" s="313"/>
      <c r="W369" s="313"/>
      <c r="X369" s="302"/>
      <c r="Y369" s="302"/>
    </row>
    <row r="370" spans="1:52" ht="27" customHeight="1" x14ac:dyDescent="0.25">
      <c r="A370" s="55" t="s">
        <v>495</v>
      </c>
      <c r="B370" s="55" t="s">
        <v>496</v>
      </c>
      <c r="C370" s="32">
        <v>4301032042</v>
      </c>
      <c r="D370" s="385">
        <v>4680115883017</v>
      </c>
      <c r="E370" s="329"/>
      <c r="F370" s="304">
        <v>0.03</v>
      </c>
      <c r="G370" s="33">
        <v>20</v>
      </c>
      <c r="H370" s="304">
        <v>0.6</v>
      </c>
      <c r="I370" s="304">
        <v>0.63</v>
      </c>
      <c r="J370" s="33">
        <v>350</v>
      </c>
      <c r="K370" s="34" t="s">
        <v>497</v>
      </c>
      <c r="L370" s="33">
        <v>60</v>
      </c>
      <c r="M370" s="586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70" s="387"/>
      <c r="O370" s="387"/>
      <c r="P370" s="387"/>
      <c r="Q370" s="329"/>
      <c r="R370" s="35"/>
      <c r="S370" s="35"/>
      <c r="T370" s="36" t="s">
        <v>63</v>
      </c>
      <c r="U370" s="305">
        <v>0</v>
      </c>
      <c r="V370" s="306">
        <f>IFERROR(IF(U370="",0,CEILING((U370/$H370),1)*$H370),"")</f>
        <v>0</v>
      </c>
      <c r="W370" s="37" t="str">
        <f>IFERROR(IF(V370=0,"",ROUNDUP(V370/H370,0)*0.00349),"")</f>
        <v/>
      </c>
      <c r="X370" s="57"/>
      <c r="Y370" s="58"/>
      <c r="AC370" s="59"/>
      <c r="AZ370" s="256" t="s">
        <v>1</v>
      </c>
    </row>
    <row r="371" spans="1:52" ht="27" customHeight="1" x14ac:dyDescent="0.25">
      <c r="A371" s="55" t="s">
        <v>498</v>
      </c>
      <c r="B371" s="55" t="s">
        <v>499</v>
      </c>
      <c r="C371" s="32">
        <v>4301032043</v>
      </c>
      <c r="D371" s="385">
        <v>4680115883031</v>
      </c>
      <c r="E371" s="329"/>
      <c r="F371" s="304">
        <v>0.03</v>
      </c>
      <c r="G371" s="33">
        <v>20</v>
      </c>
      <c r="H371" s="304">
        <v>0.6</v>
      </c>
      <c r="I371" s="304">
        <v>0.63</v>
      </c>
      <c r="J371" s="33">
        <v>350</v>
      </c>
      <c r="K371" s="34" t="s">
        <v>497</v>
      </c>
      <c r="L371" s="33">
        <v>60</v>
      </c>
      <c r="M371" s="587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71" s="387"/>
      <c r="O371" s="387"/>
      <c r="P371" s="387"/>
      <c r="Q371" s="329"/>
      <c r="R371" s="35"/>
      <c r="S371" s="35"/>
      <c r="T371" s="36" t="s">
        <v>63</v>
      </c>
      <c r="U371" s="305">
        <v>0</v>
      </c>
      <c r="V371" s="306">
        <f>IFERROR(IF(U371="",0,CEILING((U371/$H371),1)*$H371),"")</f>
        <v>0</v>
      </c>
      <c r="W371" s="37" t="str">
        <f>IFERROR(IF(V371=0,"",ROUNDUP(V371/H371,0)*0.00349),"")</f>
        <v/>
      </c>
      <c r="X371" s="57"/>
      <c r="Y371" s="58"/>
      <c r="AC371" s="59"/>
      <c r="AZ371" s="257" t="s">
        <v>1</v>
      </c>
    </row>
    <row r="372" spans="1:52" ht="27" customHeight="1" x14ac:dyDescent="0.25">
      <c r="A372" s="55" t="s">
        <v>500</v>
      </c>
      <c r="B372" s="55" t="s">
        <v>501</v>
      </c>
      <c r="C372" s="32">
        <v>4301032041</v>
      </c>
      <c r="D372" s="385">
        <v>4680115883024</v>
      </c>
      <c r="E372" s="329"/>
      <c r="F372" s="304">
        <v>0.03</v>
      </c>
      <c r="G372" s="33">
        <v>20</v>
      </c>
      <c r="H372" s="304">
        <v>0.6</v>
      </c>
      <c r="I372" s="304">
        <v>0.63</v>
      </c>
      <c r="J372" s="33">
        <v>350</v>
      </c>
      <c r="K372" s="34" t="s">
        <v>497</v>
      </c>
      <c r="L372" s="33">
        <v>60</v>
      </c>
      <c r="M372" s="588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72" s="387"/>
      <c r="O372" s="387"/>
      <c r="P372" s="387"/>
      <c r="Q372" s="329"/>
      <c r="R372" s="35"/>
      <c r="S372" s="35"/>
      <c r="T372" s="36" t="s">
        <v>63</v>
      </c>
      <c r="U372" s="305">
        <v>0</v>
      </c>
      <c r="V372" s="306">
        <f>IFERROR(IF(U372="",0,CEILING((U372/$H372),1)*$H372),"")</f>
        <v>0</v>
      </c>
      <c r="W372" s="37" t="str">
        <f>IFERROR(IF(V372=0,"",ROUNDUP(V372/H372,0)*0.00349),"")</f>
        <v/>
      </c>
      <c r="X372" s="57"/>
      <c r="Y372" s="58"/>
      <c r="AC372" s="59"/>
      <c r="AZ372" s="258" t="s">
        <v>1</v>
      </c>
    </row>
    <row r="373" spans="1:52" x14ac:dyDescent="0.2">
      <c r="A373" s="389"/>
      <c r="B373" s="313"/>
      <c r="C373" s="313"/>
      <c r="D373" s="313"/>
      <c r="E373" s="313"/>
      <c r="F373" s="313"/>
      <c r="G373" s="313"/>
      <c r="H373" s="313"/>
      <c r="I373" s="313"/>
      <c r="J373" s="313"/>
      <c r="K373" s="313"/>
      <c r="L373" s="390"/>
      <c r="M373" s="388" t="s">
        <v>64</v>
      </c>
      <c r="N373" s="341"/>
      <c r="O373" s="341"/>
      <c r="P373" s="341"/>
      <c r="Q373" s="341"/>
      <c r="R373" s="341"/>
      <c r="S373" s="342"/>
      <c r="T373" s="38" t="s">
        <v>65</v>
      </c>
      <c r="U373" s="307">
        <f>IFERROR(U370/H370,"0")+IFERROR(U371/H371,"0")+IFERROR(U372/H372,"0")</f>
        <v>0</v>
      </c>
      <c r="V373" s="307">
        <f>IFERROR(V370/H370,"0")+IFERROR(V371/H371,"0")+IFERROR(V372/H372,"0")</f>
        <v>0</v>
      </c>
      <c r="W373" s="307">
        <f>IFERROR(IF(W370="",0,W370),"0")+IFERROR(IF(W371="",0,W371),"0")+IFERROR(IF(W372="",0,W372),"0")</f>
        <v>0</v>
      </c>
      <c r="X373" s="308"/>
      <c r="Y373" s="308"/>
    </row>
    <row r="374" spans="1:52" x14ac:dyDescent="0.2">
      <c r="A374" s="313"/>
      <c r="B374" s="313"/>
      <c r="C374" s="313"/>
      <c r="D374" s="313"/>
      <c r="E374" s="313"/>
      <c r="F374" s="313"/>
      <c r="G374" s="313"/>
      <c r="H374" s="313"/>
      <c r="I374" s="313"/>
      <c r="J374" s="313"/>
      <c r="K374" s="313"/>
      <c r="L374" s="390"/>
      <c r="M374" s="388" t="s">
        <v>64</v>
      </c>
      <c r="N374" s="341"/>
      <c r="O374" s="341"/>
      <c r="P374" s="341"/>
      <c r="Q374" s="341"/>
      <c r="R374" s="341"/>
      <c r="S374" s="342"/>
      <c r="T374" s="38" t="s">
        <v>63</v>
      </c>
      <c r="U374" s="307">
        <f>IFERROR(SUM(U370:U372),"0")</f>
        <v>0</v>
      </c>
      <c r="V374" s="307">
        <f>IFERROR(SUM(V370:V372),"0")</f>
        <v>0</v>
      </c>
      <c r="W374" s="38"/>
      <c r="X374" s="308"/>
      <c r="Y374" s="308"/>
    </row>
    <row r="375" spans="1:52" ht="14.25" customHeight="1" x14ac:dyDescent="0.25">
      <c r="A375" s="384" t="s">
        <v>502</v>
      </c>
      <c r="B375" s="313"/>
      <c r="C375" s="313"/>
      <c r="D375" s="313"/>
      <c r="E375" s="313"/>
      <c r="F375" s="313"/>
      <c r="G375" s="313"/>
      <c r="H375" s="313"/>
      <c r="I375" s="313"/>
      <c r="J375" s="313"/>
      <c r="K375" s="313"/>
      <c r="L375" s="313"/>
      <c r="M375" s="313"/>
      <c r="N375" s="313"/>
      <c r="O375" s="313"/>
      <c r="P375" s="313"/>
      <c r="Q375" s="313"/>
      <c r="R375" s="313"/>
      <c r="S375" s="313"/>
      <c r="T375" s="313"/>
      <c r="U375" s="313"/>
      <c r="V375" s="313"/>
      <c r="W375" s="313"/>
      <c r="X375" s="302"/>
      <c r="Y375" s="302"/>
    </row>
    <row r="376" spans="1:52" ht="27" customHeight="1" x14ac:dyDescent="0.25">
      <c r="A376" s="55" t="s">
        <v>503</v>
      </c>
      <c r="B376" s="55" t="s">
        <v>504</v>
      </c>
      <c r="C376" s="32">
        <v>4301170009</v>
      </c>
      <c r="D376" s="385">
        <v>4680115882997</v>
      </c>
      <c r="E376" s="329"/>
      <c r="F376" s="304">
        <v>0.13</v>
      </c>
      <c r="G376" s="33">
        <v>10</v>
      </c>
      <c r="H376" s="304">
        <v>1.3</v>
      </c>
      <c r="I376" s="304">
        <v>1.46</v>
      </c>
      <c r="J376" s="33">
        <v>200</v>
      </c>
      <c r="K376" s="34" t="s">
        <v>497</v>
      </c>
      <c r="L376" s="33">
        <v>150</v>
      </c>
      <c r="M376" s="589" t="s">
        <v>505</v>
      </c>
      <c r="N376" s="387"/>
      <c r="O376" s="387"/>
      <c r="P376" s="387"/>
      <c r="Q376" s="329"/>
      <c r="R376" s="35"/>
      <c r="S376" s="35"/>
      <c r="T376" s="36" t="s">
        <v>63</v>
      </c>
      <c r="U376" s="305">
        <v>0</v>
      </c>
      <c r="V376" s="306">
        <f>IFERROR(IF(U376="",0,CEILING((U376/$H376),1)*$H376),"")</f>
        <v>0</v>
      </c>
      <c r="W376" s="37" t="str">
        <f>IFERROR(IF(V376=0,"",ROUNDUP(V376/H376,0)*0.00673),"")</f>
        <v/>
      </c>
      <c r="X376" s="57"/>
      <c r="Y376" s="58"/>
      <c r="AC376" s="59"/>
      <c r="AZ376" s="259" t="s">
        <v>1</v>
      </c>
    </row>
    <row r="377" spans="1:52" x14ac:dyDescent="0.2">
      <c r="A377" s="389"/>
      <c r="B377" s="313"/>
      <c r="C377" s="313"/>
      <c r="D377" s="313"/>
      <c r="E377" s="313"/>
      <c r="F377" s="313"/>
      <c r="G377" s="313"/>
      <c r="H377" s="313"/>
      <c r="I377" s="313"/>
      <c r="J377" s="313"/>
      <c r="K377" s="313"/>
      <c r="L377" s="390"/>
      <c r="M377" s="388" t="s">
        <v>64</v>
      </c>
      <c r="N377" s="341"/>
      <c r="O377" s="341"/>
      <c r="P377" s="341"/>
      <c r="Q377" s="341"/>
      <c r="R377" s="341"/>
      <c r="S377" s="342"/>
      <c r="T377" s="38" t="s">
        <v>65</v>
      </c>
      <c r="U377" s="307">
        <f>IFERROR(U376/H376,"0")</f>
        <v>0</v>
      </c>
      <c r="V377" s="307">
        <f>IFERROR(V376/H376,"0")</f>
        <v>0</v>
      </c>
      <c r="W377" s="307">
        <f>IFERROR(IF(W376="",0,W376),"0")</f>
        <v>0</v>
      </c>
      <c r="X377" s="308"/>
      <c r="Y377" s="308"/>
    </row>
    <row r="378" spans="1:52" x14ac:dyDescent="0.2">
      <c r="A378" s="313"/>
      <c r="B378" s="313"/>
      <c r="C378" s="313"/>
      <c r="D378" s="313"/>
      <c r="E378" s="313"/>
      <c r="F378" s="313"/>
      <c r="G378" s="313"/>
      <c r="H378" s="313"/>
      <c r="I378" s="313"/>
      <c r="J378" s="313"/>
      <c r="K378" s="313"/>
      <c r="L378" s="390"/>
      <c r="M378" s="388" t="s">
        <v>64</v>
      </c>
      <c r="N378" s="341"/>
      <c r="O378" s="341"/>
      <c r="P378" s="341"/>
      <c r="Q378" s="341"/>
      <c r="R378" s="341"/>
      <c r="S378" s="342"/>
      <c r="T378" s="38" t="s">
        <v>63</v>
      </c>
      <c r="U378" s="307">
        <f>IFERROR(SUM(U376:U376),"0")</f>
        <v>0</v>
      </c>
      <c r="V378" s="307">
        <f>IFERROR(SUM(V376:V376),"0")</f>
        <v>0</v>
      </c>
      <c r="W378" s="38"/>
      <c r="X378" s="308"/>
      <c r="Y378" s="308"/>
    </row>
    <row r="379" spans="1:52" ht="16.5" customHeight="1" x14ac:dyDescent="0.25">
      <c r="A379" s="383" t="s">
        <v>506</v>
      </c>
      <c r="B379" s="313"/>
      <c r="C379" s="313"/>
      <c r="D379" s="313"/>
      <c r="E379" s="313"/>
      <c r="F379" s="313"/>
      <c r="G379" s="313"/>
      <c r="H379" s="313"/>
      <c r="I379" s="313"/>
      <c r="J379" s="313"/>
      <c r="K379" s="313"/>
      <c r="L379" s="313"/>
      <c r="M379" s="313"/>
      <c r="N379" s="313"/>
      <c r="O379" s="313"/>
      <c r="P379" s="313"/>
      <c r="Q379" s="313"/>
      <c r="R379" s="313"/>
      <c r="S379" s="313"/>
      <c r="T379" s="313"/>
      <c r="U379" s="313"/>
      <c r="V379" s="313"/>
      <c r="W379" s="313"/>
      <c r="X379" s="301"/>
      <c r="Y379" s="301"/>
    </row>
    <row r="380" spans="1:52" ht="14.25" customHeight="1" x14ac:dyDescent="0.25">
      <c r="A380" s="384" t="s">
        <v>93</v>
      </c>
      <c r="B380" s="313"/>
      <c r="C380" s="313"/>
      <c r="D380" s="313"/>
      <c r="E380" s="313"/>
      <c r="F380" s="313"/>
      <c r="G380" s="313"/>
      <c r="H380" s="313"/>
      <c r="I380" s="313"/>
      <c r="J380" s="313"/>
      <c r="K380" s="313"/>
      <c r="L380" s="313"/>
      <c r="M380" s="313"/>
      <c r="N380" s="313"/>
      <c r="O380" s="313"/>
      <c r="P380" s="313"/>
      <c r="Q380" s="313"/>
      <c r="R380" s="313"/>
      <c r="S380" s="313"/>
      <c r="T380" s="313"/>
      <c r="U380" s="313"/>
      <c r="V380" s="313"/>
      <c r="W380" s="313"/>
      <c r="X380" s="302"/>
      <c r="Y380" s="302"/>
    </row>
    <row r="381" spans="1:52" ht="27" customHeight="1" x14ac:dyDescent="0.25">
      <c r="A381" s="55" t="s">
        <v>507</v>
      </c>
      <c r="B381" s="55" t="s">
        <v>508</v>
      </c>
      <c r="C381" s="32">
        <v>4301020196</v>
      </c>
      <c r="D381" s="385">
        <v>4607091389388</v>
      </c>
      <c r="E381" s="329"/>
      <c r="F381" s="304">
        <v>1.3</v>
      </c>
      <c r="G381" s="33">
        <v>4</v>
      </c>
      <c r="H381" s="304">
        <v>5.2</v>
      </c>
      <c r="I381" s="304">
        <v>5.6079999999999997</v>
      </c>
      <c r="J381" s="33">
        <v>104</v>
      </c>
      <c r="K381" s="34" t="s">
        <v>123</v>
      </c>
      <c r="L381" s="33">
        <v>35</v>
      </c>
      <c r="M381" s="590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81" s="387"/>
      <c r="O381" s="387"/>
      <c r="P381" s="387"/>
      <c r="Q381" s="329"/>
      <c r="R381" s="35"/>
      <c r="S381" s="35"/>
      <c r="T381" s="36" t="s">
        <v>63</v>
      </c>
      <c r="U381" s="305">
        <v>40</v>
      </c>
      <c r="V381" s="306">
        <f>IFERROR(IF(U381="",0,CEILING((U381/$H381),1)*$H381),"")</f>
        <v>41.6</v>
      </c>
      <c r="W381" s="37">
        <f>IFERROR(IF(V381=0,"",ROUNDUP(V381/H381,0)*0.01196),"")</f>
        <v>9.5680000000000001E-2</v>
      </c>
      <c r="X381" s="57"/>
      <c r="Y381" s="58"/>
      <c r="AC381" s="59"/>
      <c r="AZ381" s="260" t="s">
        <v>1</v>
      </c>
    </row>
    <row r="382" spans="1:52" ht="27" customHeight="1" x14ac:dyDescent="0.25">
      <c r="A382" s="55" t="s">
        <v>509</v>
      </c>
      <c r="B382" s="55" t="s">
        <v>510</v>
      </c>
      <c r="C382" s="32">
        <v>4301020185</v>
      </c>
      <c r="D382" s="385">
        <v>4607091389364</v>
      </c>
      <c r="E382" s="329"/>
      <c r="F382" s="304">
        <v>0.42</v>
      </c>
      <c r="G382" s="33">
        <v>6</v>
      </c>
      <c r="H382" s="304">
        <v>2.52</v>
      </c>
      <c r="I382" s="304">
        <v>2.75</v>
      </c>
      <c r="J382" s="33">
        <v>156</v>
      </c>
      <c r="K382" s="34" t="s">
        <v>123</v>
      </c>
      <c r="L382" s="33">
        <v>35</v>
      </c>
      <c r="M382" s="591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82" s="387"/>
      <c r="O382" s="387"/>
      <c r="P382" s="387"/>
      <c r="Q382" s="329"/>
      <c r="R382" s="35"/>
      <c r="S382" s="35"/>
      <c r="T382" s="36" t="s">
        <v>63</v>
      </c>
      <c r="U382" s="305">
        <v>0</v>
      </c>
      <c r="V382" s="306">
        <f>IFERROR(IF(U382="",0,CEILING((U382/$H382),1)*$H382),"")</f>
        <v>0</v>
      </c>
      <c r="W382" s="37" t="str">
        <f>IFERROR(IF(V382=0,"",ROUNDUP(V382/H382,0)*0.00753),"")</f>
        <v/>
      </c>
      <c r="X382" s="57"/>
      <c r="Y382" s="58"/>
      <c r="AC382" s="59"/>
      <c r="AZ382" s="261" t="s">
        <v>1</v>
      </c>
    </row>
    <row r="383" spans="1:52" x14ac:dyDescent="0.2">
      <c r="A383" s="389"/>
      <c r="B383" s="313"/>
      <c r="C383" s="313"/>
      <c r="D383" s="313"/>
      <c r="E383" s="313"/>
      <c r="F383" s="313"/>
      <c r="G383" s="313"/>
      <c r="H383" s="313"/>
      <c r="I383" s="313"/>
      <c r="J383" s="313"/>
      <c r="K383" s="313"/>
      <c r="L383" s="390"/>
      <c r="M383" s="388" t="s">
        <v>64</v>
      </c>
      <c r="N383" s="341"/>
      <c r="O383" s="341"/>
      <c r="P383" s="341"/>
      <c r="Q383" s="341"/>
      <c r="R383" s="341"/>
      <c r="S383" s="342"/>
      <c r="T383" s="38" t="s">
        <v>65</v>
      </c>
      <c r="U383" s="307">
        <f>IFERROR(U381/H381,"0")+IFERROR(U382/H382,"0")</f>
        <v>7.6923076923076916</v>
      </c>
      <c r="V383" s="307">
        <f>IFERROR(V381/H381,"0")+IFERROR(V382/H382,"0")</f>
        <v>8</v>
      </c>
      <c r="W383" s="307">
        <f>IFERROR(IF(W381="",0,W381),"0")+IFERROR(IF(W382="",0,W382),"0")</f>
        <v>9.5680000000000001E-2</v>
      </c>
      <c r="X383" s="308"/>
      <c r="Y383" s="308"/>
    </row>
    <row r="384" spans="1:52" x14ac:dyDescent="0.2">
      <c r="A384" s="313"/>
      <c r="B384" s="313"/>
      <c r="C384" s="313"/>
      <c r="D384" s="313"/>
      <c r="E384" s="313"/>
      <c r="F384" s="313"/>
      <c r="G384" s="313"/>
      <c r="H384" s="313"/>
      <c r="I384" s="313"/>
      <c r="J384" s="313"/>
      <c r="K384" s="313"/>
      <c r="L384" s="390"/>
      <c r="M384" s="388" t="s">
        <v>64</v>
      </c>
      <c r="N384" s="341"/>
      <c r="O384" s="341"/>
      <c r="P384" s="341"/>
      <c r="Q384" s="341"/>
      <c r="R384" s="341"/>
      <c r="S384" s="342"/>
      <c r="T384" s="38" t="s">
        <v>63</v>
      </c>
      <c r="U384" s="307">
        <f>IFERROR(SUM(U381:U382),"0")</f>
        <v>40</v>
      </c>
      <c r="V384" s="307">
        <f>IFERROR(SUM(V381:V382),"0")</f>
        <v>41.6</v>
      </c>
      <c r="W384" s="38"/>
      <c r="X384" s="308"/>
      <c r="Y384" s="308"/>
    </row>
    <row r="385" spans="1:52" ht="14.25" customHeight="1" x14ac:dyDescent="0.25">
      <c r="A385" s="384" t="s">
        <v>59</v>
      </c>
      <c r="B385" s="313"/>
      <c r="C385" s="313"/>
      <c r="D385" s="313"/>
      <c r="E385" s="313"/>
      <c r="F385" s="313"/>
      <c r="G385" s="313"/>
      <c r="H385" s="313"/>
      <c r="I385" s="313"/>
      <c r="J385" s="313"/>
      <c r="K385" s="313"/>
      <c r="L385" s="313"/>
      <c r="M385" s="313"/>
      <c r="N385" s="313"/>
      <c r="O385" s="313"/>
      <c r="P385" s="313"/>
      <c r="Q385" s="313"/>
      <c r="R385" s="313"/>
      <c r="S385" s="313"/>
      <c r="T385" s="313"/>
      <c r="U385" s="313"/>
      <c r="V385" s="313"/>
      <c r="W385" s="313"/>
      <c r="X385" s="302"/>
      <c r="Y385" s="302"/>
    </row>
    <row r="386" spans="1:52" ht="27" customHeight="1" x14ac:dyDescent="0.25">
      <c r="A386" s="55" t="s">
        <v>511</v>
      </c>
      <c r="B386" s="55" t="s">
        <v>512</v>
      </c>
      <c r="C386" s="32">
        <v>4301031212</v>
      </c>
      <c r="D386" s="385">
        <v>4607091389739</v>
      </c>
      <c r="E386" s="329"/>
      <c r="F386" s="304">
        <v>0.7</v>
      </c>
      <c r="G386" s="33">
        <v>6</v>
      </c>
      <c r="H386" s="304">
        <v>4.2</v>
      </c>
      <c r="I386" s="304">
        <v>4.43</v>
      </c>
      <c r="J386" s="33">
        <v>156</v>
      </c>
      <c r="K386" s="34" t="s">
        <v>96</v>
      </c>
      <c r="L386" s="33">
        <v>45</v>
      </c>
      <c r="M386" s="592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86" s="387"/>
      <c r="O386" s="387"/>
      <c r="P386" s="387"/>
      <c r="Q386" s="329"/>
      <c r="R386" s="35"/>
      <c r="S386" s="35"/>
      <c r="T386" s="36" t="s">
        <v>63</v>
      </c>
      <c r="U386" s="305">
        <v>700</v>
      </c>
      <c r="V386" s="306">
        <f t="shared" ref="V386:V392" si="17">IFERROR(IF(U386="",0,CEILING((U386/$H386),1)*$H386),"")</f>
        <v>701.4</v>
      </c>
      <c r="W386" s="37">
        <f>IFERROR(IF(V386=0,"",ROUNDUP(V386/H386,0)*0.00753),"")</f>
        <v>1.2575100000000001</v>
      </c>
      <c r="X386" s="57"/>
      <c r="Y386" s="58"/>
      <c r="AC386" s="59"/>
      <c r="AZ386" s="262" t="s">
        <v>1</v>
      </c>
    </row>
    <row r="387" spans="1:52" ht="27" customHeight="1" x14ac:dyDescent="0.25">
      <c r="A387" s="55" t="s">
        <v>513</v>
      </c>
      <c r="B387" s="55" t="s">
        <v>514</v>
      </c>
      <c r="C387" s="32">
        <v>4301031247</v>
      </c>
      <c r="D387" s="385">
        <v>4680115883048</v>
      </c>
      <c r="E387" s="329"/>
      <c r="F387" s="304">
        <v>1</v>
      </c>
      <c r="G387" s="33">
        <v>4</v>
      </c>
      <c r="H387" s="304">
        <v>4</v>
      </c>
      <c r="I387" s="304">
        <v>4.21</v>
      </c>
      <c r="J387" s="33">
        <v>120</v>
      </c>
      <c r="K387" s="34" t="s">
        <v>62</v>
      </c>
      <c r="L387" s="33">
        <v>40</v>
      </c>
      <c r="M387" s="593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87" s="387"/>
      <c r="O387" s="387"/>
      <c r="P387" s="387"/>
      <c r="Q387" s="329"/>
      <c r="R387" s="35"/>
      <c r="S387" s="35"/>
      <c r="T387" s="36" t="s">
        <v>63</v>
      </c>
      <c r="U387" s="305">
        <v>0</v>
      </c>
      <c r="V387" s="306">
        <f t="shared" si="17"/>
        <v>0</v>
      </c>
      <c r="W387" s="37" t="str">
        <f>IFERROR(IF(V387=0,"",ROUNDUP(V387/H387,0)*0.00937),"")</f>
        <v/>
      </c>
      <c r="X387" s="57"/>
      <c r="Y387" s="58"/>
      <c r="AC387" s="59"/>
      <c r="AZ387" s="263" t="s">
        <v>1</v>
      </c>
    </row>
    <row r="388" spans="1:52" ht="27" customHeight="1" x14ac:dyDescent="0.25">
      <c r="A388" s="55" t="s">
        <v>515</v>
      </c>
      <c r="B388" s="55" t="s">
        <v>516</v>
      </c>
      <c r="C388" s="32">
        <v>4301031176</v>
      </c>
      <c r="D388" s="385">
        <v>4607091389425</v>
      </c>
      <c r="E388" s="329"/>
      <c r="F388" s="304">
        <v>0.35</v>
      </c>
      <c r="G388" s="33">
        <v>6</v>
      </c>
      <c r="H388" s="304">
        <v>2.1</v>
      </c>
      <c r="I388" s="304">
        <v>2.23</v>
      </c>
      <c r="J388" s="33">
        <v>234</v>
      </c>
      <c r="K388" s="34" t="s">
        <v>62</v>
      </c>
      <c r="L388" s="33">
        <v>45</v>
      </c>
      <c r="M388" s="59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88" s="387"/>
      <c r="O388" s="387"/>
      <c r="P388" s="387"/>
      <c r="Q388" s="329"/>
      <c r="R388" s="35"/>
      <c r="S388" s="35"/>
      <c r="T388" s="36" t="s">
        <v>63</v>
      </c>
      <c r="U388" s="305">
        <v>4</v>
      </c>
      <c r="V388" s="306">
        <f t="shared" si="17"/>
        <v>4.2</v>
      </c>
      <c r="W388" s="37">
        <f>IFERROR(IF(V388=0,"",ROUNDUP(V388/H388,0)*0.00502),"")</f>
        <v>1.004E-2</v>
      </c>
      <c r="X388" s="57"/>
      <c r="Y388" s="58"/>
      <c r="AC388" s="59"/>
      <c r="AZ388" s="264" t="s">
        <v>1</v>
      </c>
    </row>
    <row r="389" spans="1:52" ht="27" customHeight="1" x14ac:dyDescent="0.25">
      <c r="A389" s="55" t="s">
        <v>517</v>
      </c>
      <c r="B389" s="55" t="s">
        <v>518</v>
      </c>
      <c r="C389" s="32">
        <v>4301031215</v>
      </c>
      <c r="D389" s="385">
        <v>4680115882911</v>
      </c>
      <c r="E389" s="329"/>
      <c r="F389" s="304">
        <v>0.4</v>
      </c>
      <c r="G389" s="33">
        <v>6</v>
      </c>
      <c r="H389" s="304">
        <v>2.4</v>
      </c>
      <c r="I389" s="304">
        <v>2.5299999999999998</v>
      </c>
      <c r="J389" s="33">
        <v>234</v>
      </c>
      <c r="K389" s="34" t="s">
        <v>62</v>
      </c>
      <c r="L389" s="33">
        <v>40</v>
      </c>
      <c r="M389" s="595" t="s">
        <v>519</v>
      </c>
      <c r="N389" s="387"/>
      <c r="O389" s="387"/>
      <c r="P389" s="387"/>
      <c r="Q389" s="329"/>
      <c r="R389" s="35"/>
      <c r="S389" s="35"/>
      <c r="T389" s="36" t="s">
        <v>63</v>
      </c>
      <c r="U389" s="305">
        <v>0</v>
      </c>
      <c r="V389" s="306">
        <f t="shared" si="17"/>
        <v>0</v>
      </c>
      <c r="W389" s="37" t="str">
        <f>IFERROR(IF(V389=0,"",ROUNDUP(V389/H389,0)*0.00502),"")</f>
        <v/>
      </c>
      <c r="X389" s="57"/>
      <c r="Y389" s="58"/>
      <c r="AC389" s="59"/>
      <c r="AZ389" s="265" t="s">
        <v>1</v>
      </c>
    </row>
    <row r="390" spans="1:52" ht="27" customHeight="1" x14ac:dyDescent="0.25">
      <c r="A390" s="55" t="s">
        <v>520</v>
      </c>
      <c r="B390" s="55" t="s">
        <v>521</v>
      </c>
      <c r="C390" s="32">
        <v>4301031167</v>
      </c>
      <c r="D390" s="385">
        <v>4680115880771</v>
      </c>
      <c r="E390" s="329"/>
      <c r="F390" s="304">
        <v>0.28000000000000003</v>
      </c>
      <c r="G390" s="33">
        <v>6</v>
      </c>
      <c r="H390" s="304">
        <v>1.68</v>
      </c>
      <c r="I390" s="304">
        <v>1.81</v>
      </c>
      <c r="J390" s="33">
        <v>234</v>
      </c>
      <c r="K390" s="34" t="s">
        <v>62</v>
      </c>
      <c r="L390" s="33">
        <v>45</v>
      </c>
      <c r="M390" s="59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90" s="387"/>
      <c r="O390" s="387"/>
      <c r="P390" s="387"/>
      <c r="Q390" s="329"/>
      <c r="R390" s="35"/>
      <c r="S390" s="35"/>
      <c r="T390" s="36" t="s">
        <v>63</v>
      </c>
      <c r="U390" s="305">
        <v>0</v>
      </c>
      <c r="V390" s="306">
        <f t="shared" si="17"/>
        <v>0</v>
      </c>
      <c r="W390" s="37" t="str">
        <f>IFERROR(IF(V390=0,"",ROUNDUP(V390/H390,0)*0.00502),"")</f>
        <v/>
      </c>
      <c r="X390" s="57"/>
      <c r="Y390" s="58"/>
      <c r="AC390" s="59"/>
      <c r="AZ390" s="266" t="s">
        <v>1</v>
      </c>
    </row>
    <row r="391" spans="1:52" ht="27" customHeight="1" x14ac:dyDescent="0.25">
      <c r="A391" s="55" t="s">
        <v>522</v>
      </c>
      <c r="B391" s="55" t="s">
        <v>523</v>
      </c>
      <c r="C391" s="32">
        <v>4301031173</v>
      </c>
      <c r="D391" s="385">
        <v>4607091389500</v>
      </c>
      <c r="E391" s="329"/>
      <c r="F391" s="304">
        <v>0.35</v>
      </c>
      <c r="G391" s="33">
        <v>6</v>
      </c>
      <c r="H391" s="304">
        <v>2.1</v>
      </c>
      <c r="I391" s="304">
        <v>2.23</v>
      </c>
      <c r="J391" s="33">
        <v>234</v>
      </c>
      <c r="K391" s="34" t="s">
        <v>62</v>
      </c>
      <c r="L391" s="33">
        <v>45</v>
      </c>
      <c r="M391" s="59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91" s="387"/>
      <c r="O391" s="387"/>
      <c r="P391" s="387"/>
      <c r="Q391" s="329"/>
      <c r="R391" s="35"/>
      <c r="S391" s="35"/>
      <c r="T391" s="36" t="s">
        <v>63</v>
      </c>
      <c r="U391" s="305">
        <v>4</v>
      </c>
      <c r="V391" s="306">
        <f t="shared" si="17"/>
        <v>4.2</v>
      </c>
      <c r="W391" s="37">
        <f>IFERROR(IF(V391=0,"",ROUNDUP(V391/H391,0)*0.00502),"")</f>
        <v>1.004E-2</v>
      </c>
      <c r="X391" s="57"/>
      <c r="Y391" s="58"/>
      <c r="AC391" s="59"/>
      <c r="AZ391" s="267" t="s">
        <v>1</v>
      </c>
    </row>
    <row r="392" spans="1:52" ht="27" customHeight="1" x14ac:dyDescent="0.25">
      <c r="A392" s="55" t="s">
        <v>524</v>
      </c>
      <c r="B392" s="55" t="s">
        <v>525</v>
      </c>
      <c r="C392" s="32">
        <v>4301031103</v>
      </c>
      <c r="D392" s="385">
        <v>4680115881983</v>
      </c>
      <c r="E392" s="329"/>
      <c r="F392" s="304">
        <v>0.28000000000000003</v>
      </c>
      <c r="G392" s="33">
        <v>4</v>
      </c>
      <c r="H392" s="304">
        <v>1.1200000000000001</v>
      </c>
      <c r="I392" s="304">
        <v>1.252</v>
      </c>
      <c r="J392" s="33">
        <v>234</v>
      </c>
      <c r="K392" s="34" t="s">
        <v>62</v>
      </c>
      <c r="L392" s="33">
        <v>40</v>
      </c>
      <c r="M392" s="598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92" s="387"/>
      <c r="O392" s="387"/>
      <c r="P392" s="387"/>
      <c r="Q392" s="329"/>
      <c r="R392" s="35"/>
      <c r="S392" s="35"/>
      <c r="T392" s="36" t="s">
        <v>63</v>
      </c>
      <c r="U392" s="305">
        <v>0</v>
      </c>
      <c r="V392" s="306">
        <f t="shared" si="17"/>
        <v>0</v>
      </c>
      <c r="W392" s="37" t="str">
        <f>IFERROR(IF(V392=0,"",ROUNDUP(V392/H392,0)*0.00502),"")</f>
        <v/>
      </c>
      <c r="X392" s="57"/>
      <c r="Y392" s="58"/>
      <c r="AC392" s="59"/>
      <c r="AZ392" s="268" t="s">
        <v>1</v>
      </c>
    </row>
    <row r="393" spans="1:52" x14ac:dyDescent="0.2">
      <c r="A393" s="389"/>
      <c r="B393" s="313"/>
      <c r="C393" s="313"/>
      <c r="D393" s="313"/>
      <c r="E393" s="313"/>
      <c r="F393" s="313"/>
      <c r="G393" s="313"/>
      <c r="H393" s="313"/>
      <c r="I393" s="313"/>
      <c r="J393" s="313"/>
      <c r="K393" s="313"/>
      <c r="L393" s="390"/>
      <c r="M393" s="388" t="s">
        <v>64</v>
      </c>
      <c r="N393" s="341"/>
      <c r="O393" s="341"/>
      <c r="P393" s="341"/>
      <c r="Q393" s="341"/>
      <c r="R393" s="341"/>
      <c r="S393" s="342"/>
      <c r="T393" s="38" t="s">
        <v>65</v>
      </c>
      <c r="U393" s="307">
        <f>IFERROR(U386/H386,"0")+IFERROR(U387/H387,"0")+IFERROR(U388/H388,"0")+IFERROR(U389/H389,"0")+IFERROR(U390/H390,"0")+IFERROR(U391/H391,"0")+IFERROR(U392/H392,"0")</f>
        <v>170.47619047619045</v>
      </c>
      <c r="V393" s="307">
        <f>IFERROR(V386/H386,"0")+IFERROR(V387/H387,"0")+IFERROR(V388/H388,"0")+IFERROR(V389/H389,"0")+IFERROR(V390/H390,"0")+IFERROR(V391/H391,"0")+IFERROR(V392/H392,"0")</f>
        <v>171</v>
      </c>
      <c r="W393" s="307">
        <f>IFERROR(IF(W386="",0,W386),"0")+IFERROR(IF(W387="",0,W387),"0")+IFERROR(IF(W388="",0,W388),"0")+IFERROR(IF(W389="",0,W389),"0")+IFERROR(IF(W390="",0,W390),"0")+IFERROR(IF(W391="",0,W391),"0")+IFERROR(IF(W392="",0,W392),"0")</f>
        <v>1.2775900000000002</v>
      </c>
      <c r="X393" s="308"/>
      <c r="Y393" s="308"/>
    </row>
    <row r="394" spans="1:52" x14ac:dyDescent="0.2">
      <c r="A394" s="313"/>
      <c r="B394" s="313"/>
      <c r="C394" s="313"/>
      <c r="D394" s="313"/>
      <c r="E394" s="313"/>
      <c r="F394" s="313"/>
      <c r="G394" s="313"/>
      <c r="H394" s="313"/>
      <c r="I394" s="313"/>
      <c r="J394" s="313"/>
      <c r="K394" s="313"/>
      <c r="L394" s="390"/>
      <c r="M394" s="388" t="s">
        <v>64</v>
      </c>
      <c r="N394" s="341"/>
      <c r="O394" s="341"/>
      <c r="P394" s="341"/>
      <c r="Q394" s="341"/>
      <c r="R394" s="341"/>
      <c r="S394" s="342"/>
      <c r="T394" s="38" t="s">
        <v>63</v>
      </c>
      <c r="U394" s="307">
        <f>IFERROR(SUM(U386:U392),"0")</f>
        <v>708</v>
      </c>
      <c r="V394" s="307">
        <f>IFERROR(SUM(V386:V392),"0")</f>
        <v>709.80000000000007</v>
      </c>
      <c r="W394" s="38"/>
      <c r="X394" s="308"/>
      <c r="Y394" s="308"/>
    </row>
    <row r="395" spans="1:52" ht="14.25" customHeight="1" x14ac:dyDescent="0.25">
      <c r="A395" s="384" t="s">
        <v>79</v>
      </c>
      <c r="B395" s="313"/>
      <c r="C395" s="313"/>
      <c r="D395" s="313"/>
      <c r="E395" s="313"/>
      <c r="F395" s="313"/>
      <c r="G395" s="313"/>
      <c r="H395" s="313"/>
      <c r="I395" s="313"/>
      <c r="J395" s="313"/>
      <c r="K395" s="313"/>
      <c r="L395" s="313"/>
      <c r="M395" s="313"/>
      <c r="N395" s="313"/>
      <c r="O395" s="313"/>
      <c r="P395" s="313"/>
      <c r="Q395" s="313"/>
      <c r="R395" s="313"/>
      <c r="S395" s="313"/>
      <c r="T395" s="313"/>
      <c r="U395" s="313"/>
      <c r="V395" s="313"/>
      <c r="W395" s="313"/>
      <c r="X395" s="302"/>
      <c r="Y395" s="302"/>
    </row>
    <row r="396" spans="1:52" ht="27" customHeight="1" x14ac:dyDescent="0.25">
      <c r="A396" s="55" t="s">
        <v>526</v>
      </c>
      <c r="B396" s="55" t="s">
        <v>527</v>
      </c>
      <c r="C396" s="32">
        <v>4301032044</v>
      </c>
      <c r="D396" s="385">
        <v>4680115883000</v>
      </c>
      <c r="E396" s="329"/>
      <c r="F396" s="304">
        <v>0.03</v>
      </c>
      <c r="G396" s="33">
        <v>20</v>
      </c>
      <c r="H396" s="304">
        <v>0.6</v>
      </c>
      <c r="I396" s="304">
        <v>0.63</v>
      </c>
      <c r="J396" s="33">
        <v>350</v>
      </c>
      <c r="K396" s="34" t="s">
        <v>497</v>
      </c>
      <c r="L396" s="33">
        <v>60</v>
      </c>
      <c r="M396" s="599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396" s="387"/>
      <c r="O396" s="387"/>
      <c r="P396" s="387"/>
      <c r="Q396" s="329"/>
      <c r="R396" s="35"/>
      <c r="S396" s="35"/>
      <c r="T396" s="36" t="s">
        <v>63</v>
      </c>
      <c r="U396" s="305">
        <v>0</v>
      </c>
      <c r="V396" s="306">
        <f>IFERROR(IF(U396="",0,CEILING((U396/$H396),1)*$H396),"")</f>
        <v>0</v>
      </c>
      <c r="W396" s="37" t="str">
        <f>IFERROR(IF(V396=0,"",ROUNDUP(V396/H396,0)*0.00349),"")</f>
        <v/>
      </c>
      <c r="X396" s="57"/>
      <c r="Y396" s="58"/>
      <c r="AC396" s="59"/>
      <c r="AZ396" s="269" t="s">
        <v>1</v>
      </c>
    </row>
    <row r="397" spans="1:52" x14ac:dyDescent="0.2">
      <c r="A397" s="389"/>
      <c r="B397" s="313"/>
      <c r="C397" s="313"/>
      <c r="D397" s="313"/>
      <c r="E397" s="313"/>
      <c r="F397" s="313"/>
      <c r="G397" s="313"/>
      <c r="H397" s="313"/>
      <c r="I397" s="313"/>
      <c r="J397" s="313"/>
      <c r="K397" s="313"/>
      <c r="L397" s="390"/>
      <c r="M397" s="388" t="s">
        <v>64</v>
      </c>
      <c r="N397" s="341"/>
      <c r="O397" s="341"/>
      <c r="P397" s="341"/>
      <c r="Q397" s="341"/>
      <c r="R397" s="341"/>
      <c r="S397" s="342"/>
      <c r="T397" s="38" t="s">
        <v>65</v>
      </c>
      <c r="U397" s="307">
        <f>IFERROR(U396/H396,"0")</f>
        <v>0</v>
      </c>
      <c r="V397" s="307">
        <f>IFERROR(V396/H396,"0")</f>
        <v>0</v>
      </c>
      <c r="W397" s="307">
        <f>IFERROR(IF(W396="",0,W396),"0")</f>
        <v>0</v>
      </c>
      <c r="X397" s="308"/>
      <c r="Y397" s="308"/>
    </row>
    <row r="398" spans="1:52" x14ac:dyDescent="0.2">
      <c r="A398" s="313"/>
      <c r="B398" s="313"/>
      <c r="C398" s="313"/>
      <c r="D398" s="313"/>
      <c r="E398" s="313"/>
      <c r="F398" s="313"/>
      <c r="G398" s="313"/>
      <c r="H398" s="313"/>
      <c r="I398" s="313"/>
      <c r="J398" s="313"/>
      <c r="K398" s="313"/>
      <c r="L398" s="390"/>
      <c r="M398" s="388" t="s">
        <v>64</v>
      </c>
      <c r="N398" s="341"/>
      <c r="O398" s="341"/>
      <c r="P398" s="341"/>
      <c r="Q398" s="341"/>
      <c r="R398" s="341"/>
      <c r="S398" s="342"/>
      <c r="T398" s="38" t="s">
        <v>63</v>
      </c>
      <c r="U398" s="307">
        <f>IFERROR(SUM(U396:U396),"0")</f>
        <v>0</v>
      </c>
      <c r="V398" s="307">
        <f>IFERROR(SUM(V396:V396),"0")</f>
        <v>0</v>
      </c>
      <c r="W398" s="38"/>
      <c r="X398" s="308"/>
      <c r="Y398" s="308"/>
    </row>
    <row r="399" spans="1:52" ht="14.25" customHeight="1" x14ac:dyDescent="0.25">
      <c r="A399" s="384" t="s">
        <v>502</v>
      </c>
      <c r="B399" s="313"/>
      <c r="C399" s="313"/>
      <c r="D399" s="313"/>
      <c r="E399" s="313"/>
      <c r="F399" s="313"/>
      <c r="G399" s="313"/>
      <c r="H399" s="313"/>
      <c r="I399" s="313"/>
      <c r="J399" s="313"/>
      <c r="K399" s="313"/>
      <c r="L399" s="313"/>
      <c r="M399" s="313"/>
      <c r="N399" s="313"/>
      <c r="O399" s="313"/>
      <c r="P399" s="313"/>
      <c r="Q399" s="313"/>
      <c r="R399" s="313"/>
      <c r="S399" s="313"/>
      <c r="T399" s="313"/>
      <c r="U399" s="313"/>
      <c r="V399" s="313"/>
      <c r="W399" s="313"/>
      <c r="X399" s="302"/>
      <c r="Y399" s="302"/>
    </row>
    <row r="400" spans="1:52" ht="27" customHeight="1" x14ac:dyDescent="0.25">
      <c r="A400" s="55" t="s">
        <v>528</v>
      </c>
      <c r="B400" s="55" t="s">
        <v>529</v>
      </c>
      <c r="C400" s="32">
        <v>4301170008</v>
      </c>
      <c r="D400" s="385">
        <v>4680115882980</v>
      </c>
      <c r="E400" s="329"/>
      <c r="F400" s="304">
        <v>0.13</v>
      </c>
      <c r="G400" s="33">
        <v>10</v>
      </c>
      <c r="H400" s="304">
        <v>1.3</v>
      </c>
      <c r="I400" s="304">
        <v>1.46</v>
      </c>
      <c r="J400" s="33">
        <v>200</v>
      </c>
      <c r="K400" s="34" t="s">
        <v>497</v>
      </c>
      <c r="L400" s="33">
        <v>150</v>
      </c>
      <c r="M400" s="600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400" s="387"/>
      <c r="O400" s="387"/>
      <c r="P400" s="387"/>
      <c r="Q400" s="329"/>
      <c r="R400" s="35"/>
      <c r="S400" s="35"/>
      <c r="T400" s="36" t="s">
        <v>63</v>
      </c>
      <c r="U400" s="305">
        <v>0</v>
      </c>
      <c r="V400" s="306">
        <f>IFERROR(IF(U400="",0,CEILING((U400/$H400),1)*$H400),"")</f>
        <v>0</v>
      </c>
      <c r="W400" s="37" t="str">
        <f>IFERROR(IF(V400=0,"",ROUNDUP(V400/H400,0)*0.00673),"")</f>
        <v/>
      </c>
      <c r="X400" s="57"/>
      <c r="Y400" s="58"/>
      <c r="AC400" s="59"/>
      <c r="AZ400" s="270" t="s">
        <v>1</v>
      </c>
    </row>
    <row r="401" spans="1:52" x14ac:dyDescent="0.2">
      <c r="A401" s="389"/>
      <c r="B401" s="313"/>
      <c r="C401" s="313"/>
      <c r="D401" s="313"/>
      <c r="E401" s="313"/>
      <c r="F401" s="313"/>
      <c r="G401" s="313"/>
      <c r="H401" s="313"/>
      <c r="I401" s="313"/>
      <c r="J401" s="313"/>
      <c r="K401" s="313"/>
      <c r="L401" s="390"/>
      <c r="M401" s="388" t="s">
        <v>64</v>
      </c>
      <c r="N401" s="341"/>
      <c r="O401" s="341"/>
      <c r="P401" s="341"/>
      <c r="Q401" s="341"/>
      <c r="R401" s="341"/>
      <c r="S401" s="342"/>
      <c r="T401" s="38" t="s">
        <v>65</v>
      </c>
      <c r="U401" s="307">
        <f>IFERROR(U400/H400,"0")</f>
        <v>0</v>
      </c>
      <c r="V401" s="307">
        <f>IFERROR(V400/H400,"0")</f>
        <v>0</v>
      </c>
      <c r="W401" s="307">
        <f>IFERROR(IF(W400="",0,W400),"0")</f>
        <v>0</v>
      </c>
      <c r="X401" s="308"/>
      <c r="Y401" s="308"/>
    </row>
    <row r="402" spans="1:52" x14ac:dyDescent="0.2">
      <c r="A402" s="313"/>
      <c r="B402" s="313"/>
      <c r="C402" s="313"/>
      <c r="D402" s="313"/>
      <c r="E402" s="313"/>
      <c r="F402" s="313"/>
      <c r="G402" s="313"/>
      <c r="H402" s="313"/>
      <c r="I402" s="313"/>
      <c r="J402" s="313"/>
      <c r="K402" s="313"/>
      <c r="L402" s="390"/>
      <c r="M402" s="388" t="s">
        <v>64</v>
      </c>
      <c r="N402" s="341"/>
      <c r="O402" s="341"/>
      <c r="P402" s="341"/>
      <c r="Q402" s="341"/>
      <c r="R402" s="341"/>
      <c r="S402" s="342"/>
      <c r="T402" s="38" t="s">
        <v>63</v>
      </c>
      <c r="U402" s="307">
        <f>IFERROR(SUM(U400:U400),"0")</f>
        <v>0</v>
      </c>
      <c r="V402" s="307">
        <f>IFERROR(SUM(V400:V400),"0")</f>
        <v>0</v>
      </c>
      <c r="W402" s="38"/>
      <c r="X402" s="308"/>
      <c r="Y402" s="308"/>
    </row>
    <row r="403" spans="1:52" ht="27.75" customHeight="1" x14ac:dyDescent="0.2">
      <c r="A403" s="381" t="s">
        <v>530</v>
      </c>
      <c r="B403" s="382"/>
      <c r="C403" s="382"/>
      <c r="D403" s="382"/>
      <c r="E403" s="382"/>
      <c r="F403" s="382"/>
      <c r="G403" s="382"/>
      <c r="H403" s="382"/>
      <c r="I403" s="382"/>
      <c r="J403" s="382"/>
      <c r="K403" s="382"/>
      <c r="L403" s="382"/>
      <c r="M403" s="382"/>
      <c r="N403" s="382"/>
      <c r="O403" s="382"/>
      <c r="P403" s="382"/>
      <c r="Q403" s="382"/>
      <c r="R403" s="382"/>
      <c r="S403" s="382"/>
      <c r="T403" s="382"/>
      <c r="U403" s="382"/>
      <c r="V403" s="382"/>
      <c r="W403" s="382"/>
      <c r="X403" s="49"/>
      <c r="Y403" s="49"/>
    </row>
    <row r="404" spans="1:52" ht="16.5" customHeight="1" x14ac:dyDescent="0.25">
      <c r="A404" s="383" t="s">
        <v>530</v>
      </c>
      <c r="B404" s="313"/>
      <c r="C404" s="313"/>
      <c r="D404" s="313"/>
      <c r="E404" s="313"/>
      <c r="F404" s="313"/>
      <c r="G404" s="313"/>
      <c r="H404" s="313"/>
      <c r="I404" s="313"/>
      <c r="J404" s="313"/>
      <c r="K404" s="313"/>
      <c r="L404" s="313"/>
      <c r="M404" s="313"/>
      <c r="N404" s="313"/>
      <c r="O404" s="313"/>
      <c r="P404" s="313"/>
      <c r="Q404" s="313"/>
      <c r="R404" s="313"/>
      <c r="S404" s="313"/>
      <c r="T404" s="313"/>
      <c r="U404" s="313"/>
      <c r="V404" s="313"/>
      <c r="W404" s="313"/>
      <c r="X404" s="301"/>
      <c r="Y404" s="301"/>
    </row>
    <row r="405" spans="1:52" ht="14.25" customHeight="1" x14ac:dyDescent="0.25">
      <c r="A405" s="384" t="s">
        <v>100</v>
      </c>
      <c r="B405" s="313"/>
      <c r="C405" s="313"/>
      <c r="D405" s="313"/>
      <c r="E405" s="313"/>
      <c r="F405" s="313"/>
      <c r="G405" s="313"/>
      <c r="H405" s="313"/>
      <c r="I405" s="313"/>
      <c r="J405" s="313"/>
      <c r="K405" s="313"/>
      <c r="L405" s="313"/>
      <c r="M405" s="313"/>
      <c r="N405" s="313"/>
      <c r="O405" s="313"/>
      <c r="P405" s="313"/>
      <c r="Q405" s="313"/>
      <c r="R405" s="313"/>
      <c r="S405" s="313"/>
      <c r="T405" s="313"/>
      <c r="U405" s="313"/>
      <c r="V405" s="313"/>
      <c r="W405" s="313"/>
      <c r="X405" s="302"/>
      <c r="Y405" s="302"/>
    </row>
    <row r="406" spans="1:52" ht="27" customHeight="1" x14ac:dyDescent="0.25">
      <c r="A406" s="55" t="s">
        <v>531</v>
      </c>
      <c r="B406" s="55" t="s">
        <v>532</v>
      </c>
      <c r="C406" s="32">
        <v>4301011371</v>
      </c>
      <c r="D406" s="385">
        <v>4607091389067</v>
      </c>
      <c r="E406" s="329"/>
      <c r="F406" s="304">
        <v>0.88</v>
      </c>
      <c r="G406" s="33">
        <v>6</v>
      </c>
      <c r="H406" s="304">
        <v>5.28</v>
      </c>
      <c r="I406" s="304">
        <v>5.64</v>
      </c>
      <c r="J406" s="33">
        <v>104</v>
      </c>
      <c r="K406" s="34" t="s">
        <v>123</v>
      </c>
      <c r="L406" s="33">
        <v>55</v>
      </c>
      <c r="M406" s="601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06" s="387"/>
      <c r="O406" s="387"/>
      <c r="P406" s="387"/>
      <c r="Q406" s="329"/>
      <c r="R406" s="35"/>
      <c r="S406" s="35"/>
      <c r="T406" s="36" t="s">
        <v>63</v>
      </c>
      <c r="U406" s="305">
        <v>5</v>
      </c>
      <c r="V406" s="306">
        <f t="shared" ref="V406:V414" si="18">IFERROR(IF(U406="",0,CEILING((U406/$H406),1)*$H406),"")</f>
        <v>5.28</v>
      </c>
      <c r="W406" s="37">
        <f>IFERROR(IF(V406=0,"",ROUNDUP(V406/H406,0)*0.01196),"")</f>
        <v>1.196E-2</v>
      </c>
      <c r="X406" s="57"/>
      <c r="Y406" s="58"/>
      <c r="AC406" s="59"/>
      <c r="AZ406" s="271" t="s">
        <v>1</v>
      </c>
    </row>
    <row r="407" spans="1:52" ht="27" customHeight="1" x14ac:dyDescent="0.25">
      <c r="A407" s="55" t="s">
        <v>533</v>
      </c>
      <c r="B407" s="55" t="s">
        <v>534</v>
      </c>
      <c r="C407" s="32">
        <v>4301011363</v>
      </c>
      <c r="D407" s="385">
        <v>4607091383522</v>
      </c>
      <c r="E407" s="329"/>
      <c r="F407" s="304">
        <v>0.88</v>
      </c>
      <c r="G407" s="33">
        <v>6</v>
      </c>
      <c r="H407" s="304">
        <v>5.28</v>
      </c>
      <c r="I407" s="304">
        <v>5.64</v>
      </c>
      <c r="J407" s="33">
        <v>104</v>
      </c>
      <c r="K407" s="34" t="s">
        <v>96</v>
      </c>
      <c r="L407" s="33">
        <v>55</v>
      </c>
      <c r="M407" s="602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07" s="387"/>
      <c r="O407" s="387"/>
      <c r="P407" s="387"/>
      <c r="Q407" s="329"/>
      <c r="R407" s="35"/>
      <c r="S407" s="35"/>
      <c r="T407" s="36" t="s">
        <v>63</v>
      </c>
      <c r="U407" s="305">
        <v>210</v>
      </c>
      <c r="V407" s="306">
        <f t="shared" si="18"/>
        <v>211.20000000000002</v>
      </c>
      <c r="W407" s="37">
        <f>IFERROR(IF(V407=0,"",ROUNDUP(V407/H407,0)*0.01196),"")</f>
        <v>0.47839999999999999</v>
      </c>
      <c r="X407" s="57"/>
      <c r="Y407" s="58"/>
      <c r="AC407" s="59"/>
      <c r="AZ407" s="272" t="s">
        <v>1</v>
      </c>
    </row>
    <row r="408" spans="1:52" ht="27" customHeight="1" x14ac:dyDescent="0.25">
      <c r="A408" s="55" t="s">
        <v>535</v>
      </c>
      <c r="B408" s="55" t="s">
        <v>536</v>
      </c>
      <c r="C408" s="32">
        <v>4301011431</v>
      </c>
      <c r="D408" s="385">
        <v>4607091384437</v>
      </c>
      <c r="E408" s="329"/>
      <c r="F408" s="304">
        <v>0.88</v>
      </c>
      <c r="G408" s="33">
        <v>6</v>
      </c>
      <c r="H408" s="304">
        <v>5.28</v>
      </c>
      <c r="I408" s="304">
        <v>5.64</v>
      </c>
      <c r="J408" s="33">
        <v>104</v>
      </c>
      <c r="K408" s="34" t="s">
        <v>96</v>
      </c>
      <c r="L408" s="33">
        <v>50</v>
      </c>
      <c r="M408" s="603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08" s="387"/>
      <c r="O408" s="387"/>
      <c r="P408" s="387"/>
      <c r="Q408" s="329"/>
      <c r="R408" s="35"/>
      <c r="S408" s="35"/>
      <c r="T408" s="36" t="s">
        <v>63</v>
      </c>
      <c r="U408" s="305">
        <v>0</v>
      </c>
      <c r="V408" s="306">
        <f t="shared" si="18"/>
        <v>0</v>
      </c>
      <c r="W408" s="37" t="str">
        <f>IFERROR(IF(V408=0,"",ROUNDUP(V408/H408,0)*0.01196),"")</f>
        <v/>
      </c>
      <c r="X408" s="57"/>
      <c r="Y408" s="58"/>
      <c r="AC408" s="59"/>
      <c r="AZ408" s="273" t="s">
        <v>1</v>
      </c>
    </row>
    <row r="409" spans="1:52" ht="27" customHeight="1" x14ac:dyDescent="0.25">
      <c r="A409" s="55" t="s">
        <v>537</v>
      </c>
      <c r="B409" s="55" t="s">
        <v>538</v>
      </c>
      <c r="C409" s="32">
        <v>4301011365</v>
      </c>
      <c r="D409" s="385">
        <v>4607091389104</v>
      </c>
      <c r="E409" s="329"/>
      <c r="F409" s="304">
        <v>0.88</v>
      </c>
      <c r="G409" s="33">
        <v>6</v>
      </c>
      <c r="H409" s="304">
        <v>5.28</v>
      </c>
      <c r="I409" s="304">
        <v>5.64</v>
      </c>
      <c r="J409" s="33">
        <v>104</v>
      </c>
      <c r="K409" s="34" t="s">
        <v>96</v>
      </c>
      <c r="L409" s="33">
        <v>55</v>
      </c>
      <c r="M409" s="604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09" s="387"/>
      <c r="O409" s="387"/>
      <c r="P409" s="387"/>
      <c r="Q409" s="329"/>
      <c r="R409" s="35"/>
      <c r="S409" s="35"/>
      <c r="T409" s="36" t="s">
        <v>63</v>
      </c>
      <c r="U409" s="305">
        <v>95</v>
      </c>
      <c r="V409" s="306">
        <f t="shared" si="18"/>
        <v>95.04</v>
      </c>
      <c r="W409" s="37">
        <f>IFERROR(IF(V409=0,"",ROUNDUP(V409/H409,0)*0.01196),"")</f>
        <v>0.21528</v>
      </c>
      <c r="X409" s="57"/>
      <c r="Y409" s="58"/>
      <c r="AC409" s="59"/>
      <c r="AZ409" s="274" t="s">
        <v>1</v>
      </c>
    </row>
    <row r="410" spans="1:52" ht="27" customHeight="1" x14ac:dyDescent="0.25">
      <c r="A410" s="55" t="s">
        <v>539</v>
      </c>
      <c r="B410" s="55" t="s">
        <v>540</v>
      </c>
      <c r="C410" s="32">
        <v>4301011367</v>
      </c>
      <c r="D410" s="385">
        <v>4680115880603</v>
      </c>
      <c r="E410" s="329"/>
      <c r="F410" s="304">
        <v>0.6</v>
      </c>
      <c r="G410" s="33">
        <v>6</v>
      </c>
      <c r="H410" s="304">
        <v>3.6</v>
      </c>
      <c r="I410" s="304">
        <v>3.84</v>
      </c>
      <c r="J410" s="33">
        <v>120</v>
      </c>
      <c r="K410" s="34" t="s">
        <v>96</v>
      </c>
      <c r="L410" s="33">
        <v>55</v>
      </c>
      <c r="M410" s="605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10" s="387"/>
      <c r="O410" s="387"/>
      <c r="P410" s="387"/>
      <c r="Q410" s="329"/>
      <c r="R410" s="35"/>
      <c r="S410" s="35"/>
      <c r="T410" s="36" t="s">
        <v>63</v>
      </c>
      <c r="U410" s="305">
        <v>0</v>
      </c>
      <c r="V410" s="306">
        <f t="shared" si="18"/>
        <v>0</v>
      </c>
      <c r="W410" s="37" t="str">
        <f>IFERROR(IF(V410=0,"",ROUNDUP(V410/H410,0)*0.00937),"")</f>
        <v/>
      </c>
      <c r="X410" s="57"/>
      <c r="Y410" s="58"/>
      <c r="AC410" s="59"/>
      <c r="AZ410" s="275" t="s">
        <v>1</v>
      </c>
    </row>
    <row r="411" spans="1:52" ht="27" customHeight="1" x14ac:dyDescent="0.25">
      <c r="A411" s="55" t="s">
        <v>541</v>
      </c>
      <c r="B411" s="55" t="s">
        <v>542</v>
      </c>
      <c r="C411" s="32">
        <v>4301011168</v>
      </c>
      <c r="D411" s="385">
        <v>4607091389999</v>
      </c>
      <c r="E411" s="329"/>
      <c r="F411" s="304">
        <v>0.6</v>
      </c>
      <c r="G411" s="33">
        <v>6</v>
      </c>
      <c r="H411" s="304">
        <v>3.6</v>
      </c>
      <c r="I411" s="304">
        <v>3.84</v>
      </c>
      <c r="J411" s="33">
        <v>120</v>
      </c>
      <c r="K411" s="34" t="s">
        <v>96</v>
      </c>
      <c r="L411" s="33">
        <v>55</v>
      </c>
      <c r="M411" s="606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11" s="387"/>
      <c r="O411" s="387"/>
      <c r="P411" s="387"/>
      <c r="Q411" s="329"/>
      <c r="R411" s="35"/>
      <c r="S411" s="35"/>
      <c r="T411" s="36" t="s">
        <v>63</v>
      </c>
      <c r="U411" s="305">
        <v>0</v>
      </c>
      <c r="V411" s="306">
        <f t="shared" si="18"/>
        <v>0</v>
      </c>
      <c r="W411" s="37" t="str">
        <f>IFERROR(IF(V411=0,"",ROUNDUP(V411/H411,0)*0.00937),"")</f>
        <v/>
      </c>
      <c r="X411" s="57"/>
      <c r="Y411" s="58"/>
      <c r="AC411" s="59"/>
      <c r="AZ411" s="276" t="s">
        <v>1</v>
      </c>
    </row>
    <row r="412" spans="1:52" ht="27" customHeight="1" x14ac:dyDescent="0.25">
      <c r="A412" s="55" t="s">
        <v>543</v>
      </c>
      <c r="B412" s="55" t="s">
        <v>544</v>
      </c>
      <c r="C412" s="32">
        <v>4301011372</v>
      </c>
      <c r="D412" s="385">
        <v>4680115882782</v>
      </c>
      <c r="E412" s="329"/>
      <c r="F412" s="304">
        <v>0.6</v>
      </c>
      <c r="G412" s="33">
        <v>6</v>
      </c>
      <c r="H412" s="304">
        <v>3.6</v>
      </c>
      <c r="I412" s="304">
        <v>3.84</v>
      </c>
      <c r="J412" s="33">
        <v>120</v>
      </c>
      <c r="K412" s="34" t="s">
        <v>96</v>
      </c>
      <c r="L412" s="33">
        <v>50</v>
      </c>
      <c r="M412" s="607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12" s="387"/>
      <c r="O412" s="387"/>
      <c r="P412" s="387"/>
      <c r="Q412" s="329"/>
      <c r="R412" s="35"/>
      <c r="S412" s="35"/>
      <c r="T412" s="36" t="s">
        <v>63</v>
      </c>
      <c r="U412" s="305">
        <v>0</v>
      </c>
      <c r="V412" s="306">
        <f t="shared" si="18"/>
        <v>0</v>
      </c>
      <c r="W412" s="37" t="str">
        <f>IFERROR(IF(V412=0,"",ROUNDUP(V412/H412,0)*0.00937),"")</f>
        <v/>
      </c>
      <c r="X412" s="57"/>
      <c r="Y412" s="58"/>
      <c r="AC412" s="59"/>
      <c r="AZ412" s="277" t="s">
        <v>1</v>
      </c>
    </row>
    <row r="413" spans="1:52" ht="27" customHeight="1" x14ac:dyDescent="0.25">
      <c r="A413" s="55" t="s">
        <v>545</v>
      </c>
      <c r="B413" s="55" t="s">
        <v>546</v>
      </c>
      <c r="C413" s="32">
        <v>4301011190</v>
      </c>
      <c r="D413" s="385">
        <v>4607091389098</v>
      </c>
      <c r="E413" s="329"/>
      <c r="F413" s="304">
        <v>0.4</v>
      </c>
      <c r="G413" s="33">
        <v>6</v>
      </c>
      <c r="H413" s="304">
        <v>2.4</v>
      </c>
      <c r="I413" s="304">
        <v>2.6</v>
      </c>
      <c r="J413" s="33">
        <v>156</v>
      </c>
      <c r="K413" s="34" t="s">
        <v>123</v>
      </c>
      <c r="L413" s="33">
        <v>50</v>
      </c>
      <c r="M413" s="608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13" s="387"/>
      <c r="O413" s="387"/>
      <c r="P413" s="387"/>
      <c r="Q413" s="329"/>
      <c r="R413" s="35"/>
      <c r="S413" s="35"/>
      <c r="T413" s="36" t="s">
        <v>63</v>
      </c>
      <c r="U413" s="305">
        <v>6</v>
      </c>
      <c r="V413" s="306">
        <f t="shared" si="18"/>
        <v>7.1999999999999993</v>
      </c>
      <c r="W413" s="37">
        <f>IFERROR(IF(V413=0,"",ROUNDUP(V413/H413,0)*0.00753),"")</f>
        <v>2.2589999999999999E-2</v>
      </c>
      <c r="X413" s="57"/>
      <c r="Y413" s="58"/>
      <c r="AC413" s="59"/>
      <c r="AZ413" s="278" t="s">
        <v>1</v>
      </c>
    </row>
    <row r="414" spans="1:52" ht="27" customHeight="1" x14ac:dyDescent="0.25">
      <c r="A414" s="55" t="s">
        <v>547</v>
      </c>
      <c r="B414" s="55" t="s">
        <v>548</v>
      </c>
      <c r="C414" s="32">
        <v>4301011366</v>
      </c>
      <c r="D414" s="385">
        <v>4607091389982</v>
      </c>
      <c r="E414" s="329"/>
      <c r="F414" s="304">
        <v>0.6</v>
      </c>
      <c r="G414" s="33">
        <v>6</v>
      </c>
      <c r="H414" s="304">
        <v>3.6</v>
      </c>
      <c r="I414" s="304">
        <v>3.84</v>
      </c>
      <c r="J414" s="33">
        <v>120</v>
      </c>
      <c r="K414" s="34" t="s">
        <v>96</v>
      </c>
      <c r="L414" s="33">
        <v>55</v>
      </c>
      <c r="M414" s="609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4" s="387"/>
      <c r="O414" s="387"/>
      <c r="P414" s="387"/>
      <c r="Q414" s="329"/>
      <c r="R414" s="35"/>
      <c r="S414" s="35"/>
      <c r="T414" s="36" t="s">
        <v>63</v>
      </c>
      <c r="U414" s="305">
        <v>0</v>
      </c>
      <c r="V414" s="306">
        <f t="shared" si="18"/>
        <v>0</v>
      </c>
      <c r="W414" s="37" t="str">
        <f>IFERROR(IF(V414=0,"",ROUNDUP(V414/H414,0)*0.00937),"")</f>
        <v/>
      </c>
      <c r="X414" s="57"/>
      <c r="Y414" s="58"/>
      <c r="AC414" s="59"/>
      <c r="AZ414" s="279" t="s">
        <v>1</v>
      </c>
    </row>
    <row r="415" spans="1:52" x14ac:dyDescent="0.2">
      <c r="A415" s="389"/>
      <c r="B415" s="313"/>
      <c r="C415" s="313"/>
      <c r="D415" s="313"/>
      <c r="E415" s="313"/>
      <c r="F415" s="313"/>
      <c r="G415" s="313"/>
      <c r="H415" s="313"/>
      <c r="I415" s="313"/>
      <c r="J415" s="313"/>
      <c r="K415" s="313"/>
      <c r="L415" s="390"/>
      <c r="M415" s="388" t="s">
        <v>64</v>
      </c>
      <c r="N415" s="341"/>
      <c r="O415" s="341"/>
      <c r="P415" s="341"/>
      <c r="Q415" s="341"/>
      <c r="R415" s="341"/>
      <c r="S415" s="342"/>
      <c r="T415" s="38" t="s">
        <v>65</v>
      </c>
      <c r="U415" s="307">
        <f>IFERROR(U406/H406,"0")+IFERROR(U407/H407,"0")+IFERROR(U408/H408,"0")+IFERROR(U409/H409,"0")+IFERROR(U410/H410,"0")+IFERROR(U411/H411,"0")+IFERROR(U412/H412,"0")+IFERROR(U413/H413,"0")+IFERROR(U414/H414,"0")</f>
        <v>61.212121212121211</v>
      </c>
      <c r="V415" s="307">
        <f>IFERROR(V406/H406,"0")+IFERROR(V407/H407,"0")+IFERROR(V408/H408,"0")+IFERROR(V409/H409,"0")+IFERROR(V410/H410,"0")+IFERROR(V411/H411,"0")+IFERROR(V412/H412,"0")+IFERROR(V413/H413,"0")+IFERROR(V414/H414,"0")</f>
        <v>62</v>
      </c>
      <c r="W415" s="307">
        <f>IFERROR(IF(W406="",0,W406),"0")+IFERROR(IF(W407="",0,W407),"0")+IFERROR(IF(W408="",0,W408),"0")+IFERROR(IF(W409="",0,W409),"0")+IFERROR(IF(W410="",0,W410),"0")+IFERROR(IF(W411="",0,W411),"0")+IFERROR(IF(W412="",0,W412),"0")+IFERROR(IF(W413="",0,W413),"0")+IFERROR(IF(W414="",0,W414),"0")</f>
        <v>0.72823000000000004</v>
      </c>
      <c r="X415" s="308"/>
      <c r="Y415" s="308"/>
    </row>
    <row r="416" spans="1:52" x14ac:dyDescent="0.2">
      <c r="A416" s="313"/>
      <c r="B416" s="313"/>
      <c r="C416" s="313"/>
      <c r="D416" s="313"/>
      <c r="E416" s="313"/>
      <c r="F416" s="313"/>
      <c r="G416" s="313"/>
      <c r="H416" s="313"/>
      <c r="I416" s="313"/>
      <c r="J416" s="313"/>
      <c r="K416" s="313"/>
      <c r="L416" s="390"/>
      <c r="M416" s="388" t="s">
        <v>64</v>
      </c>
      <c r="N416" s="341"/>
      <c r="O416" s="341"/>
      <c r="P416" s="341"/>
      <c r="Q416" s="341"/>
      <c r="R416" s="341"/>
      <c r="S416" s="342"/>
      <c r="T416" s="38" t="s">
        <v>63</v>
      </c>
      <c r="U416" s="307">
        <f>IFERROR(SUM(U406:U414),"0")</f>
        <v>316</v>
      </c>
      <c r="V416" s="307">
        <f>IFERROR(SUM(V406:V414),"0")</f>
        <v>318.72000000000003</v>
      </c>
      <c r="W416" s="38"/>
      <c r="X416" s="308"/>
      <c r="Y416" s="308"/>
    </row>
    <row r="417" spans="1:52" ht="14.25" customHeight="1" x14ac:dyDescent="0.25">
      <c r="A417" s="384" t="s">
        <v>93</v>
      </c>
      <c r="B417" s="313"/>
      <c r="C417" s="313"/>
      <c r="D417" s="313"/>
      <c r="E417" s="313"/>
      <c r="F417" s="313"/>
      <c r="G417" s="313"/>
      <c r="H417" s="313"/>
      <c r="I417" s="313"/>
      <c r="J417" s="313"/>
      <c r="K417" s="313"/>
      <c r="L417" s="313"/>
      <c r="M417" s="313"/>
      <c r="N417" s="313"/>
      <c r="O417" s="313"/>
      <c r="P417" s="313"/>
      <c r="Q417" s="313"/>
      <c r="R417" s="313"/>
      <c r="S417" s="313"/>
      <c r="T417" s="313"/>
      <c r="U417" s="313"/>
      <c r="V417" s="313"/>
      <c r="W417" s="313"/>
      <c r="X417" s="302"/>
      <c r="Y417" s="302"/>
    </row>
    <row r="418" spans="1:52" ht="16.5" customHeight="1" x14ac:dyDescent="0.25">
      <c r="A418" s="55" t="s">
        <v>549</v>
      </c>
      <c r="B418" s="55" t="s">
        <v>550</v>
      </c>
      <c r="C418" s="32">
        <v>4301020222</v>
      </c>
      <c r="D418" s="385">
        <v>4607091388930</v>
      </c>
      <c r="E418" s="329"/>
      <c r="F418" s="304">
        <v>0.88</v>
      </c>
      <c r="G418" s="33">
        <v>6</v>
      </c>
      <c r="H418" s="304">
        <v>5.28</v>
      </c>
      <c r="I418" s="304">
        <v>5.64</v>
      </c>
      <c r="J418" s="33">
        <v>104</v>
      </c>
      <c r="K418" s="34" t="s">
        <v>96</v>
      </c>
      <c r="L418" s="33">
        <v>55</v>
      </c>
      <c r="M418" s="61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18" s="387"/>
      <c r="O418" s="387"/>
      <c r="P418" s="387"/>
      <c r="Q418" s="329"/>
      <c r="R418" s="35"/>
      <c r="S418" s="35"/>
      <c r="T418" s="36" t="s">
        <v>63</v>
      </c>
      <c r="U418" s="305">
        <v>0</v>
      </c>
      <c r="V418" s="306">
        <f>IFERROR(IF(U418="",0,CEILING((U418/$H418),1)*$H418),"")</f>
        <v>0</v>
      </c>
      <c r="W418" s="37" t="str">
        <f>IFERROR(IF(V418=0,"",ROUNDUP(V418/H418,0)*0.01196),"")</f>
        <v/>
      </c>
      <c r="X418" s="57"/>
      <c r="Y418" s="58"/>
      <c r="AC418" s="59"/>
      <c r="AZ418" s="280" t="s">
        <v>1</v>
      </c>
    </row>
    <row r="419" spans="1:52" ht="16.5" customHeight="1" x14ac:dyDescent="0.25">
      <c r="A419" s="55" t="s">
        <v>551</v>
      </c>
      <c r="B419" s="55" t="s">
        <v>552</v>
      </c>
      <c r="C419" s="32">
        <v>4301020206</v>
      </c>
      <c r="D419" s="385">
        <v>4680115880054</v>
      </c>
      <c r="E419" s="329"/>
      <c r="F419" s="304">
        <v>0.6</v>
      </c>
      <c r="G419" s="33">
        <v>6</v>
      </c>
      <c r="H419" s="304">
        <v>3.6</v>
      </c>
      <c r="I419" s="304">
        <v>3.84</v>
      </c>
      <c r="J419" s="33">
        <v>120</v>
      </c>
      <c r="K419" s="34" t="s">
        <v>96</v>
      </c>
      <c r="L419" s="33">
        <v>55</v>
      </c>
      <c r="M419" s="61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19" s="387"/>
      <c r="O419" s="387"/>
      <c r="P419" s="387"/>
      <c r="Q419" s="329"/>
      <c r="R419" s="35"/>
      <c r="S419" s="35"/>
      <c r="T419" s="36" t="s">
        <v>63</v>
      </c>
      <c r="U419" s="305">
        <v>0</v>
      </c>
      <c r="V419" s="306">
        <f>IFERROR(IF(U419="",0,CEILING((U419/$H419),1)*$H419),"")</f>
        <v>0</v>
      </c>
      <c r="W419" s="37" t="str">
        <f>IFERROR(IF(V419=0,"",ROUNDUP(V419/H419,0)*0.00937),"")</f>
        <v/>
      </c>
      <c r="X419" s="57"/>
      <c r="Y419" s="58"/>
      <c r="AC419" s="59"/>
      <c r="AZ419" s="281" t="s">
        <v>1</v>
      </c>
    </row>
    <row r="420" spans="1:52" x14ac:dyDescent="0.2">
      <c r="A420" s="389"/>
      <c r="B420" s="313"/>
      <c r="C420" s="313"/>
      <c r="D420" s="313"/>
      <c r="E420" s="313"/>
      <c r="F420" s="313"/>
      <c r="G420" s="313"/>
      <c r="H420" s="313"/>
      <c r="I420" s="313"/>
      <c r="J420" s="313"/>
      <c r="K420" s="313"/>
      <c r="L420" s="390"/>
      <c r="M420" s="388" t="s">
        <v>64</v>
      </c>
      <c r="N420" s="341"/>
      <c r="O420" s="341"/>
      <c r="P420" s="341"/>
      <c r="Q420" s="341"/>
      <c r="R420" s="341"/>
      <c r="S420" s="342"/>
      <c r="T420" s="38" t="s">
        <v>65</v>
      </c>
      <c r="U420" s="307">
        <f>IFERROR(U418/H418,"0")+IFERROR(U419/H419,"0")</f>
        <v>0</v>
      </c>
      <c r="V420" s="307">
        <f>IFERROR(V418/H418,"0")+IFERROR(V419/H419,"0")</f>
        <v>0</v>
      </c>
      <c r="W420" s="307">
        <f>IFERROR(IF(W418="",0,W418),"0")+IFERROR(IF(W419="",0,W419),"0")</f>
        <v>0</v>
      </c>
      <c r="X420" s="308"/>
      <c r="Y420" s="308"/>
    </row>
    <row r="421" spans="1:52" x14ac:dyDescent="0.2">
      <c r="A421" s="313"/>
      <c r="B421" s="313"/>
      <c r="C421" s="313"/>
      <c r="D421" s="313"/>
      <c r="E421" s="313"/>
      <c r="F421" s="313"/>
      <c r="G421" s="313"/>
      <c r="H421" s="313"/>
      <c r="I421" s="313"/>
      <c r="J421" s="313"/>
      <c r="K421" s="313"/>
      <c r="L421" s="390"/>
      <c r="M421" s="388" t="s">
        <v>64</v>
      </c>
      <c r="N421" s="341"/>
      <c r="O421" s="341"/>
      <c r="P421" s="341"/>
      <c r="Q421" s="341"/>
      <c r="R421" s="341"/>
      <c r="S421" s="342"/>
      <c r="T421" s="38" t="s">
        <v>63</v>
      </c>
      <c r="U421" s="307">
        <f>IFERROR(SUM(U418:U419),"0")</f>
        <v>0</v>
      </c>
      <c r="V421" s="307">
        <f>IFERROR(SUM(V418:V419),"0")</f>
        <v>0</v>
      </c>
      <c r="W421" s="38"/>
      <c r="X421" s="308"/>
      <c r="Y421" s="308"/>
    </row>
    <row r="422" spans="1:52" ht="14.25" customHeight="1" x14ac:dyDescent="0.25">
      <c r="A422" s="384" t="s">
        <v>59</v>
      </c>
      <c r="B422" s="313"/>
      <c r="C422" s="313"/>
      <c r="D422" s="313"/>
      <c r="E422" s="313"/>
      <c r="F422" s="313"/>
      <c r="G422" s="313"/>
      <c r="H422" s="313"/>
      <c r="I422" s="313"/>
      <c r="J422" s="313"/>
      <c r="K422" s="313"/>
      <c r="L422" s="313"/>
      <c r="M422" s="313"/>
      <c r="N422" s="313"/>
      <c r="O422" s="313"/>
      <c r="P422" s="313"/>
      <c r="Q422" s="313"/>
      <c r="R422" s="313"/>
      <c r="S422" s="313"/>
      <c r="T422" s="313"/>
      <c r="U422" s="313"/>
      <c r="V422" s="313"/>
      <c r="W422" s="313"/>
      <c r="X422" s="302"/>
      <c r="Y422" s="302"/>
    </row>
    <row r="423" spans="1:52" ht="27" customHeight="1" x14ac:dyDescent="0.25">
      <c r="A423" s="55" t="s">
        <v>553</v>
      </c>
      <c r="B423" s="55" t="s">
        <v>554</v>
      </c>
      <c r="C423" s="32">
        <v>4301031252</v>
      </c>
      <c r="D423" s="385">
        <v>4680115883116</v>
      </c>
      <c r="E423" s="329"/>
      <c r="F423" s="304">
        <v>0.88</v>
      </c>
      <c r="G423" s="33">
        <v>6</v>
      </c>
      <c r="H423" s="304">
        <v>5.28</v>
      </c>
      <c r="I423" s="304">
        <v>5.64</v>
      </c>
      <c r="J423" s="33">
        <v>104</v>
      </c>
      <c r="K423" s="34" t="s">
        <v>96</v>
      </c>
      <c r="L423" s="33">
        <v>60</v>
      </c>
      <c r="M423" s="61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23" s="387"/>
      <c r="O423" s="387"/>
      <c r="P423" s="387"/>
      <c r="Q423" s="329"/>
      <c r="R423" s="35"/>
      <c r="S423" s="35"/>
      <c r="T423" s="36" t="s">
        <v>63</v>
      </c>
      <c r="U423" s="305">
        <v>270</v>
      </c>
      <c r="V423" s="306">
        <f t="shared" ref="V423:V428" si="19">IFERROR(IF(U423="",0,CEILING((U423/$H423),1)*$H423),"")</f>
        <v>274.56</v>
      </c>
      <c r="W423" s="37">
        <f>IFERROR(IF(V423=0,"",ROUNDUP(V423/H423,0)*0.01196),"")</f>
        <v>0.62192000000000003</v>
      </c>
      <c r="X423" s="57"/>
      <c r="Y423" s="58"/>
      <c r="AC423" s="59"/>
      <c r="AZ423" s="282" t="s">
        <v>1</v>
      </c>
    </row>
    <row r="424" spans="1:52" ht="27" customHeight="1" x14ac:dyDescent="0.25">
      <c r="A424" s="55" t="s">
        <v>555</v>
      </c>
      <c r="B424" s="55" t="s">
        <v>556</v>
      </c>
      <c r="C424" s="32">
        <v>4301031248</v>
      </c>
      <c r="D424" s="385">
        <v>4680115883093</v>
      </c>
      <c r="E424" s="329"/>
      <c r="F424" s="304">
        <v>0.88</v>
      </c>
      <c r="G424" s="33">
        <v>6</v>
      </c>
      <c r="H424" s="304">
        <v>5.28</v>
      </c>
      <c r="I424" s="304">
        <v>5.64</v>
      </c>
      <c r="J424" s="33">
        <v>104</v>
      </c>
      <c r="K424" s="34" t="s">
        <v>62</v>
      </c>
      <c r="L424" s="33">
        <v>60</v>
      </c>
      <c r="M424" s="61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24" s="387"/>
      <c r="O424" s="387"/>
      <c r="P424" s="387"/>
      <c r="Q424" s="329"/>
      <c r="R424" s="35"/>
      <c r="S424" s="35"/>
      <c r="T424" s="36" t="s">
        <v>63</v>
      </c>
      <c r="U424" s="305">
        <v>200</v>
      </c>
      <c r="V424" s="306">
        <f t="shared" si="19"/>
        <v>200.64000000000001</v>
      </c>
      <c r="W424" s="37">
        <f>IFERROR(IF(V424=0,"",ROUNDUP(V424/H424,0)*0.01196),"")</f>
        <v>0.45448</v>
      </c>
      <c r="X424" s="57"/>
      <c r="Y424" s="58"/>
      <c r="AC424" s="59"/>
      <c r="AZ424" s="283" t="s">
        <v>1</v>
      </c>
    </row>
    <row r="425" spans="1:52" ht="27" customHeight="1" x14ac:dyDescent="0.25">
      <c r="A425" s="55" t="s">
        <v>557</v>
      </c>
      <c r="B425" s="55" t="s">
        <v>558</v>
      </c>
      <c r="C425" s="32">
        <v>4301031250</v>
      </c>
      <c r="D425" s="385">
        <v>4680115883109</v>
      </c>
      <c r="E425" s="329"/>
      <c r="F425" s="304">
        <v>0.88</v>
      </c>
      <c r="G425" s="33">
        <v>6</v>
      </c>
      <c r="H425" s="304">
        <v>5.28</v>
      </c>
      <c r="I425" s="304">
        <v>5.64</v>
      </c>
      <c r="J425" s="33">
        <v>104</v>
      </c>
      <c r="K425" s="34" t="s">
        <v>62</v>
      </c>
      <c r="L425" s="33">
        <v>60</v>
      </c>
      <c r="M425" s="61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5" s="387"/>
      <c r="O425" s="387"/>
      <c r="P425" s="387"/>
      <c r="Q425" s="329"/>
      <c r="R425" s="35"/>
      <c r="S425" s="35"/>
      <c r="T425" s="36" t="s">
        <v>63</v>
      </c>
      <c r="U425" s="305">
        <v>135</v>
      </c>
      <c r="V425" s="306">
        <f t="shared" si="19"/>
        <v>137.28</v>
      </c>
      <c r="W425" s="37">
        <f>IFERROR(IF(V425=0,"",ROUNDUP(V425/H425,0)*0.01196),"")</f>
        <v>0.31096000000000001</v>
      </c>
      <c r="X425" s="57"/>
      <c r="Y425" s="58"/>
      <c r="AC425" s="59"/>
      <c r="AZ425" s="284" t="s">
        <v>1</v>
      </c>
    </row>
    <row r="426" spans="1:52" ht="27" customHeight="1" x14ac:dyDescent="0.25">
      <c r="A426" s="55" t="s">
        <v>559</v>
      </c>
      <c r="B426" s="55" t="s">
        <v>560</v>
      </c>
      <c r="C426" s="32">
        <v>4301031249</v>
      </c>
      <c r="D426" s="385">
        <v>4680115882072</v>
      </c>
      <c r="E426" s="329"/>
      <c r="F426" s="304">
        <v>0.6</v>
      </c>
      <c r="G426" s="33">
        <v>6</v>
      </c>
      <c r="H426" s="304">
        <v>3.6</v>
      </c>
      <c r="I426" s="304">
        <v>3.84</v>
      </c>
      <c r="J426" s="33">
        <v>120</v>
      </c>
      <c r="K426" s="34" t="s">
        <v>96</v>
      </c>
      <c r="L426" s="33">
        <v>60</v>
      </c>
      <c r="M426" s="615" t="s">
        <v>561</v>
      </c>
      <c r="N426" s="387"/>
      <c r="O426" s="387"/>
      <c r="P426" s="387"/>
      <c r="Q426" s="329"/>
      <c r="R426" s="35"/>
      <c r="S426" s="35"/>
      <c r="T426" s="36" t="s">
        <v>63</v>
      </c>
      <c r="U426" s="305">
        <v>0</v>
      </c>
      <c r="V426" s="306">
        <f t="shared" si="19"/>
        <v>0</v>
      </c>
      <c r="W426" s="37" t="str">
        <f>IFERROR(IF(V426=0,"",ROUNDUP(V426/H426,0)*0.00937),"")</f>
        <v/>
      </c>
      <c r="X426" s="57"/>
      <c r="Y426" s="58"/>
      <c r="AC426" s="59"/>
      <c r="AZ426" s="285" t="s">
        <v>1</v>
      </c>
    </row>
    <row r="427" spans="1:52" ht="27" customHeight="1" x14ac:dyDescent="0.25">
      <c r="A427" s="55" t="s">
        <v>562</v>
      </c>
      <c r="B427" s="55" t="s">
        <v>563</v>
      </c>
      <c r="C427" s="32">
        <v>4301031251</v>
      </c>
      <c r="D427" s="385">
        <v>4680115882102</v>
      </c>
      <c r="E427" s="329"/>
      <c r="F427" s="304">
        <v>0.6</v>
      </c>
      <c r="G427" s="33">
        <v>6</v>
      </c>
      <c r="H427" s="304">
        <v>3.6</v>
      </c>
      <c r="I427" s="304">
        <v>3.81</v>
      </c>
      <c r="J427" s="33">
        <v>120</v>
      </c>
      <c r="K427" s="34" t="s">
        <v>62</v>
      </c>
      <c r="L427" s="33">
        <v>60</v>
      </c>
      <c r="M427" s="616" t="s">
        <v>564</v>
      </c>
      <c r="N427" s="387"/>
      <c r="O427" s="387"/>
      <c r="P427" s="387"/>
      <c r="Q427" s="329"/>
      <c r="R427" s="35"/>
      <c r="S427" s="35"/>
      <c r="T427" s="36" t="s">
        <v>63</v>
      </c>
      <c r="U427" s="305">
        <v>0</v>
      </c>
      <c r="V427" s="306">
        <f t="shared" si="19"/>
        <v>0</v>
      </c>
      <c r="W427" s="37" t="str">
        <f>IFERROR(IF(V427=0,"",ROUNDUP(V427/H427,0)*0.00937),"")</f>
        <v/>
      </c>
      <c r="X427" s="57"/>
      <c r="Y427" s="58"/>
      <c r="AC427" s="59"/>
      <c r="AZ427" s="286" t="s">
        <v>1</v>
      </c>
    </row>
    <row r="428" spans="1:52" ht="27" customHeight="1" x14ac:dyDescent="0.25">
      <c r="A428" s="55" t="s">
        <v>565</v>
      </c>
      <c r="B428" s="55" t="s">
        <v>566</v>
      </c>
      <c r="C428" s="32">
        <v>4301031253</v>
      </c>
      <c r="D428" s="385">
        <v>4680115882096</v>
      </c>
      <c r="E428" s="329"/>
      <c r="F428" s="304">
        <v>0.6</v>
      </c>
      <c r="G428" s="33">
        <v>6</v>
      </c>
      <c r="H428" s="304">
        <v>3.6</v>
      </c>
      <c r="I428" s="304">
        <v>3.81</v>
      </c>
      <c r="J428" s="33">
        <v>120</v>
      </c>
      <c r="K428" s="34" t="s">
        <v>62</v>
      </c>
      <c r="L428" s="33">
        <v>60</v>
      </c>
      <c r="M428" s="617" t="s">
        <v>567</v>
      </c>
      <c r="N428" s="387"/>
      <c r="O428" s="387"/>
      <c r="P428" s="387"/>
      <c r="Q428" s="329"/>
      <c r="R428" s="35"/>
      <c r="S428" s="35"/>
      <c r="T428" s="36" t="s">
        <v>63</v>
      </c>
      <c r="U428" s="305">
        <v>0</v>
      </c>
      <c r="V428" s="306">
        <f t="shared" si="19"/>
        <v>0</v>
      </c>
      <c r="W428" s="37" t="str">
        <f>IFERROR(IF(V428=0,"",ROUNDUP(V428/H428,0)*0.00937),"")</f>
        <v/>
      </c>
      <c r="X428" s="57"/>
      <c r="Y428" s="58"/>
      <c r="AC428" s="59"/>
      <c r="AZ428" s="287" t="s">
        <v>1</v>
      </c>
    </row>
    <row r="429" spans="1:52" x14ac:dyDescent="0.2">
      <c r="A429" s="389"/>
      <c r="B429" s="313"/>
      <c r="C429" s="313"/>
      <c r="D429" s="313"/>
      <c r="E429" s="313"/>
      <c r="F429" s="313"/>
      <c r="G429" s="313"/>
      <c r="H429" s="313"/>
      <c r="I429" s="313"/>
      <c r="J429" s="313"/>
      <c r="K429" s="313"/>
      <c r="L429" s="390"/>
      <c r="M429" s="388" t="s">
        <v>64</v>
      </c>
      <c r="N429" s="341"/>
      <c r="O429" s="341"/>
      <c r="P429" s="341"/>
      <c r="Q429" s="341"/>
      <c r="R429" s="341"/>
      <c r="S429" s="342"/>
      <c r="T429" s="38" t="s">
        <v>65</v>
      </c>
      <c r="U429" s="307">
        <f>IFERROR(U423/H423,"0")+IFERROR(U424/H424,"0")+IFERROR(U425/H425,"0")+IFERROR(U426/H426,"0")+IFERROR(U427/H427,"0")+IFERROR(U428/H428,"0")</f>
        <v>114.58333333333331</v>
      </c>
      <c r="V429" s="307">
        <f>IFERROR(V423/H423,"0")+IFERROR(V424/H424,"0")+IFERROR(V425/H425,"0")+IFERROR(V426/H426,"0")+IFERROR(V427/H427,"0")+IFERROR(V428/H428,"0")</f>
        <v>116</v>
      </c>
      <c r="W429" s="307">
        <f>IFERROR(IF(W423="",0,W423),"0")+IFERROR(IF(W424="",0,W424),"0")+IFERROR(IF(W425="",0,W425),"0")+IFERROR(IF(W426="",0,W426),"0")+IFERROR(IF(W427="",0,W427),"0")+IFERROR(IF(W428="",0,W428),"0")</f>
        <v>1.3873600000000001</v>
      </c>
      <c r="X429" s="308"/>
      <c r="Y429" s="308"/>
    </row>
    <row r="430" spans="1:52" x14ac:dyDescent="0.2">
      <c r="A430" s="313"/>
      <c r="B430" s="313"/>
      <c r="C430" s="313"/>
      <c r="D430" s="313"/>
      <c r="E430" s="313"/>
      <c r="F430" s="313"/>
      <c r="G430" s="313"/>
      <c r="H430" s="313"/>
      <c r="I430" s="313"/>
      <c r="J430" s="313"/>
      <c r="K430" s="313"/>
      <c r="L430" s="390"/>
      <c r="M430" s="388" t="s">
        <v>64</v>
      </c>
      <c r="N430" s="341"/>
      <c r="O430" s="341"/>
      <c r="P430" s="341"/>
      <c r="Q430" s="341"/>
      <c r="R430" s="341"/>
      <c r="S430" s="342"/>
      <c r="T430" s="38" t="s">
        <v>63</v>
      </c>
      <c r="U430" s="307">
        <f>IFERROR(SUM(U423:U428),"0")</f>
        <v>605</v>
      </c>
      <c r="V430" s="307">
        <f>IFERROR(SUM(V423:V428),"0")</f>
        <v>612.48</v>
      </c>
      <c r="W430" s="38"/>
      <c r="X430" s="308"/>
      <c r="Y430" s="308"/>
    </row>
    <row r="431" spans="1:52" ht="14.25" customHeight="1" x14ac:dyDescent="0.25">
      <c r="A431" s="384" t="s">
        <v>66</v>
      </c>
      <c r="B431" s="313"/>
      <c r="C431" s="313"/>
      <c r="D431" s="313"/>
      <c r="E431" s="313"/>
      <c r="F431" s="313"/>
      <c r="G431" s="313"/>
      <c r="H431" s="313"/>
      <c r="I431" s="313"/>
      <c r="J431" s="313"/>
      <c r="K431" s="313"/>
      <c r="L431" s="313"/>
      <c r="M431" s="313"/>
      <c r="N431" s="313"/>
      <c r="O431" s="313"/>
      <c r="P431" s="313"/>
      <c r="Q431" s="313"/>
      <c r="R431" s="313"/>
      <c r="S431" s="313"/>
      <c r="T431" s="313"/>
      <c r="U431" s="313"/>
      <c r="V431" s="313"/>
      <c r="W431" s="313"/>
      <c r="X431" s="302"/>
      <c r="Y431" s="302"/>
    </row>
    <row r="432" spans="1:52" ht="16.5" customHeight="1" x14ac:dyDescent="0.25">
      <c r="A432" s="55" t="s">
        <v>568</v>
      </c>
      <c r="B432" s="55" t="s">
        <v>569</v>
      </c>
      <c r="C432" s="32">
        <v>4301051230</v>
      </c>
      <c r="D432" s="385">
        <v>4607091383409</v>
      </c>
      <c r="E432" s="329"/>
      <c r="F432" s="304">
        <v>1.3</v>
      </c>
      <c r="G432" s="33">
        <v>6</v>
      </c>
      <c r="H432" s="304">
        <v>7.8</v>
      </c>
      <c r="I432" s="304">
        <v>8.3460000000000001</v>
      </c>
      <c r="J432" s="33">
        <v>56</v>
      </c>
      <c r="K432" s="34" t="s">
        <v>62</v>
      </c>
      <c r="L432" s="33">
        <v>45</v>
      </c>
      <c r="M432" s="618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32" s="387"/>
      <c r="O432" s="387"/>
      <c r="P432" s="387"/>
      <c r="Q432" s="329"/>
      <c r="R432" s="35"/>
      <c r="S432" s="35"/>
      <c r="T432" s="36" t="s">
        <v>63</v>
      </c>
      <c r="U432" s="305">
        <v>0</v>
      </c>
      <c r="V432" s="306">
        <f>IFERROR(IF(U432="",0,CEILING((U432/$H432),1)*$H432),"")</f>
        <v>0</v>
      </c>
      <c r="W432" s="37" t="str">
        <f>IFERROR(IF(V432=0,"",ROUNDUP(V432/H432,0)*0.02175),"")</f>
        <v/>
      </c>
      <c r="X432" s="57"/>
      <c r="Y432" s="58"/>
      <c r="AC432" s="59"/>
      <c r="AZ432" s="288" t="s">
        <v>1</v>
      </c>
    </row>
    <row r="433" spans="1:52" ht="16.5" customHeight="1" x14ac:dyDescent="0.25">
      <c r="A433" s="55" t="s">
        <v>570</v>
      </c>
      <c r="B433" s="55" t="s">
        <v>571</v>
      </c>
      <c r="C433" s="32">
        <v>4301051231</v>
      </c>
      <c r="D433" s="385">
        <v>4607091383416</v>
      </c>
      <c r="E433" s="329"/>
      <c r="F433" s="304">
        <v>1.3</v>
      </c>
      <c r="G433" s="33">
        <v>6</v>
      </c>
      <c r="H433" s="304">
        <v>7.8</v>
      </c>
      <c r="I433" s="304">
        <v>8.3460000000000001</v>
      </c>
      <c r="J433" s="33">
        <v>56</v>
      </c>
      <c r="K433" s="34" t="s">
        <v>62</v>
      </c>
      <c r="L433" s="33">
        <v>45</v>
      </c>
      <c r="M433" s="61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33" s="387"/>
      <c r="O433" s="387"/>
      <c r="P433" s="387"/>
      <c r="Q433" s="329"/>
      <c r="R433" s="35"/>
      <c r="S433" s="35"/>
      <c r="T433" s="36" t="s">
        <v>63</v>
      </c>
      <c r="U433" s="305">
        <v>0</v>
      </c>
      <c r="V433" s="306">
        <f>IFERROR(IF(U433="",0,CEILING((U433/$H433),1)*$H433),"")</f>
        <v>0</v>
      </c>
      <c r="W433" s="37" t="str">
        <f>IFERROR(IF(V433=0,"",ROUNDUP(V433/H433,0)*0.02175),"")</f>
        <v/>
      </c>
      <c r="X433" s="57"/>
      <c r="Y433" s="58"/>
      <c r="AC433" s="59"/>
      <c r="AZ433" s="289" t="s">
        <v>1</v>
      </c>
    </row>
    <row r="434" spans="1:52" x14ac:dyDescent="0.2">
      <c r="A434" s="389"/>
      <c r="B434" s="313"/>
      <c r="C434" s="313"/>
      <c r="D434" s="313"/>
      <c r="E434" s="313"/>
      <c r="F434" s="313"/>
      <c r="G434" s="313"/>
      <c r="H434" s="313"/>
      <c r="I434" s="313"/>
      <c r="J434" s="313"/>
      <c r="K434" s="313"/>
      <c r="L434" s="390"/>
      <c r="M434" s="388" t="s">
        <v>64</v>
      </c>
      <c r="N434" s="341"/>
      <c r="O434" s="341"/>
      <c r="P434" s="341"/>
      <c r="Q434" s="341"/>
      <c r="R434" s="341"/>
      <c r="S434" s="342"/>
      <c r="T434" s="38" t="s">
        <v>65</v>
      </c>
      <c r="U434" s="307">
        <f>IFERROR(U432/H432,"0")+IFERROR(U433/H433,"0")</f>
        <v>0</v>
      </c>
      <c r="V434" s="307">
        <f>IFERROR(V432/H432,"0")+IFERROR(V433/H433,"0")</f>
        <v>0</v>
      </c>
      <c r="W434" s="307">
        <f>IFERROR(IF(W432="",0,W432),"0")+IFERROR(IF(W433="",0,W433),"0")</f>
        <v>0</v>
      </c>
      <c r="X434" s="308"/>
      <c r="Y434" s="308"/>
    </row>
    <row r="435" spans="1:52" x14ac:dyDescent="0.2">
      <c r="A435" s="313"/>
      <c r="B435" s="313"/>
      <c r="C435" s="313"/>
      <c r="D435" s="313"/>
      <c r="E435" s="313"/>
      <c r="F435" s="313"/>
      <c r="G435" s="313"/>
      <c r="H435" s="313"/>
      <c r="I435" s="313"/>
      <c r="J435" s="313"/>
      <c r="K435" s="313"/>
      <c r="L435" s="390"/>
      <c r="M435" s="388" t="s">
        <v>64</v>
      </c>
      <c r="N435" s="341"/>
      <c r="O435" s="341"/>
      <c r="P435" s="341"/>
      <c r="Q435" s="341"/>
      <c r="R435" s="341"/>
      <c r="S435" s="342"/>
      <c r="T435" s="38" t="s">
        <v>63</v>
      </c>
      <c r="U435" s="307">
        <f>IFERROR(SUM(U432:U433),"0")</f>
        <v>0</v>
      </c>
      <c r="V435" s="307">
        <f>IFERROR(SUM(V432:V433),"0")</f>
        <v>0</v>
      </c>
      <c r="W435" s="38"/>
      <c r="X435" s="308"/>
      <c r="Y435" s="308"/>
    </row>
    <row r="436" spans="1:52" ht="27.75" customHeight="1" x14ac:dyDescent="0.2">
      <c r="A436" s="381" t="s">
        <v>572</v>
      </c>
      <c r="B436" s="382"/>
      <c r="C436" s="382"/>
      <c r="D436" s="382"/>
      <c r="E436" s="382"/>
      <c r="F436" s="382"/>
      <c r="G436" s="382"/>
      <c r="H436" s="382"/>
      <c r="I436" s="382"/>
      <c r="J436" s="382"/>
      <c r="K436" s="382"/>
      <c r="L436" s="382"/>
      <c r="M436" s="382"/>
      <c r="N436" s="382"/>
      <c r="O436" s="382"/>
      <c r="P436" s="382"/>
      <c r="Q436" s="382"/>
      <c r="R436" s="382"/>
      <c r="S436" s="382"/>
      <c r="T436" s="382"/>
      <c r="U436" s="382"/>
      <c r="V436" s="382"/>
      <c r="W436" s="382"/>
      <c r="X436" s="49"/>
      <c r="Y436" s="49"/>
    </row>
    <row r="437" spans="1:52" ht="16.5" customHeight="1" x14ac:dyDescent="0.25">
      <c r="A437" s="383" t="s">
        <v>573</v>
      </c>
      <c r="B437" s="313"/>
      <c r="C437" s="313"/>
      <c r="D437" s="313"/>
      <c r="E437" s="313"/>
      <c r="F437" s="313"/>
      <c r="G437" s="313"/>
      <c r="H437" s="313"/>
      <c r="I437" s="313"/>
      <c r="J437" s="313"/>
      <c r="K437" s="313"/>
      <c r="L437" s="313"/>
      <c r="M437" s="313"/>
      <c r="N437" s="313"/>
      <c r="O437" s="313"/>
      <c r="P437" s="313"/>
      <c r="Q437" s="313"/>
      <c r="R437" s="313"/>
      <c r="S437" s="313"/>
      <c r="T437" s="313"/>
      <c r="U437" s="313"/>
      <c r="V437" s="313"/>
      <c r="W437" s="313"/>
      <c r="X437" s="301"/>
      <c r="Y437" s="301"/>
    </row>
    <row r="438" spans="1:52" ht="14.25" customHeight="1" x14ac:dyDescent="0.25">
      <c r="A438" s="384" t="s">
        <v>100</v>
      </c>
      <c r="B438" s="313"/>
      <c r="C438" s="313"/>
      <c r="D438" s="313"/>
      <c r="E438" s="313"/>
      <c r="F438" s="313"/>
      <c r="G438" s="313"/>
      <c r="H438" s="313"/>
      <c r="I438" s="313"/>
      <c r="J438" s="313"/>
      <c r="K438" s="313"/>
      <c r="L438" s="313"/>
      <c r="M438" s="313"/>
      <c r="N438" s="313"/>
      <c r="O438" s="313"/>
      <c r="P438" s="313"/>
      <c r="Q438" s="313"/>
      <c r="R438" s="313"/>
      <c r="S438" s="313"/>
      <c r="T438" s="313"/>
      <c r="U438" s="313"/>
      <c r="V438" s="313"/>
      <c r="W438" s="313"/>
      <c r="X438" s="302"/>
      <c r="Y438" s="302"/>
    </row>
    <row r="439" spans="1:52" ht="27" customHeight="1" x14ac:dyDescent="0.25">
      <c r="A439" s="55" t="s">
        <v>574</v>
      </c>
      <c r="B439" s="55" t="s">
        <v>575</v>
      </c>
      <c r="C439" s="32">
        <v>4301011434</v>
      </c>
      <c r="D439" s="385">
        <v>4680115881099</v>
      </c>
      <c r="E439" s="329"/>
      <c r="F439" s="304">
        <v>1.5</v>
      </c>
      <c r="G439" s="33">
        <v>8</v>
      </c>
      <c r="H439" s="304">
        <v>12</v>
      </c>
      <c r="I439" s="304">
        <v>12.48</v>
      </c>
      <c r="J439" s="33">
        <v>56</v>
      </c>
      <c r="K439" s="34" t="s">
        <v>96</v>
      </c>
      <c r="L439" s="33">
        <v>50</v>
      </c>
      <c r="M439" s="620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39" s="387"/>
      <c r="O439" s="387"/>
      <c r="P439" s="387"/>
      <c r="Q439" s="329"/>
      <c r="R439" s="35"/>
      <c r="S439" s="35"/>
      <c r="T439" s="36" t="s">
        <v>63</v>
      </c>
      <c r="U439" s="305">
        <v>0</v>
      </c>
      <c r="V439" s="306">
        <f>IFERROR(IF(U439="",0,CEILING((U439/$H439),1)*$H439),"")</f>
        <v>0</v>
      </c>
      <c r="W439" s="37" t="str">
        <f>IFERROR(IF(V439=0,"",ROUNDUP(V439/H439,0)*0.02175),"")</f>
        <v/>
      </c>
      <c r="X439" s="57"/>
      <c r="Y439" s="58"/>
      <c r="AC439" s="59"/>
      <c r="AZ439" s="290" t="s">
        <v>1</v>
      </c>
    </row>
    <row r="440" spans="1:52" ht="27" customHeight="1" x14ac:dyDescent="0.25">
      <c r="A440" s="55" t="s">
        <v>576</v>
      </c>
      <c r="B440" s="55" t="s">
        <v>577</v>
      </c>
      <c r="C440" s="32">
        <v>4301011435</v>
      </c>
      <c r="D440" s="385">
        <v>4680115881150</v>
      </c>
      <c r="E440" s="329"/>
      <c r="F440" s="304">
        <v>1.5</v>
      </c>
      <c r="G440" s="33">
        <v>8</v>
      </c>
      <c r="H440" s="304">
        <v>12</v>
      </c>
      <c r="I440" s="304">
        <v>12.48</v>
      </c>
      <c r="J440" s="33">
        <v>56</v>
      </c>
      <c r="K440" s="34" t="s">
        <v>96</v>
      </c>
      <c r="L440" s="33">
        <v>50</v>
      </c>
      <c r="M440" s="621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40" s="387"/>
      <c r="O440" s="387"/>
      <c r="P440" s="387"/>
      <c r="Q440" s="329"/>
      <c r="R440" s="35"/>
      <c r="S440" s="35"/>
      <c r="T440" s="36" t="s">
        <v>63</v>
      </c>
      <c r="U440" s="305">
        <v>450</v>
      </c>
      <c r="V440" s="306">
        <f>IFERROR(IF(U440="",0,CEILING((U440/$H440),1)*$H440),"")</f>
        <v>456</v>
      </c>
      <c r="W440" s="37">
        <f>IFERROR(IF(V440=0,"",ROUNDUP(V440/H440,0)*0.02175),"")</f>
        <v>0.8264999999999999</v>
      </c>
      <c r="X440" s="57"/>
      <c r="Y440" s="58"/>
      <c r="AC440" s="59"/>
      <c r="AZ440" s="291" t="s">
        <v>1</v>
      </c>
    </row>
    <row r="441" spans="1:52" x14ac:dyDescent="0.2">
      <c r="A441" s="389"/>
      <c r="B441" s="313"/>
      <c r="C441" s="313"/>
      <c r="D441" s="313"/>
      <c r="E441" s="313"/>
      <c r="F441" s="313"/>
      <c r="G441" s="313"/>
      <c r="H441" s="313"/>
      <c r="I441" s="313"/>
      <c r="J441" s="313"/>
      <c r="K441" s="313"/>
      <c r="L441" s="390"/>
      <c r="M441" s="388" t="s">
        <v>64</v>
      </c>
      <c r="N441" s="341"/>
      <c r="O441" s="341"/>
      <c r="P441" s="341"/>
      <c r="Q441" s="341"/>
      <c r="R441" s="341"/>
      <c r="S441" s="342"/>
      <c r="T441" s="38" t="s">
        <v>65</v>
      </c>
      <c r="U441" s="307">
        <f>IFERROR(U439/H439,"0")+IFERROR(U440/H440,"0")</f>
        <v>37.5</v>
      </c>
      <c r="V441" s="307">
        <f>IFERROR(V439/H439,"0")+IFERROR(V440/H440,"0")</f>
        <v>38</v>
      </c>
      <c r="W441" s="307">
        <f>IFERROR(IF(W439="",0,W439),"0")+IFERROR(IF(W440="",0,W440),"0")</f>
        <v>0.8264999999999999</v>
      </c>
      <c r="X441" s="308"/>
      <c r="Y441" s="308"/>
    </row>
    <row r="442" spans="1:52" x14ac:dyDescent="0.2">
      <c r="A442" s="313"/>
      <c r="B442" s="313"/>
      <c r="C442" s="313"/>
      <c r="D442" s="313"/>
      <c r="E442" s="313"/>
      <c r="F442" s="313"/>
      <c r="G442" s="313"/>
      <c r="H442" s="313"/>
      <c r="I442" s="313"/>
      <c r="J442" s="313"/>
      <c r="K442" s="313"/>
      <c r="L442" s="390"/>
      <c r="M442" s="388" t="s">
        <v>64</v>
      </c>
      <c r="N442" s="341"/>
      <c r="O442" s="341"/>
      <c r="P442" s="341"/>
      <c r="Q442" s="341"/>
      <c r="R442" s="341"/>
      <c r="S442" s="342"/>
      <c r="T442" s="38" t="s">
        <v>63</v>
      </c>
      <c r="U442" s="307">
        <f>IFERROR(SUM(U439:U440),"0")</f>
        <v>450</v>
      </c>
      <c r="V442" s="307">
        <f>IFERROR(SUM(V439:V440),"0")</f>
        <v>456</v>
      </c>
      <c r="W442" s="38"/>
      <c r="X442" s="308"/>
      <c r="Y442" s="308"/>
    </row>
    <row r="443" spans="1:52" ht="14.25" customHeight="1" x14ac:dyDescent="0.25">
      <c r="A443" s="384" t="s">
        <v>93</v>
      </c>
      <c r="B443" s="313"/>
      <c r="C443" s="313"/>
      <c r="D443" s="313"/>
      <c r="E443" s="313"/>
      <c r="F443" s="313"/>
      <c r="G443" s="313"/>
      <c r="H443" s="313"/>
      <c r="I443" s="313"/>
      <c r="J443" s="313"/>
      <c r="K443" s="313"/>
      <c r="L443" s="313"/>
      <c r="M443" s="313"/>
      <c r="N443" s="313"/>
      <c r="O443" s="313"/>
      <c r="P443" s="313"/>
      <c r="Q443" s="313"/>
      <c r="R443" s="313"/>
      <c r="S443" s="313"/>
      <c r="T443" s="313"/>
      <c r="U443" s="313"/>
      <c r="V443" s="313"/>
      <c r="W443" s="313"/>
      <c r="X443" s="302"/>
      <c r="Y443" s="302"/>
    </row>
    <row r="444" spans="1:52" ht="16.5" customHeight="1" x14ac:dyDescent="0.25">
      <c r="A444" s="55" t="s">
        <v>578</v>
      </c>
      <c r="B444" s="55" t="s">
        <v>579</v>
      </c>
      <c r="C444" s="32">
        <v>4301020230</v>
      </c>
      <c r="D444" s="385">
        <v>4680115881112</v>
      </c>
      <c r="E444" s="329"/>
      <c r="F444" s="304">
        <v>1.35</v>
      </c>
      <c r="G444" s="33">
        <v>8</v>
      </c>
      <c r="H444" s="304">
        <v>10.8</v>
      </c>
      <c r="I444" s="304">
        <v>11.28</v>
      </c>
      <c r="J444" s="33">
        <v>56</v>
      </c>
      <c r="K444" s="34" t="s">
        <v>96</v>
      </c>
      <c r="L444" s="33">
        <v>50</v>
      </c>
      <c r="M444" s="622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4" s="387"/>
      <c r="O444" s="387"/>
      <c r="P444" s="387"/>
      <c r="Q444" s="329"/>
      <c r="R444" s="35"/>
      <c r="S444" s="35"/>
      <c r="T444" s="36" t="s">
        <v>63</v>
      </c>
      <c r="U444" s="305">
        <v>0</v>
      </c>
      <c r="V444" s="306">
        <f>IFERROR(IF(U444="",0,CEILING((U444/$H444),1)*$H444),"")</f>
        <v>0</v>
      </c>
      <c r="W444" s="37" t="str">
        <f>IFERROR(IF(V444=0,"",ROUNDUP(V444/H444,0)*0.02175),"")</f>
        <v/>
      </c>
      <c r="X444" s="57"/>
      <c r="Y444" s="58"/>
      <c r="AC444" s="59"/>
      <c r="AZ444" s="292" t="s">
        <v>1</v>
      </c>
    </row>
    <row r="445" spans="1:52" ht="27" customHeight="1" x14ac:dyDescent="0.25">
      <c r="A445" s="55" t="s">
        <v>580</v>
      </c>
      <c r="B445" s="55" t="s">
        <v>581</v>
      </c>
      <c r="C445" s="32">
        <v>4301020231</v>
      </c>
      <c r="D445" s="385">
        <v>4680115881129</v>
      </c>
      <c r="E445" s="329"/>
      <c r="F445" s="304">
        <v>1.8</v>
      </c>
      <c r="G445" s="33">
        <v>6</v>
      </c>
      <c r="H445" s="304">
        <v>10.8</v>
      </c>
      <c r="I445" s="304">
        <v>11.28</v>
      </c>
      <c r="J445" s="33">
        <v>56</v>
      </c>
      <c r="K445" s="34" t="s">
        <v>96</v>
      </c>
      <c r="L445" s="33">
        <v>50</v>
      </c>
      <c r="M445" s="623" t="str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>Ветчины «Нежная» Весовой п/а ТМ «Зареченские» большой батон</v>
      </c>
      <c r="N445" s="387"/>
      <c r="O445" s="387"/>
      <c r="P445" s="387"/>
      <c r="Q445" s="329"/>
      <c r="R445" s="35"/>
      <c r="S445" s="35"/>
      <c r="T445" s="36" t="s">
        <v>63</v>
      </c>
      <c r="U445" s="305">
        <v>0</v>
      </c>
      <c r="V445" s="306">
        <f>IFERROR(IF(U445="",0,CEILING((U445/$H445),1)*$H445),"")</f>
        <v>0</v>
      </c>
      <c r="W445" s="37" t="str">
        <f>IFERROR(IF(V445=0,"",ROUNDUP(V445/H445,0)*0.02175),"")</f>
        <v/>
      </c>
      <c r="X445" s="57"/>
      <c r="Y445" s="58"/>
      <c r="AC445" s="59"/>
      <c r="AZ445" s="293" t="s">
        <v>1</v>
      </c>
    </row>
    <row r="446" spans="1:52" x14ac:dyDescent="0.2">
      <c r="A446" s="389"/>
      <c r="B446" s="313"/>
      <c r="C446" s="313"/>
      <c r="D446" s="313"/>
      <c r="E446" s="313"/>
      <c r="F446" s="313"/>
      <c r="G446" s="313"/>
      <c r="H446" s="313"/>
      <c r="I446" s="313"/>
      <c r="J446" s="313"/>
      <c r="K446" s="313"/>
      <c r="L446" s="390"/>
      <c r="M446" s="388" t="s">
        <v>64</v>
      </c>
      <c r="N446" s="341"/>
      <c r="O446" s="341"/>
      <c r="P446" s="341"/>
      <c r="Q446" s="341"/>
      <c r="R446" s="341"/>
      <c r="S446" s="342"/>
      <c r="T446" s="38" t="s">
        <v>65</v>
      </c>
      <c r="U446" s="307">
        <f>IFERROR(U444/H444,"0")+IFERROR(U445/H445,"0")</f>
        <v>0</v>
      </c>
      <c r="V446" s="307">
        <f>IFERROR(V444/H444,"0")+IFERROR(V445/H445,"0")</f>
        <v>0</v>
      </c>
      <c r="W446" s="307">
        <f>IFERROR(IF(W444="",0,W444),"0")+IFERROR(IF(W445="",0,W445),"0")</f>
        <v>0</v>
      </c>
      <c r="X446" s="308"/>
      <c r="Y446" s="308"/>
    </row>
    <row r="447" spans="1:52" x14ac:dyDescent="0.2">
      <c r="A447" s="313"/>
      <c r="B447" s="313"/>
      <c r="C447" s="313"/>
      <c r="D447" s="313"/>
      <c r="E447" s="313"/>
      <c r="F447" s="313"/>
      <c r="G447" s="313"/>
      <c r="H447" s="313"/>
      <c r="I447" s="313"/>
      <c r="J447" s="313"/>
      <c r="K447" s="313"/>
      <c r="L447" s="390"/>
      <c r="M447" s="388" t="s">
        <v>64</v>
      </c>
      <c r="N447" s="341"/>
      <c r="O447" s="341"/>
      <c r="P447" s="341"/>
      <c r="Q447" s="341"/>
      <c r="R447" s="341"/>
      <c r="S447" s="342"/>
      <c r="T447" s="38" t="s">
        <v>63</v>
      </c>
      <c r="U447" s="307">
        <f>IFERROR(SUM(U444:U445),"0")</f>
        <v>0</v>
      </c>
      <c r="V447" s="307">
        <f>IFERROR(SUM(V444:V445),"0")</f>
        <v>0</v>
      </c>
      <c r="W447" s="38"/>
      <c r="X447" s="308"/>
      <c r="Y447" s="308"/>
    </row>
    <row r="448" spans="1:52" ht="14.25" customHeight="1" x14ac:dyDescent="0.25">
      <c r="A448" s="384" t="s">
        <v>59</v>
      </c>
      <c r="B448" s="313"/>
      <c r="C448" s="313"/>
      <c r="D448" s="313"/>
      <c r="E448" s="313"/>
      <c r="F448" s="313"/>
      <c r="G448" s="313"/>
      <c r="H448" s="313"/>
      <c r="I448" s="313"/>
      <c r="J448" s="313"/>
      <c r="K448" s="313"/>
      <c r="L448" s="313"/>
      <c r="M448" s="313"/>
      <c r="N448" s="313"/>
      <c r="O448" s="313"/>
      <c r="P448" s="313"/>
      <c r="Q448" s="313"/>
      <c r="R448" s="313"/>
      <c r="S448" s="313"/>
      <c r="T448" s="313"/>
      <c r="U448" s="313"/>
      <c r="V448" s="313"/>
      <c r="W448" s="313"/>
      <c r="X448" s="302"/>
      <c r="Y448" s="302"/>
    </row>
    <row r="449" spans="1:52" ht="27" customHeight="1" x14ac:dyDescent="0.25">
      <c r="A449" s="55" t="s">
        <v>582</v>
      </c>
      <c r="B449" s="55" t="s">
        <v>583</v>
      </c>
      <c r="C449" s="32">
        <v>4301031192</v>
      </c>
      <c r="D449" s="385">
        <v>4680115881167</v>
      </c>
      <c r="E449" s="329"/>
      <c r="F449" s="304">
        <v>0.73</v>
      </c>
      <c r="G449" s="33">
        <v>6</v>
      </c>
      <c r="H449" s="304">
        <v>4.38</v>
      </c>
      <c r="I449" s="304">
        <v>4.6399999999999997</v>
      </c>
      <c r="J449" s="33">
        <v>156</v>
      </c>
      <c r="K449" s="34" t="s">
        <v>62</v>
      </c>
      <c r="L449" s="33">
        <v>40</v>
      </c>
      <c r="M449" s="624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49" s="387"/>
      <c r="O449" s="387"/>
      <c r="P449" s="387"/>
      <c r="Q449" s="329"/>
      <c r="R449" s="35"/>
      <c r="S449" s="35"/>
      <c r="T449" s="36" t="s">
        <v>63</v>
      </c>
      <c r="U449" s="305">
        <v>40</v>
      </c>
      <c r="V449" s="306">
        <f>IFERROR(IF(U449="",0,CEILING((U449/$H449),1)*$H449),"")</f>
        <v>43.8</v>
      </c>
      <c r="W449" s="37">
        <f>IFERROR(IF(V449=0,"",ROUNDUP(V449/H449,0)*0.00753),"")</f>
        <v>7.5300000000000006E-2</v>
      </c>
      <c r="X449" s="57"/>
      <c r="Y449" s="58"/>
      <c r="AC449" s="59"/>
      <c r="AZ449" s="294" t="s">
        <v>1</v>
      </c>
    </row>
    <row r="450" spans="1:52" ht="16.5" customHeight="1" x14ac:dyDescent="0.25">
      <c r="A450" s="55" t="s">
        <v>584</v>
      </c>
      <c r="B450" s="55" t="s">
        <v>585</v>
      </c>
      <c r="C450" s="32">
        <v>4301031193</v>
      </c>
      <c r="D450" s="385">
        <v>4680115881136</v>
      </c>
      <c r="E450" s="329"/>
      <c r="F450" s="304">
        <v>0.73</v>
      </c>
      <c r="G450" s="33">
        <v>6</v>
      </c>
      <c r="H450" s="304">
        <v>4.38</v>
      </c>
      <c r="I450" s="304">
        <v>4.6399999999999997</v>
      </c>
      <c r="J450" s="33">
        <v>156</v>
      </c>
      <c r="K450" s="34" t="s">
        <v>62</v>
      </c>
      <c r="L450" s="33">
        <v>40</v>
      </c>
      <c r="M450" s="625" t="str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>В/к колбасы «Рижский» НТУ Весовые Фиброуз в/у ТМ «Зареченские»</v>
      </c>
      <c r="N450" s="387"/>
      <c r="O450" s="387"/>
      <c r="P450" s="387"/>
      <c r="Q450" s="329"/>
      <c r="R450" s="35"/>
      <c r="S450" s="35"/>
      <c r="T450" s="36" t="s">
        <v>63</v>
      </c>
      <c r="U450" s="305">
        <v>120</v>
      </c>
      <c r="V450" s="306">
        <f>IFERROR(IF(U450="",0,CEILING((U450/$H450),1)*$H450),"")</f>
        <v>122.64</v>
      </c>
      <c r="W450" s="37">
        <f>IFERROR(IF(V450=0,"",ROUNDUP(V450/H450,0)*0.00753),"")</f>
        <v>0.21084</v>
      </c>
      <c r="X450" s="57"/>
      <c r="Y450" s="58"/>
      <c r="AC450" s="59"/>
      <c r="AZ450" s="295" t="s">
        <v>1</v>
      </c>
    </row>
    <row r="451" spans="1:52" x14ac:dyDescent="0.2">
      <c r="A451" s="389"/>
      <c r="B451" s="313"/>
      <c r="C451" s="313"/>
      <c r="D451" s="313"/>
      <c r="E451" s="313"/>
      <c r="F451" s="313"/>
      <c r="G451" s="313"/>
      <c r="H451" s="313"/>
      <c r="I451" s="313"/>
      <c r="J451" s="313"/>
      <c r="K451" s="313"/>
      <c r="L451" s="390"/>
      <c r="M451" s="388" t="s">
        <v>64</v>
      </c>
      <c r="N451" s="341"/>
      <c r="O451" s="341"/>
      <c r="P451" s="341"/>
      <c r="Q451" s="341"/>
      <c r="R451" s="341"/>
      <c r="S451" s="342"/>
      <c r="T451" s="38" t="s">
        <v>65</v>
      </c>
      <c r="U451" s="307">
        <f>IFERROR(U449/H449,"0")+IFERROR(U450/H450,"0")</f>
        <v>36.529680365296805</v>
      </c>
      <c r="V451" s="307">
        <f>IFERROR(V449/H449,"0")+IFERROR(V450/H450,"0")</f>
        <v>38</v>
      </c>
      <c r="W451" s="307">
        <f>IFERROR(IF(W449="",0,W449),"0")+IFERROR(IF(W450="",0,W450),"0")</f>
        <v>0.28614000000000001</v>
      </c>
      <c r="X451" s="308"/>
      <c r="Y451" s="308"/>
    </row>
    <row r="452" spans="1:52" x14ac:dyDescent="0.2">
      <c r="A452" s="313"/>
      <c r="B452" s="313"/>
      <c r="C452" s="313"/>
      <c r="D452" s="313"/>
      <c r="E452" s="313"/>
      <c r="F452" s="313"/>
      <c r="G452" s="313"/>
      <c r="H452" s="313"/>
      <c r="I452" s="313"/>
      <c r="J452" s="313"/>
      <c r="K452" s="313"/>
      <c r="L452" s="390"/>
      <c r="M452" s="388" t="s">
        <v>64</v>
      </c>
      <c r="N452" s="341"/>
      <c r="O452" s="341"/>
      <c r="P452" s="341"/>
      <c r="Q452" s="341"/>
      <c r="R452" s="341"/>
      <c r="S452" s="342"/>
      <c r="T452" s="38" t="s">
        <v>63</v>
      </c>
      <c r="U452" s="307">
        <f>IFERROR(SUM(U449:U450),"0")</f>
        <v>160</v>
      </c>
      <c r="V452" s="307">
        <f>IFERROR(SUM(V449:V450),"0")</f>
        <v>166.44</v>
      </c>
      <c r="W452" s="38"/>
      <c r="X452" s="308"/>
      <c r="Y452" s="308"/>
    </row>
    <row r="453" spans="1:52" ht="14.25" customHeight="1" x14ac:dyDescent="0.25">
      <c r="A453" s="384" t="s">
        <v>66</v>
      </c>
      <c r="B453" s="313"/>
      <c r="C453" s="313"/>
      <c r="D453" s="313"/>
      <c r="E453" s="313"/>
      <c r="F453" s="313"/>
      <c r="G453" s="313"/>
      <c r="H453" s="313"/>
      <c r="I453" s="313"/>
      <c r="J453" s="313"/>
      <c r="K453" s="313"/>
      <c r="L453" s="313"/>
      <c r="M453" s="313"/>
      <c r="N453" s="313"/>
      <c r="O453" s="313"/>
      <c r="P453" s="313"/>
      <c r="Q453" s="313"/>
      <c r="R453" s="313"/>
      <c r="S453" s="313"/>
      <c r="T453" s="313"/>
      <c r="U453" s="313"/>
      <c r="V453" s="313"/>
      <c r="W453" s="313"/>
      <c r="X453" s="302"/>
      <c r="Y453" s="302"/>
    </row>
    <row r="454" spans="1:52" ht="27" customHeight="1" x14ac:dyDescent="0.25">
      <c r="A454" s="55" t="s">
        <v>586</v>
      </c>
      <c r="B454" s="55" t="s">
        <v>587</v>
      </c>
      <c r="C454" s="32">
        <v>4301051381</v>
      </c>
      <c r="D454" s="385">
        <v>4680115881068</v>
      </c>
      <c r="E454" s="329"/>
      <c r="F454" s="304">
        <v>1.3</v>
      </c>
      <c r="G454" s="33">
        <v>6</v>
      </c>
      <c r="H454" s="304">
        <v>7.8</v>
      </c>
      <c r="I454" s="304">
        <v>8.2799999999999994</v>
      </c>
      <c r="J454" s="33">
        <v>56</v>
      </c>
      <c r="K454" s="34" t="s">
        <v>62</v>
      </c>
      <c r="L454" s="33">
        <v>30</v>
      </c>
      <c r="M454" s="626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54" s="387"/>
      <c r="O454" s="387"/>
      <c r="P454" s="387"/>
      <c r="Q454" s="329"/>
      <c r="R454" s="35"/>
      <c r="S454" s="35"/>
      <c r="T454" s="36" t="s">
        <v>63</v>
      </c>
      <c r="U454" s="305">
        <v>0</v>
      </c>
      <c r="V454" s="306">
        <f>IFERROR(IF(U454="",0,CEILING((U454/$H454),1)*$H454),"")</f>
        <v>0</v>
      </c>
      <c r="W454" s="37" t="str">
        <f>IFERROR(IF(V454=0,"",ROUNDUP(V454/H454,0)*0.02175),"")</f>
        <v/>
      </c>
      <c r="X454" s="57"/>
      <c r="Y454" s="58"/>
      <c r="AC454" s="59"/>
      <c r="AZ454" s="296" t="s">
        <v>1</v>
      </c>
    </row>
    <row r="455" spans="1:52" ht="27" customHeight="1" x14ac:dyDescent="0.25">
      <c r="A455" s="55" t="s">
        <v>588</v>
      </c>
      <c r="B455" s="55" t="s">
        <v>589</v>
      </c>
      <c r="C455" s="32">
        <v>4301051382</v>
      </c>
      <c r="D455" s="385">
        <v>4680115881075</v>
      </c>
      <c r="E455" s="329"/>
      <c r="F455" s="304">
        <v>0.5</v>
      </c>
      <c r="G455" s="33">
        <v>6</v>
      </c>
      <c r="H455" s="304">
        <v>3</v>
      </c>
      <c r="I455" s="304">
        <v>3.2</v>
      </c>
      <c r="J455" s="33">
        <v>156</v>
      </c>
      <c r="K455" s="34" t="s">
        <v>62</v>
      </c>
      <c r="L455" s="33">
        <v>30</v>
      </c>
      <c r="M455" s="627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55" s="387"/>
      <c r="O455" s="387"/>
      <c r="P455" s="387"/>
      <c r="Q455" s="329"/>
      <c r="R455" s="35"/>
      <c r="S455" s="35"/>
      <c r="T455" s="36" t="s">
        <v>63</v>
      </c>
      <c r="U455" s="305">
        <v>0</v>
      </c>
      <c r="V455" s="306">
        <f>IFERROR(IF(U455="",0,CEILING((U455/$H455),1)*$H455),"")</f>
        <v>0</v>
      </c>
      <c r="W455" s="37" t="str">
        <f>IFERROR(IF(V455=0,"",ROUNDUP(V455/H455,0)*0.00753),"")</f>
        <v/>
      </c>
      <c r="X455" s="57"/>
      <c r="Y455" s="58"/>
      <c r="AC455" s="59"/>
      <c r="AZ455" s="297" t="s">
        <v>1</v>
      </c>
    </row>
    <row r="456" spans="1:52" x14ac:dyDescent="0.2">
      <c r="A456" s="389"/>
      <c r="B456" s="313"/>
      <c r="C456" s="313"/>
      <c r="D456" s="313"/>
      <c r="E456" s="313"/>
      <c r="F456" s="313"/>
      <c r="G456" s="313"/>
      <c r="H456" s="313"/>
      <c r="I456" s="313"/>
      <c r="J456" s="313"/>
      <c r="K456" s="313"/>
      <c r="L456" s="390"/>
      <c r="M456" s="388" t="s">
        <v>64</v>
      </c>
      <c r="N456" s="341"/>
      <c r="O456" s="341"/>
      <c r="P456" s="341"/>
      <c r="Q456" s="341"/>
      <c r="R456" s="341"/>
      <c r="S456" s="342"/>
      <c r="T456" s="38" t="s">
        <v>65</v>
      </c>
      <c r="U456" s="307">
        <f>IFERROR(U454/H454,"0")+IFERROR(U455/H455,"0")</f>
        <v>0</v>
      </c>
      <c r="V456" s="307">
        <f>IFERROR(V454/H454,"0")+IFERROR(V455/H455,"0")</f>
        <v>0</v>
      </c>
      <c r="W456" s="307">
        <f>IFERROR(IF(W454="",0,W454),"0")+IFERROR(IF(W455="",0,W455),"0")</f>
        <v>0</v>
      </c>
      <c r="X456" s="308"/>
      <c r="Y456" s="308"/>
    </row>
    <row r="457" spans="1:52" x14ac:dyDescent="0.2">
      <c r="A457" s="313"/>
      <c r="B457" s="313"/>
      <c r="C457" s="313"/>
      <c r="D457" s="313"/>
      <c r="E457" s="313"/>
      <c r="F457" s="313"/>
      <c r="G457" s="313"/>
      <c r="H457" s="313"/>
      <c r="I457" s="313"/>
      <c r="J457" s="313"/>
      <c r="K457" s="313"/>
      <c r="L457" s="390"/>
      <c r="M457" s="388" t="s">
        <v>64</v>
      </c>
      <c r="N457" s="341"/>
      <c r="O457" s="341"/>
      <c r="P457" s="341"/>
      <c r="Q457" s="341"/>
      <c r="R457" s="341"/>
      <c r="S457" s="342"/>
      <c r="T457" s="38" t="s">
        <v>63</v>
      </c>
      <c r="U457" s="307">
        <f>IFERROR(SUM(U454:U455),"0")</f>
        <v>0</v>
      </c>
      <c r="V457" s="307">
        <f>IFERROR(SUM(V454:V455),"0")</f>
        <v>0</v>
      </c>
      <c r="W457" s="38"/>
      <c r="X457" s="308"/>
      <c r="Y457" s="308"/>
    </row>
    <row r="458" spans="1:52" ht="16.5" customHeight="1" x14ac:dyDescent="0.25">
      <c r="A458" s="383" t="s">
        <v>590</v>
      </c>
      <c r="B458" s="313"/>
      <c r="C458" s="313"/>
      <c r="D458" s="313"/>
      <c r="E458" s="313"/>
      <c r="F458" s="313"/>
      <c r="G458" s="313"/>
      <c r="H458" s="313"/>
      <c r="I458" s="313"/>
      <c r="J458" s="313"/>
      <c r="K458" s="313"/>
      <c r="L458" s="313"/>
      <c r="M458" s="313"/>
      <c r="N458" s="313"/>
      <c r="O458" s="313"/>
      <c r="P458" s="313"/>
      <c r="Q458" s="313"/>
      <c r="R458" s="313"/>
      <c r="S458" s="313"/>
      <c r="T458" s="313"/>
      <c r="U458" s="313"/>
      <c r="V458" s="313"/>
      <c r="W458" s="313"/>
      <c r="X458" s="301"/>
      <c r="Y458" s="301"/>
    </row>
    <row r="459" spans="1:52" ht="14.25" customHeight="1" x14ac:dyDescent="0.25">
      <c r="A459" s="384" t="s">
        <v>66</v>
      </c>
      <c r="B459" s="313"/>
      <c r="C459" s="313"/>
      <c r="D459" s="313"/>
      <c r="E459" s="313"/>
      <c r="F459" s="313"/>
      <c r="G459" s="313"/>
      <c r="H459" s="313"/>
      <c r="I459" s="313"/>
      <c r="J459" s="313"/>
      <c r="K459" s="313"/>
      <c r="L459" s="313"/>
      <c r="M459" s="313"/>
      <c r="N459" s="313"/>
      <c r="O459" s="313"/>
      <c r="P459" s="313"/>
      <c r="Q459" s="313"/>
      <c r="R459" s="313"/>
      <c r="S459" s="313"/>
      <c r="T459" s="313"/>
      <c r="U459" s="313"/>
      <c r="V459" s="313"/>
      <c r="W459" s="313"/>
      <c r="X459" s="302"/>
      <c r="Y459" s="302"/>
    </row>
    <row r="460" spans="1:52" ht="16.5" customHeight="1" x14ac:dyDescent="0.25">
      <c r="A460" s="55" t="s">
        <v>591</v>
      </c>
      <c r="B460" s="55" t="s">
        <v>592</v>
      </c>
      <c r="C460" s="32">
        <v>4301051310</v>
      </c>
      <c r="D460" s="385">
        <v>4680115880870</v>
      </c>
      <c r="E460" s="329"/>
      <c r="F460" s="304">
        <v>1.3</v>
      </c>
      <c r="G460" s="33">
        <v>6</v>
      </c>
      <c r="H460" s="304">
        <v>7.8</v>
      </c>
      <c r="I460" s="304">
        <v>8.3640000000000008</v>
      </c>
      <c r="J460" s="33">
        <v>56</v>
      </c>
      <c r="K460" s="34" t="s">
        <v>123</v>
      </c>
      <c r="L460" s="33">
        <v>40</v>
      </c>
      <c r="M460" s="628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N460" s="387"/>
      <c r="O460" s="387"/>
      <c r="P460" s="387"/>
      <c r="Q460" s="329"/>
      <c r="R460" s="35"/>
      <c r="S460" s="35"/>
      <c r="T460" s="36" t="s">
        <v>63</v>
      </c>
      <c r="U460" s="305">
        <v>1500</v>
      </c>
      <c r="V460" s="306">
        <f>IFERROR(IF(U460="",0,CEILING((U460/$H460),1)*$H460),"")</f>
        <v>1505.3999999999999</v>
      </c>
      <c r="W460" s="37">
        <f>IFERROR(IF(V460=0,"",ROUNDUP(V460/H460,0)*0.02175),"")</f>
        <v>4.1977500000000001</v>
      </c>
      <c r="X460" s="57"/>
      <c r="Y460" s="58"/>
      <c r="AC460" s="59"/>
      <c r="AZ460" s="298" t="s">
        <v>1</v>
      </c>
    </row>
    <row r="461" spans="1:52" x14ac:dyDescent="0.2">
      <c r="A461" s="389"/>
      <c r="B461" s="313"/>
      <c r="C461" s="313"/>
      <c r="D461" s="313"/>
      <c r="E461" s="313"/>
      <c r="F461" s="313"/>
      <c r="G461" s="313"/>
      <c r="H461" s="313"/>
      <c r="I461" s="313"/>
      <c r="J461" s="313"/>
      <c r="K461" s="313"/>
      <c r="L461" s="390"/>
      <c r="M461" s="388" t="s">
        <v>64</v>
      </c>
      <c r="N461" s="341"/>
      <c r="O461" s="341"/>
      <c r="P461" s="341"/>
      <c r="Q461" s="341"/>
      <c r="R461" s="341"/>
      <c r="S461" s="342"/>
      <c r="T461" s="38" t="s">
        <v>65</v>
      </c>
      <c r="U461" s="307">
        <f>IFERROR(U460/H460,"0")</f>
        <v>192.30769230769232</v>
      </c>
      <c r="V461" s="307">
        <f>IFERROR(V460/H460,"0")</f>
        <v>193</v>
      </c>
      <c r="W461" s="307">
        <f>IFERROR(IF(W460="",0,W460),"0")</f>
        <v>4.1977500000000001</v>
      </c>
      <c r="X461" s="308"/>
      <c r="Y461" s="308"/>
    </row>
    <row r="462" spans="1:52" x14ac:dyDescent="0.2">
      <c r="A462" s="313"/>
      <c r="B462" s="313"/>
      <c r="C462" s="313"/>
      <c r="D462" s="313"/>
      <c r="E462" s="313"/>
      <c r="F462" s="313"/>
      <c r="G462" s="313"/>
      <c r="H462" s="313"/>
      <c r="I462" s="313"/>
      <c r="J462" s="313"/>
      <c r="K462" s="313"/>
      <c r="L462" s="390"/>
      <c r="M462" s="388" t="s">
        <v>64</v>
      </c>
      <c r="N462" s="341"/>
      <c r="O462" s="341"/>
      <c r="P462" s="341"/>
      <c r="Q462" s="341"/>
      <c r="R462" s="341"/>
      <c r="S462" s="342"/>
      <c r="T462" s="38" t="s">
        <v>63</v>
      </c>
      <c r="U462" s="307">
        <f>IFERROR(SUM(U460:U460),"0")</f>
        <v>1500</v>
      </c>
      <c r="V462" s="307">
        <f>IFERROR(SUM(V460:V460),"0")</f>
        <v>1505.3999999999999</v>
      </c>
      <c r="W462" s="38"/>
      <c r="X462" s="308"/>
      <c r="Y462" s="308"/>
    </row>
    <row r="463" spans="1:52" ht="15" customHeight="1" x14ac:dyDescent="0.2">
      <c r="A463" s="630"/>
      <c r="B463" s="313"/>
      <c r="C463" s="313"/>
      <c r="D463" s="313"/>
      <c r="E463" s="313"/>
      <c r="F463" s="313"/>
      <c r="G463" s="313"/>
      <c r="H463" s="313"/>
      <c r="I463" s="313"/>
      <c r="J463" s="313"/>
      <c r="K463" s="313"/>
      <c r="L463" s="324"/>
      <c r="M463" s="629" t="s">
        <v>593</v>
      </c>
      <c r="N463" s="315"/>
      <c r="O463" s="315"/>
      <c r="P463" s="315"/>
      <c r="Q463" s="315"/>
      <c r="R463" s="315"/>
      <c r="S463" s="316"/>
      <c r="T463" s="38" t="s">
        <v>63</v>
      </c>
      <c r="U463" s="307">
        <f>IFERROR(U24+U33+U38+U42+U49+U56+U76+U86+U98+U108+U115+U123+U131+U143+U149+U154+U161+U181+U186+U205+U209+U216+U225+U232+U238+U244+U255+U260+U266+U272+U276+U280+U293+U298+U302+U306+U310+U318+U323+U330+U334+U341+U357+U364+U368+U374+U378+U384+U394+U398+U402+U416+U421+U430+U435+U442+U447+U452+U457+U462,"0")</f>
        <v>9375</v>
      </c>
      <c r="V463" s="307">
        <f>IFERROR(V24+V33+V38+V42+V49+V56+V76+V86+V98+V108+V115+V123+V131+V143+V149+V154+V161+V181+V186+V205+V209+V216+V225+V232+V238+V244+V255+V260+V266+V272+V276+V280+V293+V298+V302+V306+V310+V318+V323+V330+V334+V341+V357+V364+V368+V374+V378+V384+V394+V398+V402+V416+V421+V430+V435+V442+V447+V452+V457+V462,"0")</f>
        <v>9513.880000000001</v>
      </c>
      <c r="W463" s="38"/>
      <c r="X463" s="308"/>
      <c r="Y463" s="308"/>
    </row>
    <row r="464" spans="1:52" x14ac:dyDescent="0.2">
      <c r="A464" s="313"/>
      <c r="B464" s="313"/>
      <c r="C464" s="313"/>
      <c r="D464" s="313"/>
      <c r="E464" s="313"/>
      <c r="F464" s="313"/>
      <c r="G464" s="313"/>
      <c r="H464" s="313"/>
      <c r="I464" s="313"/>
      <c r="J464" s="313"/>
      <c r="K464" s="313"/>
      <c r="L464" s="324"/>
      <c r="M464" s="629" t="s">
        <v>594</v>
      </c>
      <c r="N464" s="315"/>
      <c r="O464" s="315"/>
      <c r="P464" s="315"/>
      <c r="Q464" s="315"/>
      <c r="R464" s="315"/>
      <c r="S464" s="316"/>
      <c r="T464" s="38" t="s">
        <v>63</v>
      </c>
      <c r="U464" s="307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46*I46/H46,"0")+IFERROR(U47*I47/H47,"0")+IFERROR(U52*I52/H52,"0")+IFERROR(U53*I53/H53,"0")+IFERROR(U54*I54/H54,"0")+IFERROR(U59*I59/H59,"0")+IFERROR(U60*I60/H60,"0")+IFERROR(U61*I61/H61,"0")+IFERROR(U62*I62/H62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78*I78/H78,"0")+IFERROR(U79*I79/H79,"0")+IFERROR(U80*I80/H80,"0")+IFERROR(U81*I81/H81,"0")+IFERROR(U82*I82/H82,"0")+IFERROR(U83*I83/H83,"0")+IFERROR(U84*I84/H84,"0")+IFERROR(U88*I88/H88,"0")+IFERROR(U89*I89/H89,"0")+IFERROR(U90*I90/H90,"0")+IFERROR(U91*I91/H91,"0")+IFERROR(U92*I92/H92,"0")+IFERROR(U93*I93/H93,"0")+IFERROR(U94*I94/H94,"0")+IFERROR(U95*I95/H95,"0")+IFERROR(U96*I96/H96,"0")+IFERROR(U100*I100/H100,"0")+IFERROR(U101*I101/H101,"0")+IFERROR(U102*I102/H102,"0")+IFERROR(U103*I103/H103,"0")+IFERROR(U104*I104/H104,"0")+IFERROR(U105*I105/H105,"0")+IFERROR(U106*I106/H106,"0")+IFERROR(U110*I110/H110,"0")+IFERROR(U111*I111/H111,"0")+IFERROR(U112*I112/H112,"0")+IFERROR(U113*I113/H113,"0")+IFERROR(U118*I118/H118,"0")+IFERROR(U119*I119/H119,"0")+IFERROR(U120*I120/H120,"0")+IFERROR(U121*I121/H121,"0")+IFERROR(U127*I127/H127,"0")+IFERROR(U128*I128/H128,"0")+IFERROR(U129*I129/H129,"0")+IFERROR(U134*I134/H134,"0")+IFERROR(U135*I135/H135,"0")+IFERROR(U136*I136/H136,"0")+IFERROR(U137*I137/H137,"0")+IFERROR(U138*I138/H138,"0")+IFERROR(U139*I139/H139,"0")+IFERROR(U140*I140/H140,"0")+IFERROR(U141*I141/H141,"0")+IFERROR(U146*I146/H146,"0")+IFERROR(U147*I147/H147,"0")+IFERROR(U151*I151/H151,"0")+IFERROR(U152*I152/H152,"0")+IFERROR(U156*I156/H156,"0")+IFERROR(U157*I157/H157,"0")+IFERROR(U158*I158/H158,"0")+IFERROR(U159*I159/H159,"0")+IFERROR(U163*I163/H163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183*I183/H183,"0")+IFERROR(U184*I184/H184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207*I207/H207,"0")+IFERROR(U211*I211/H211,"0")+IFERROR(U212*I212/H212,"0")+IFERROR(U213*I213/H213,"0")+IFERROR(U214*I214/H214,"0")+IFERROR(U218*I218/H218,"0")+IFERROR(U219*I219/H219,"0")+IFERROR(U220*I220/H220,"0")+IFERROR(U221*I221/H221,"0")+IFERROR(U222*I222/H222,"0")+IFERROR(U223*I223/H223,"0")+IFERROR(U227*I227/H227,"0")+IFERROR(U228*I228/H228,"0")+IFERROR(U229*I229/H229,"0")+IFERROR(U230*I230/H230,"0")+IFERROR(U234*I234/H234,"0")+IFERROR(U235*I235/H235,"0")+IFERROR(U236*I236/H236,"0")+IFERROR(U240*I240/H240,"0")+IFERROR(U241*I241/H241,"0")+IFERROR(U242*I242/H242,"0")+IFERROR(U247*I247/H247,"0")+IFERROR(U248*I248/H248,"0")+IFERROR(U249*I249/H249,"0")+IFERROR(U250*I250/H250,"0")+IFERROR(U251*I251/H251,"0")+IFERROR(U252*I252/H252,"0")+IFERROR(U253*I253/H253,"0")+IFERROR(U257*I257/H257,"0")+IFERROR(U258*I258/H258,"0")+IFERROR(U263*I263/H263,"0")+IFERROR(U264*I264/H264,"0")+IFERROR(U268*I268/H268,"0")+IFERROR(U269*I269/H269,"0")+IFERROR(U270*I270/H270,"0")+IFERROR(U274*I274/H274,"0")+IFERROR(U278*I278/H278,"0")+IFERROR(U284*I284/H284,"0")+IFERROR(U285*I285/H285,"0")+IFERROR(U286*I286/H286,"0")+IFERROR(U287*I287/H287,"0")+IFERROR(U288*I288/H288,"0")+IFERROR(U289*I289/H289,"0")+IFERROR(U290*I290/H290,"0")+IFERROR(U291*I291/H291,"0")+IFERROR(U295*I295/H295,"0")+IFERROR(U296*I296/H296,"0")+IFERROR(U300*I300/H300,"0")+IFERROR(U304*I304/H304,"0")+IFERROR(U308*I308/H308,"0")+IFERROR(U313*I313/H313,"0")+IFERROR(U314*I314/H314,"0")+IFERROR(U315*I315/H315,"0")+IFERROR(U316*I316/H316,"0")+IFERROR(U320*I320/H320,"0")+IFERROR(U321*I321/H321,"0")+IFERROR(U325*I325/H325,"0")+IFERROR(U326*I326/H326,"0")+IFERROR(U327*I327/H327,"0")+IFERROR(U328*I328/H328,"0")+IFERROR(U332*I332/H332,"0")+IFERROR(U338*I338/H338,"0")+IFERROR(U339*I339/H339,"0")+IFERROR(U343*I343/H343,"0")+IFERROR(U344*I344/H344,"0")+IFERROR(U345*I345/H345,"0")+IFERROR(U346*I346/H346,"0")+IFERROR(U347*I347/H347,"0")+IFERROR(U348*I348/H348,"0")+IFERROR(U349*I349/H349,"0")+IFERROR(U350*I350/H350,"0")+IFERROR(U351*I351/H351,"0")+IFERROR(U352*I352/H352,"0")+IFERROR(U353*I353/H353,"0")+IFERROR(U354*I354/H354,"0")+IFERROR(U355*I355/H355,"0")+IFERROR(U359*I359/H359,"0")+IFERROR(U360*I360/H360,"0")+IFERROR(U361*I361/H361,"0")+IFERROR(U362*I362/H362,"0")+IFERROR(U366*I366/H366,"0")+IFERROR(U370*I370/H370,"0")+IFERROR(U371*I371/H371,"0")+IFERROR(U372*I372/H372,"0")+IFERROR(U376*I376/H376,"0")+IFERROR(U381*I381/H381,"0")+IFERROR(U382*I382/H382,"0")+IFERROR(U386*I386/H386,"0")+IFERROR(U387*I387/H387,"0")+IFERROR(U388*I388/H388,"0")+IFERROR(U389*I389/H389,"0")+IFERROR(U390*I390/H390,"0")+IFERROR(U391*I391/H391,"0")+IFERROR(U392*I392/H392,"0")+IFERROR(U396*I396/H396,"0")+IFERROR(U400*I400/H400,"0")+IFERROR(U406*I406/H406,"0")+IFERROR(U407*I407/H407,"0")+IFERROR(U408*I408/H408,"0")+IFERROR(U409*I409/H409,"0")+IFERROR(U410*I410/H410,"0")+IFERROR(U411*I411/H411,"0")+IFERROR(U412*I412/H412,"0")+IFERROR(U413*I413/H413,"0")+IFERROR(U414*I414/H414,"0")+IFERROR(U418*I418/H418,"0")+IFERROR(U419*I419/H419,"0")+IFERROR(U423*I423/H423,"0")+IFERROR(U424*I424/H424,"0")+IFERROR(U425*I425/H425,"0")+IFERROR(U426*I426/H426,"0")+IFERROR(U427*I427/H427,"0")+IFERROR(U428*I428/H428,"0")+IFERROR(U432*I432/H432,"0")+IFERROR(U433*I433/H433,"0")+IFERROR(U439*I439/H439,"0")+IFERROR(U440*I440/H440,"0")+IFERROR(U444*I444/H444,"0")+IFERROR(U445*I445/H445,"0")+IFERROR(U449*I449/H449,"0")+IFERROR(U450*I450/H450,"0")+IFERROR(U454*I454/H454,"0")+IFERROR(U455*I455/H455,"0")+IFERROR(U460*I460/H460,"0"),"0")</f>
        <v>9951.4675633761417</v>
      </c>
      <c r="V464" s="307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46*I46/H46,"0")+IFERROR(V47*I47/H47,"0")+IFERROR(V52*I52/H52,"0")+IFERROR(V53*I53/H53,"0")+IFERROR(V54*I54/H54,"0")+IFERROR(V59*I59/H59,"0")+IFERROR(V60*I60/H60,"0")+IFERROR(V61*I61/H61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78*I78/H78,"0")+IFERROR(V79*I79/H79,"0")+IFERROR(V80*I80/H80,"0")+IFERROR(V81*I81/H81,"0")+IFERROR(V82*I82/H82,"0")+IFERROR(V83*I83/H83,"0")+IFERROR(V84*I84/H84,"0")+IFERROR(V88*I88/H88,"0")+IFERROR(V89*I89/H89,"0")+IFERROR(V90*I90/H90,"0")+IFERROR(V91*I91/H91,"0")+IFERROR(V92*I92/H92,"0")+IFERROR(V93*I93/H93,"0")+IFERROR(V94*I94/H94,"0")+IFERROR(V95*I95/H95,"0")+IFERROR(V96*I96/H96,"0")+IFERROR(V100*I100/H100,"0")+IFERROR(V101*I101/H101,"0")+IFERROR(V102*I102/H102,"0")+IFERROR(V103*I103/H103,"0")+IFERROR(V104*I104/H104,"0")+IFERROR(V105*I105/H105,"0")+IFERROR(V106*I106/H106,"0")+IFERROR(V110*I110/H110,"0")+IFERROR(V111*I111/H111,"0")+IFERROR(V112*I112/H112,"0")+IFERROR(V113*I113/H113,"0")+IFERROR(V118*I118/H118,"0")+IFERROR(V119*I119/H119,"0")+IFERROR(V120*I120/H120,"0")+IFERROR(V121*I121/H121,"0")+IFERROR(V127*I127/H127,"0")+IFERROR(V128*I128/H128,"0")+IFERROR(V129*I129/H129,"0")+IFERROR(V134*I134/H134,"0")+IFERROR(V135*I135/H135,"0")+IFERROR(V136*I136/H136,"0")+IFERROR(V137*I137/H137,"0")+IFERROR(V138*I138/H138,"0")+IFERROR(V139*I139/H139,"0")+IFERROR(V140*I140/H140,"0")+IFERROR(V141*I141/H141,"0")+IFERROR(V146*I146/H146,"0")+IFERROR(V147*I147/H147,"0")+IFERROR(V151*I151/H151,"0")+IFERROR(V152*I152/H152,"0")+IFERROR(V156*I156/H156,"0")+IFERROR(V157*I157/H157,"0")+IFERROR(V158*I158/H158,"0")+IFERROR(V159*I159/H159,"0")+IFERROR(V163*I163/H163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183*I183/H183,"0")+IFERROR(V184*I184/H184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207*I207/H207,"0")+IFERROR(V211*I211/H211,"0")+IFERROR(V212*I212/H212,"0")+IFERROR(V213*I213/H213,"0")+IFERROR(V214*I214/H214,"0")+IFERROR(V218*I218/H218,"0")+IFERROR(V219*I219/H219,"0")+IFERROR(V220*I220/H220,"0")+IFERROR(V221*I221/H221,"0")+IFERROR(V222*I222/H222,"0")+IFERROR(V223*I223/H223,"0")+IFERROR(V227*I227/H227,"0")+IFERROR(V228*I228/H228,"0")+IFERROR(V229*I229/H229,"0")+IFERROR(V230*I230/H230,"0")+IFERROR(V234*I234/H234,"0")+IFERROR(V235*I235/H235,"0")+IFERROR(V236*I236/H236,"0")+IFERROR(V240*I240/H240,"0")+IFERROR(V241*I241/H241,"0")+IFERROR(V242*I242/H242,"0")+IFERROR(V247*I247/H247,"0")+IFERROR(V248*I248/H248,"0")+IFERROR(V249*I249/H249,"0")+IFERROR(V250*I250/H250,"0")+IFERROR(V251*I251/H251,"0")+IFERROR(V252*I252/H252,"0")+IFERROR(V253*I253/H253,"0")+IFERROR(V257*I257/H257,"0")+IFERROR(V258*I258/H258,"0")+IFERROR(V263*I263/H263,"0")+IFERROR(V264*I264/H264,"0")+IFERROR(V268*I268/H268,"0")+IFERROR(V269*I269/H269,"0")+IFERROR(V270*I270/H270,"0")+IFERROR(V274*I274/H274,"0")+IFERROR(V278*I278/H278,"0")+IFERROR(V284*I284/H284,"0")+IFERROR(V285*I285/H285,"0")+IFERROR(V286*I286/H286,"0")+IFERROR(V287*I287/H287,"0")+IFERROR(V288*I288/H288,"0")+IFERROR(V289*I289/H289,"0")+IFERROR(V290*I290/H290,"0")+IFERROR(V291*I291/H291,"0")+IFERROR(V295*I295/H295,"0")+IFERROR(V296*I296/H296,"0")+IFERROR(V300*I300/H300,"0")+IFERROR(V304*I304/H304,"0")+IFERROR(V308*I308/H308,"0")+IFERROR(V313*I313/H313,"0")+IFERROR(V314*I314/H314,"0")+IFERROR(V315*I315/H315,"0")+IFERROR(V316*I316/H316,"0")+IFERROR(V320*I320/H320,"0")+IFERROR(V321*I321/H321,"0")+IFERROR(V325*I325/H325,"0")+IFERROR(V326*I326/H326,"0")+IFERROR(V327*I327/H327,"0")+IFERROR(V328*I328/H328,"0")+IFERROR(V332*I332/H332,"0")+IFERROR(V338*I338/H338,"0")+IFERROR(V339*I339/H339,"0")+IFERROR(V343*I343/H343,"0")+IFERROR(V344*I344/H344,"0")+IFERROR(V345*I345/H345,"0")+IFERROR(V346*I346/H346,"0")+IFERROR(V347*I347/H347,"0")+IFERROR(V348*I348/H348,"0")+IFERROR(V349*I349/H349,"0")+IFERROR(V350*I350/H350,"0")+IFERROR(V351*I351/H351,"0")+IFERROR(V352*I352/H352,"0")+IFERROR(V353*I353/H353,"0")+IFERROR(V354*I354/H354,"0")+IFERROR(V355*I355/H355,"0")+IFERROR(V359*I359/H359,"0")+IFERROR(V360*I360/H360,"0")+IFERROR(V361*I361/H361,"0")+IFERROR(V362*I362/H362,"0")+IFERROR(V366*I366/H366,"0")+IFERROR(V370*I370/H370,"0")+IFERROR(V371*I371/H371,"0")+IFERROR(V372*I372/H372,"0")+IFERROR(V376*I376/H376,"0")+IFERROR(V381*I381/H381,"0")+IFERROR(V382*I382/H382,"0")+IFERROR(V386*I386/H386,"0")+IFERROR(V387*I387/H387,"0")+IFERROR(V388*I388/H388,"0")+IFERROR(V389*I389/H389,"0")+IFERROR(V390*I390/H390,"0")+IFERROR(V391*I391/H391,"0")+IFERROR(V392*I392/H392,"0")+IFERROR(V396*I396/H396,"0")+IFERROR(V400*I400/H400,"0")+IFERROR(V406*I406/H406,"0")+IFERROR(V407*I407/H407,"0")+IFERROR(V408*I408/H408,"0")+IFERROR(V409*I409/H409,"0")+IFERROR(V410*I410/H410,"0")+IFERROR(V411*I411/H411,"0")+IFERROR(V412*I412/H412,"0")+IFERROR(V413*I413/H413,"0")+IFERROR(V414*I414/H414,"0")+IFERROR(V418*I418/H418,"0")+IFERROR(V419*I419/H419,"0")+IFERROR(V423*I423/H423,"0")+IFERROR(V424*I424/H424,"0")+IFERROR(V425*I425/H425,"0")+IFERROR(V426*I426/H426,"0")+IFERROR(V427*I427/H427,"0")+IFERROR(V428*I428/H428,"0")+IFERROR(V432*I432/H432,"0")+IFERROR(V433*I433/H433,"0")+IFERROR(V439*I439/H439,"0")+IFERROR(V440*I440/H440,"0")+IFERROR(V444*I444/H444,"0")+IFERROR(V445*I445/H445,"0")+IFERROR(V449*I449/H449,"0")+IFERROR(V450*I450/H450,"0")+IFERROR(V454*I454/H454,"0")+IFERROR(V455*I455/H455,"0")+IFERROR(V460*I460/H460,"0"),"0")</f>
        <v>10098.778</v>
      </c>
      <c r="W464" s="38"/>
      <c r="X464" s="308"/>
      <c r="Y464" s="308"/>
    </row>
    <row r="465" spans="1:28" x14ac:dyDescent="0.2">
      <c r="A465" s="313"/>
      <c r="B465" s="313"/>
      <c r="C465" s="313"/>
      <c r="D465" s="313"/>
      <c r="E465" s="313"/>
      <c r="F465" s="313"/>
      <c r="G465" s="313"/>
      <c r="H465" s="313"/>
      <c r="I465" s="313"/>
      <c r="J465" s="313"/>
      <c r="K465" s="313"/>
      <c r="L465" s="324"/>
      <c r="M465" s="629" t="s">
        <v>595</v>
      </c>
      <c r="N465" s="315"/>
      <c r="O465" s="315"/>
      <c r="P465" s="315"/>
      <c r="Q465" s="315"/>
      <c r="R465" s="315"/>
      <c r="S465" s="316"/>
      <c r="T465" s="38" t="s">
        <v>596</v>
      </c>
      <c r="U465" s="39">
        <f>ROUNDUP(IFERROR(SUMPRODUCT(1/J22:J22*(U22:U22/H22:H22)),"0")+IFERROR(SUMPRODUCT(1/J26:J31*(U26:U31/H26:H31)),"0")+IFERROR(SUMPRODUCT(1/J35:J36*(U35:U36/H35:H36)),"0")+IFERROR(SUMPRODUCT(1/J40:J40*(U40:U40/H40:H40)),"0")+IFERROR(SUMPRODUCT(1/J46:J47*(U46:U47/H46:H47)),"0")+IFERROR(SUMPRODUCT(1/J52:J54*(U52:U54/H52:H54)),"0")+IFERROR(SUMPRODUCT(1/J59:J74*(U59:U74/H59:H74)),"0")+IFERROR(SUMPRODUCT(1/J78:J84*(U78:U84/H78:H84)),"0")+IFERROR(SUMPRODUCT(1/J88:J96*(U88:U96/H88:H96)),"0")+IFERROR(SUMPRODUCT(1/J100:J106*(U100:U106/H100:H106)),"0")+IFERROR(SUMPRODUCT(1/J110:J113*(U110:U113/H110:H113)),"0")+IFERROR(SUMPRODUCT(1/J118:J121*(U118:U121/H118:H121)),"0")+IFERROR(SUMPRODUCT(1/J127:J129*(U127:U129/H127:H129)),"0")+IFERROR(SUMPRODUCT(1/J134:J141*(U134:U141/H134:H141)),"0")+IFERROR(SUMPRODUCT(1/J146:J147*(U146:U147/H146:H147)),"0")+IFERROR(SUMPRODUCT(1/J151:J152*(U151:U152/H151:H152)),"0")+IFERROR(SUMPRODUCT(1/J156:J159*(U156:U159/H156:H159)),"0")+IFERROR(SUMPRODUCT(1/J163:J179*(U163:U179/H163:H179)),"0")+IFERROR(SUMPRODUCT(1/J183:J184*(U183:U184/H183:H184)),"0")+IFERROR(SUMPRODUCT(1/J189:J203*(U189:U203/H189:H203)),"0")+IFERROR(SUMPRODUCT(1/J207:J207*(U207:U207/H207:H207)),"0")+IFERROR(SUMPRODUCT(1/J211:J214*(U211:U214/H211:H214)),"0")+IFERROR(SUMPRODUCT(1/J218:J223*(U218:U223/H218:H223)),"0")+IFERROR(SUMPRODUCT(1/J227:J230*(U227:U230/H227:H230)),"0")+IFERROR(SUMPRODUCT(1/J234:J236*(U234:U236/H234:H236)),"0")+IFERROR(SUMPRODUCT(1/J240:J242*(U240:U242/H240:H242)),"0")+IFERROR(SUMPRODUCT(1/J247:J253*(U247:U253/H247:H253)),"0")+IFERROR(SUMPRODUCT(1/J257:J258*(U257:U258/H257:H258)),"0")+IFERROR(SUMPRODUCT(1/J263:J264*(U263:U264/H263:H264)),"0")+IFERROR(SUMPRODUCT(1/J268:J270*(U268:U270/H268:H270)),"0")+IFERROR(SUMPRODUCT(1/J274:J274*(U274:U274/H274:H274)),"0")+IFERROR(SUMPRODUCT(1/J278:J278*(U278:U278/H278:H278)),"0")+IFERROR(SUMPRODUCT(1/J284:J291*(U284:U291/H284:H291)),"0")+IFERROR(SUMPRODUCT(1/J295:J296*(U295:U296/H295:H296)),"0")+IFERROR(SUMPRODUCT(1/J300:J300*(U300:U300/H300:H300)),"0")+IFERROR(SUMPRODUCT(1/J304:J304*(U304:U304/H304:H304)),"0")+IFERROR(SUMPRODUCT(1/J308:J308*(U308:U308/H308:H308)),"0")+IFERROR(SUMPRODUCT(1/J313:J316*(U313:U316/H313:H316)),"0")+IFERROR(SUMPRODUCT(1/J320:J321*(U320:U321/H320:H321)),"0")+IFERROR(SUMPRODUCT(1/J325:J328*(U325:U328/H325:H328)),"0")+IFERROR(SUMPRODUCT(1/J332:J332*(U332:U332/H332:H332)),"0")+IFERROR(SUMPRODUCT(1/J338:J339*(U338:U339/H338:H339)),"0")+IFERROR(SUMPRODUCT(1/J343:J355*(U343:U355/H343:H355)),"0")+IFERROR(SUMPRODUCT(1/J359:J362*(U359:U362/H359:H362)),"0")+IFERROR(SUMPRODUCT(1/J366:J366*(U366:U366/H366:H366)),"0")+IFERROR(SUMPRODUCT(1/J370:J372*(U370:U372/H370:H372)),"0")+IFERROR(SUMPRODUCT(1/J376:J376*(U376:U376/H376:H376)),"0")+IFERROR(SUMPRODUCT(1/J381:J382*(U381:U382/H381:H382)),"0")+IFERROR(SUMPRODUCT(1/J386:J392*(U386:U392/H386:H392)),"0")+IFERROR(SUMPRODUCT(1/J396:J396*(U396:U396/H396:H396)),"0")+IFERROR(SUMPRODUCT(1/J400:J400*(U400:U400/H400:H400)),"0")+IFERROR(SUMPRODUCT(1/J406:J414*(U406:U414/H406:H414)),"0")+IFERROR(SUMPRODUCT(1/J418:J419*(U418:U419/H418:H419)),"0")+IFERROR(SUMPRODUCT(1/J423:J428*(U423:U428/H423:H428)),"0")+IFERROR(SUMPRODUCT(1/J432:J433*(U432:U433/H432:H433)),"0")+IFERROR(SUMPRODUCT(1/J439:J440*(U439:U440/H439:H440)),"0")+IFERROR(SUMPRODUCT(1/J444:J445*(U444:U445/H444:H445)),"0")+IFERROR(SUMPRODUCT(1/J449:J450*(U449:U450/H449:H450)),"0")+IFERROR(SUMPRODUCT(1/J454:J455*(U454:U455/H454:H455)),"0")+IFERROR(SUMPRODUCT(1/J460:J460*(U460:U460/H460:H460)),"0"),0)</f>
        <v>18</v>
      </c>
      <c r="V465" s="39">
        <f>ROUNDUP(IFERROR(SUMPRODUCT(1/J22:J22*(V22:V22/H22:H22)),"0")+IFERROR(SUMPRODUCT(1/J26:J31*(V26:V31/H26:H31)),"0")+IFERROR(SUMPRODUCT(1/J35:J36*(V35:V36/H35:H36)),"0")+IFERROR(SUMPRODUCT(1/J40:J40*(V40:V40/H40:H40)),"0")+IFERROR(SUMPRODUCT(1/J46:J47*(V46:V47/H46:H47)),"0")+IFERROR(SUMPRODUCT(1/J52:J54*(V52:V54/H52:H54)),"0")+IFERROR(SUMPRODUCT(1/J59:J74*(V59:V74/H59:H74)),"0")+IFERROR(SUMPRODUCT(1/J78:J84*(V78:V84/H78:H84)),"0")+IFERROR(SUMPRODUCT(1/J88:J96*(V88:V96/H88:H96)),"0")+IFERROR(SUMPRODUCT(1/J100:J106*(V100:V106/H100:H106)),"0")+IFERROR(SUMPRODUCT(1/J110:J113*(V110:V113/H110:H113)),"0")+IFERROR(SUMPRODUCT(1/J118:J121*(V118:V121/H118:H121)),"0")+IFERROR(SUMPRODUCT(1/J127:J129*(V127:V129/H127:H129)),"0")+IFERROR(SUMPRODUCT(1/J134:J141*(V134:V141/H134:H141)),"0")+IFERROR(SUMPRODUCT(1/J146:J147*(V146:V147/H146:H147)),"0")+IFERROR(SUMPRODUCT(1/J151:J152*(V151:V152/H151:H152)),"0")+IFERROR(SUMPRODUCT(1/J156:J159*(V156:V159/H156:H159)),"0")+IFERROR(SUMPRODUCT(1/J163:J179*(V163:V179/H163:H179)),"0")+IFERROR(SUMPRODUCT(1/J183:J184*(V183:V184/H183:H184)),"0")+IFERROR(SUMPRODUCT(1/J189:J203*(V189:V203/H189:H203)),"0")+IFERROR(SUMPRODUCT(1/J207:J207*(V207:V207/H207:H207)),"0")+IFERROR(SUMPRODUCT(1/J211:J214*(V211:V214/H211:H214)),"0")+IFERROR(SUMPRODUCT(1/J218:J223*(V218:V223/H218:H223)),"0")+IFERROR(SUMPRODUCT(1/J227:J230*(V227:V230/H227:H230)),"0")+IFERROR(SUMPRODUCT(1/J234:J236*(V234:V236/H234:H236)),"0")+IFERROR(SUMPRODUCT(1/J240:J242*(V240:V242/H240:H242)),"0")+IFERROR(SUMPRODUCT(1/J247:J253*(V247:V253/H247:H253)),"0")+IFERROR(SUMPRODUCT(1/J257:J258*(V257:V258/H257:H258)),"0")+IFERROR(SUMPRODUCT(1/J263:J264*(V263:V264/H263:H264)),"0")+IFERROR(SUMPRODUCT(1/J268:J270*(V268:V270/H268:H270)),"0")+IFERROR(SUMPRODUCT(1/J274:J274*(V274:V274/H274:H274)),"0")+IFERROR(SUMPRODUCT(1/J278:J278*(V278:V278/H278:H278)),"0")+IFERROR(SUMPRODUCT(1/J284:J291*(V284:V291/H284:H291)),"0")+IFERROR(SUMPRODUCT(1/J295:J296*(V295:V296/H295:H296)),"0")+IFERROR(SUMPRODUCT(1/J300:J300*(V300:V300/H300:H300)),"0")+IFERROR(SUMPRODUCT(1/J304:J304*(V304:V304/H304:H304)),"0")+IFERROR(SUMPRODUCT(1/J308:J308*(V308:V308/H308:H308)),"0")+IFERROR(SUMPRODUCT(1/J313:J316*(V313:V316/H313:H316)),"0")+IFERROR(SUMPRODUCT(1/J320:J321*(V320:V321/H320:H321)),"0")+IFERROR(SUMPRODUCT(1/J325:J328*(V325:V328/H325:H328)),"0")+IFERROR(SUMPRODUCT(1/J332:J332*(V332:V332/H332:H332)),"0")+IFERROR(SUMPRODUCT(1/J338:J339*(V338:V339/H338:H339)),"0")+IFERROR(SUMPRODUCT(1/J343:J355*(V343:V355/H343:H355)),"0")+IFERROR(SUMPRODUCT(1/J359:J362*(V359:V362/H359:H362)),"0")+IFERROR(SUMPRODUCT(1/J366:J366*(V366:V366/H366:H366)),"0")+IFERROR(SUMPRODUCT(1/J370:J372*(V370:V372/H370:H372)),"0")+IFERROR(SUMPRODUCT(1/J376:J376*(V376:V376/H376:H376)),"0")+IFERROR(SUMPRODUCT(1/J381:J382*(V381:V382/H381:H382)),"0")+IFERROR(SUMPRODUCT(1/J386:J392*(V386:V392/H386:H392)),"0")+IFERROR(SUMPRODUCT(1/J396:J396*(V396:V396/H396:H396)),"0")+IFERROR(SUMPRODUCT(1/J400:J400*(V400:V400/H400:H400)),"0")+IFERROR(SUMPRODUCT(1/J406:J414*(V406:V414/H406:H414)),"0")+IFERROR(SUMPRODUCT(1/J418:J419*(V418:V419/H418:H419)),"0")+IFERROR(SUMPRODUCT(1/J423:J428*(V423:V428/H423:H428)),"0")+IFERROR(SUMPRODUCT(1/J432:J433*(V432:V433/H432:H433)),"0")+IFERROR(SUMPRODUCT(1/J439:J440*(V439:V440/H439:H440)),"0")+IFERROR(SUMPRODUCT(1/J444:J445*(V444:V445/H444:H445)),"0")+IFERROR(SUMPRODUCT(1/J449:J450*(V449:V450/H449:H450)),"0")+IFERROR(SUMPRODUCT(1/J454:J455*(V454:V455/H454:H455)),"0")+IFERROR(SUMPRODUCT(1/J460:J460*(V460:V460/H460:H460)),"0"),0)</f>
        <v>18</v>
      </c>
      <c r="W465" s="38"/>
      <c r="X465" s="308"/>
      <c r="Y465" s="308"/>
    </row>
    <row r="466" spans="1:28" x14ac:dyDescent="0.2">
      <c r="A466" s="313"/>
      <c r="B466" s="313"/>
      <c r="C466" s="313"/>
      <c r="D466" s="313"/>
      <c r="E466" s="313"/>
      <c r="F466" s="313"/>
      <c r="G466" s="313"/>
      <c r="H466" s="313"/>
      <c r="I466" s="313"/>
      <c r="J466" s="313"/>
      <c r="K466" s="313"/>
      <c r="L466" s="324"/>
      <c r="M466" s="629" t="s">
        <v>597</v>
      </c>
      <c r="N466" s="315"/>
      <c r="O466" s="315"/>
      <c r="P466" s="315"/>
      <c r="Q466" s="315"/>
      <c r="R466" s="315"/>
      <c r="S466" s="316"/>
      <c r="T466" s="38" t="s">
        <v>63</v>
      </c>
      <c r="U466" s="307">
        <f>GrossWeightTotal+PalletQtyTotal*25</f>
        <v>10401.467563376142</v>
      </c>
      <c r="V466" s="307">
        <f>GrossWeightTotalR+PalletQtyTotalR*25</f>
        <v>10548.778</v>
      </c>
      <c r="W466" s="38"/>
      <c r="X466" s="308"/>
      <c r="Y466" s="308"/>
    </row>
    <row r="467" spans="1:28" x14ac:dyDescent="0.2">
      <c r="A467" s="313"/>
      <c r="B467" s="313"/>
      <c r="C467" s="313"/>
      <c r="D467" s="313"/>
      <c r="E467" s="313"/>
      <c r="F467" s="313"/>
      <c r="G467" s="313"/>
      <c r="H467" s="313"/>
      <c r="I467" s="313"/>
      <c r="J467" s="313"/>
      <c r="K467" s="313"/>
      <c r="L467" s="324"/>
      <c r="M467" s="629" t="s">
        <v>598</v>
      </c>
      <c r="N467" s="315"/>
      <c r="O467" s="315"/>
      <c r="P467" s="315"/>
      <c r="Q467" s="315"/>
      <c r="R467" s="315"/>
      <c r="S467" s="316"/>
      <c r="T467" s="38" t="s">
        <v>596</v>
      </c>
      <c r="U467" s="307">
        <f>IFERROR(U23+U32+U37+U41+U48+U55+U75+U85+U97+U107+U114+U122+U130+U142+U148+U153+U160+U180+U185+U204+U208+U215+U224+U231+U237+U243+U254+U259+U265+U271+U275+U279+U292+U297+U301+U305+U309+U317+U322+U329+U333+U340+U356+U363+U367+U373+U377+U383+U393+U397+U401+U415+U420+U429+U434+U441+U446+U451+U456+U461,"0")</f>
        <v>1683.896824154154</v>
      </c>
      <c r="V467" s="307">
        <f>IFERROR(V23+V32+V37+V41+V48+V55+V75+V85+V97+V107+V114+V122+V130+V142+V148+V153+V160+V180+V185+V204+V208+V215+V224+V231+V237+V243+V254+V259+V265+V271+V275+V279+V292+V297+V301+V305+V309+V317+V322+V329+V333+V340+V356+V363+V367+V373+V377+V383+V393+V397+V401+V415+V420+V429+V434+V441+V446+V451+V456+V461,"0")</f>
        <v>1707</v>
      </c>
      <c r="W467" s="38"/>
      <c r="X467" s="308"/>
      <c r="Y467" s="308"/>
    </row>
    <row r="468" spans="1:28" ht="14.25" customHeight="1" x14ac:dyDescent="0.2">
      <c r="A468" s="313"/>
      <c r="B468" s="313"/>
      <c r="C468" s="313"/>
      <c r="D468" s="313"/>
      <c r="E468" s="313"/>
      <c r="F468" s="313"/>
      <c r="G468" s="313"/>
      <c r="H468" s="313"/>
      <c r="I468" s="313"/>
      <c r="J468" s="313"/>
      <c r="K468" s="313"/>
      <c r="L468" s="324"/>
      <c r="M468" s="629" t="s">
        <v>599</v>
      </c>
      <c r="N468" s="315"/>
      <c r="O468" s="315"/>
      <c r="P468" s="315"/>
      <c r="Q468" s="315"/>
      <c r="R468" s="315"/>
      <c r="S468" s="316"/>
      <c r="T468" s="40" t="s">
        <v>600</v>
      </c>
      <c r="U468" s="38"/>
      <c r="V468" s="38"/>
      <c r="W468" s="38">
        <f>IFERROR(W23+W32+W37+W41+W48+W55+W75+W85+W97+W107+W114+W122+W130+W142+W148+W153+W160+W180+W185+W204+W208+W215+W224+W231+W237+W243+W254+W259+W265+W271+W275+W279+W292+W297+W301+W305+W309+W317+W322+W329+W333+W340+W356+W363+W367+W373+W377+W383+W393+W397+W401+W415+W420+W429+W434+W441+W446+W451+W456+W461,"0")</f>
        <v>21.592249999999996</v>
      </c>
      <c r="X468" s="308"/>
      <c r="Y468" s="308"/>
    </row>
    <row r="469" spans="1:28" ht="13.5" customHeight="1" thickBot="1" x14ac:dyDescent="0.25"/>
    <row r="470" spans="1:28" ht="27" customHeight="1" thickTop="1" thickBot="1" x14ac:dyDescent="0.25">
      <c r="A470" s="41" t="s">
        <v>601</v>
      </c>
      <c r="B470" s="303" t="s">
        <v>58</v>
      </c>
      <c r="C470" s="631" t="s">
        <v>91</v>
      </c>
      <c r="D470" s="632"/>
      <c r="E470" s="632"/>
      <c r="F470" s="633"/>
      <c r="G470" s="631" t="s">
        <v>214</v>
      </c>
      <c r="H470" s="632"/>
      <c r="I470" s="632"/>
      <c r="J470" s="632"/>
      <c r="K470" s="632"/>
      <c r="L470" s="633"/>
      <c r="M470" s="631" t="s">
        <v>403</v>
      </c>
      <c r="N470" s="633"/>
      <c r="O470" s="631" t="s">
        <v>452</v>
      </c>
      <c r="P470" s="633"/>
      <c r="Q470" s="303" t="s">
        <v>530</v>
      </c>
      <c r="R470" s="631" t="s">
        <v>572</v>
      </c>
      <c r="S470" s="633"/>
      <c r="T470" s="1"/>
      <c r="Y470" s="53"/>
      <c r="AB470" s="1"/>
    </row>
    <row r="471" spans="1:28" ht="14.25" customHeight="1" thickTop="1" x14ac:dyDescent="0.2">
      <c r="A471" s="634" t="s">
        <v>602</v>
      </c>
      <c r="B471" s="631" t="s">
        <v>58</v>
      </c>
      <c r="C471" s="631" t="s">
        <v>92</v>
      </c>
      <c r="D471" s="631" t="s">
        <v>99</v>
      </c>
      <c r="E471" s="631" t="s">
        <v>91</v>
      </c>
      <c r="F471" s="631" t="s">
        <v>205</v>
      </c>
      <c r="G471" s="631" t="s">
        <v>215</v>
      </c>
      <c r="H471" s="631" t="s">
        <v>222</v>
      </c>
      <c r="I471" s="631" t="s">
        <v>239</v>
      </c>
      <c r="J471" s="631" t="s">
        <v>295</v>
      </c>
      <c r="K471" s="631" t="s">
        <v>371</v>
      </c>
      <c r="L471" s="631" t="s">
        <v>388</v>
      </c>
      <c r="M471" s="631" t="s">
        <v>404</v>
      </c>
      <c r="N471" s="631" t="s">
        <v>429</v>
      </c>
      <c r="O471" s="631" t="s">
        <v>453</v>
      </c>
      <c r="P471" s="631" t="s">
        <v>506</v>
      </c>
      <c r="Q471" s="631" t="s">
        <v>530</v>
      </c>
      <c r="R471" s="631" t="s">
        <v>573</v>
      </c>
      <c r="S471" s="631" t="s">
        <v>590</v>
      </c>
      <c r="T471" s="1"/>
      <c r="Y471" s="53"/>
      <c r="AB471" s="1"/>
    </row>
    <row r="472" spans="1:28" ht="13.5" customHeight="1" thickBot="1" x14ac:dyDescent="0.25">
      <c r="A472" s="635"/>
      <c r="B472" s="636"/>
      <c r="C472" s="636"/>
      <c r="D472" s="636"/>
      <c r="E472" s="636"/>
      <c r="F472" s="636"/>
      <c r="G472" s="636"/>
      <c r="H472" s="636"/>
      <c r="I472" s="636"/>
      <c r="J472" s="636"/>
      <c r="K472" s="636"/>
      <c r="L472" s="636"/>
      <c r="M472" s="636"/>
      <c r="N472" s="636"/>
      <c r="O472" s="636"/>
      <c r="P472" s="636"/>
      <c r="Q472" s="636"/>
      <c r="R472" s="636"/>
      <c r="S472" s="636"/>
      <c r="T472" s="1"/>
      <c r="Y472" s="53"/>
      <c r="AB472" s="1"/>
    </row>
    <row r="473" spans="1:28" ht="18" customHeight="1" thickTop="1" thickBot="1" x14ac:dyDescent="0.25">
      <c r="A473" s="41" t="s">
        <v>603</v>
      </c>
      <c r="B473" s="47">
        <f>IFERROR(V22*1,"0")+IFERROR(V26*1,"0")+IFERROR(V27*1,"0")+IFERROR(V28*1,"0")+IFERROR(V29*1,"0")+IFERROR(V30*1,"0")+IFERROR(V31*1,"0")+IFERROR(V35*1,"0")+IFERROR(V36*1,"0")+IFERROR(V40*1,"0")</f>
        <v>0</v>
      </c>
      <c r="C473" s="47">
        <f>IFERROR(V46*1,"0")+IFERROR(V47*1,"0")</f>
        <v>151.20000000000002</v>
      </c>
      <c r="D473" s="47">
        <f>IFERROR(V52*1,"0")+IFERROR(V53*1,"0")+IFERROR(V54*1,"0")</f>
        <v>469.8</v>
      </c>
      <c r="E473" s="47">
        <f>IFERROR(V59*1,"0")+IFERROR(V60*1,"0")+IFERROR(V61*1,"0")+IFERROR(V62*1,"0")+IFERROR(V63*1,"0")+IFERROR(V64*1,"0")+IFERROR(V65*1,"0")+IFERROR(V66*1,"0")+IFERROR(V67*1,"0")+IFERROR(V68*1,"0")+IFERROR(V69*1,"0")+IFERROR(V70*1,"0")+IFERROR(V71*1,"0")+IFERROR(V72*1,"0")+IFERROR(V73*1,"0")+IFERROR(V74*1,"0")+IFERROR(V78*1,"0")+IFERROR(V79*1,"0")+IFERROR(V80*1,"0")+IFERROR(V81*1,"0")+IFERROR(V82*1,"0")+IFERROR(V83*1,"0")+IFERROR(V84*1,"0")+IFERROR(V88*1,"0")+IFERROR(V89*1,"0")+IFERROR(V90*1,"0")+IFERROR(V91*1,"0")+IFERROR(V92*1,"0")+IFERROR(V93*1,"0")+IFERROR(V94*1,"0")+IFERROR(V95*1,"0")+IFERROR(V96*1,"0")+IFERROR(V100*1,"0")+IFERROR(V101*1,"0")+IFERROR(V102*1,"0")+IFERROR(V103*1,"0")+IFERROR(V104*1,"0")+IFERROR(V105*1,"0")+IFERROR(V106*1,"0")+IFERROR(V110*1,"0")+IFERROR(V111*1,"0")+IFERROR(V112*1,"0")+IFERROR(V113*1,"0")</f>
        <v>691.99999999999989</v>
      </c>
      <c r="F473" s="47">
        <f>IFERROR(V118*1,"0")+IFERROR(V119*1,"0")+IFERROR(V120*1,"0")+IFERROR(V121*1,"0")</f>
        <v>18.900000000000002</v>
      </c>
      <c r="G473" s="47">
        <f>IFERROR(V127*1,"0")+IFERROR(V128*1,"0")+IFERROR(V129*1,"0")</f>
        <v>0</v>
      </c>
      <c r="H473" s="47">
        <f>IFERROR(V134*1,"0")+IFERROR(V135*1,"0")+IFERROR(V136*1,"0")+IFERROR(V137*1,"0")+IFERROR(V138*1,"0")+IFERROR(V139*1,"0")+IFERROR(V140*1,"0")+IFERROR(V141*1,"0")</f>
        <v>289.8</v>
      </c>
      <c r="I473" s="47">
        <f>IFERROR(V146*1,"0")+IFERROR(V147*1,"0")+IFERROR(V151*1,"0")+IFERROR(V152*1,"0")+IFERROR(V156*1,"0")+IFERROR(V157*1,"0")+IFERROR(V158*1,"0")+IFERROR(V159*1,"0")+IFERROR(V163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183*1,"0")+IFERROR(V184*1,"0")</f>
        <v>1044.8</v>
      </c>
      <c r="J473" s="47">
        <f>IFERROR(V189*1,"0")+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207*1,"0")+IFERROR(V211*1,"0")+IFERROR(V212*1,"0")+IFERROR(V213*1,"0")+IFERROR(V214*1,"0")+IFERROR(V218*1,"0")+IFERROR(V219*1,"0")+IFERROR(V220*1,"0")+IFERROR(V221*1,"0")+IFERROR(V222*1,"0")+IFERROR(V223*1,"0")+IFERROR(V227*1,"0")+IFERROR(V228*1,"0")+IFERROR(V229*1,"0")+IFERROR(V230*1,"0")+IFERROR(V234*1,"0")+IFERROR(V235*1,"0")+IFERROR(V236*1,"0")+IFERROR(V240*1,"0")+IFERROR(V241*1,"0")+IFERROR(V242*1,"0")</f>
        <v>451.79999999999995</v>
      </c>
      <c r="K473" s="47">
        <f>IFERROR(V247*1,"0")+IFERROR(V248*1,"0")+IFERROR(V249*1,"0")+IFERROR(V250*1,"0")+IFERROR(V251*1,"0")+IFERROR(V252*1,"0")+IFERROR(V253*1,"0")+IFERROR(V257*1,"0")+IFERROR(V258*1,"0")</f>
        <v>40.659999999999997</v>
      </c>
      <c r="L473" s="47">
        <f>IFERROR(V263*1,"0")+IFERROR(V264*1,"0")+IFERROR(V268*1,"0")+IFERROR(V269*1,"0")+IFERROR(V270*1,"0")+IFERROR(V274*1,"0")+IFERROR(V278*1,"0")</f>
        <v>427.38000000000005</v>
      </c>
      <c r="M473" s="47">
        <f>IFERROR(V284*1,"0")+IFERROR(V285*1,"0")+IFERROR(V286*1,"0")+IFERROR(V287*1,"0")+IFERROR(V288*1,"0")+IFERROR(V289*1,"0")+IFERROR(V290*1,"0")+IFERROR(V291*1,"0")+IFERROR(V295*1,"0")+IFERROR(V296*1,"0")+IFERROR(V300*1,"0")+IFERROR(V304*1,"0")+IFERROR(V308*1,"0")</f>
        <v>583.31999999999994</v>
      </c>
      <c r="N473" s="47">
        <f>IFERROR(V313*1,"0")+IFERROR(V314*1,"0")+IFERROR(V315*1,"0")+IFERROR(V316*1,"0")+IFERROR(V320*1,"0")+IFERROR(V321*1,"0")+IFERROR(V325*1,"0")+IFERROR(V326*1,"0")+IFERROR(V327*1,"0")+IFERROR(V328*1,"0")+IFERROR(V332*1,"0")</f>
        <v>339.48</v>
      </c>
      <c r="O473" s="47">
        <f>IFERROR(V338*1,"0")+IFERROR(V339*1,"0")+IFERROR(V343*1,"0")+IFERROR(V344*1,"0")+IFERROR(V345*1,"0")+IFERROR(V346*1,"0")+IFERROR(V347*1,"0")+IFERROR(V348*1,"0")+IFERROR(V349*1,"0")+IFERROR(V350*1,"0")+IFERROR(V351*1,"0")+IFERROR(V352*1,"0")+IFERROR(V353*1,"0")+IFERROR(V354*1,"0")+IFERROR(V355*1,"0")+IFERROR(V359*1,"0")+IFERROR(V360*1,"0")+IFERROR(V361*1,"0")+IFERROR(V362*1,"0")+IFERROR(V366*1,"0")+IFERROR(V370*1,"0")+IFERROR(V371*1,"0")+IFERROR(V372*1,"0")+IFERROR(V376*1,"0")</f>
        <v>1194.3</v>
      </c>
      <c r="P473" s="47">
        <f>IFERROR(V381*1,"0")+IFERROR(V382*1,"0")+IFERROR(V386*1,"0")+IFERROR(V387*1,"0")+IFERROR(V388*1,"0")+IFERROR(V389*1,"0")+IFERROR(V390*1,"0")+IFERROR(V391*1,"0")+IFERROR(V392*1,"0")+IFERROR(V396*1,"0")+IFERROR(V400*1,"0")</f>
        <v>751.40000000000009</v>
      </c>
      <c r="Q473" s="47">
        <f>IFERROR(V406*1,"0")+IFERROR(V407*1,"0")+IFERROR(V408*1,"0")+IFERROR(V409*1,"0")+IFERROR(V410*1,"0")+IFERROR(V411*1,"0")+IFERROR(V412*1,"0")+IFERROR(V413*1,"0")+IFERROR(V414*1,"0")+IFERROR(V418*1,"0")+IFERROR(V419*1,"0")+IFERROR(V423*1,"0")+IFERROR(V424*1,"0")+IFERROR(V425*1,"0")+IFERROR(V426*1,"0")+IFERROR(V427*1,"0")+IFERROR(V428*1,"0")+IFERROR(V432*1,"0")+IFERROR(V433*1,"0")</f>
        <v>931.19999999999993</v>
      </c>
      <c r="R473" s="47">
        <f>IFERROR(V439*1,"0")+IFERROR(V440*1,"0")+IFERROR(V444*1,"0")+IFERROR(V445*1,"0")+IFERROR(V449*1,"0")+IFERROR(V450*1,"0")+IFERROR(V454*1,"0")+IFERROR(V455*1,"0")</f>
        <v>622.44000000000005</v>
      </c>
      <c r="S473" s="47">
        <f>IFERROR(V460*1,"0")</f>
        <v>1505.3999999999999</v>
      </c>
      <c r="T473" s="1"/>
      <c r="Y473" s="53"/>
      <c r="AB473" s="1"/>
    </row>
  </sheetData>
  <sheetProtection algorithmName="SHA-512" hashValue="Z1ABVe0RDR5hISuEZcbN4REA6gkl6sQmIpiOgza2AZppeGL+XDD4QeIv3cKagleeYmeQyiaGYfz1adNb5uVKIA==" saltValue="OUWc2QO0jrsOPWB2F45cWg==" spinCount="100000" sheet="1" objects="1" scenarios="1" sort="0" autoFilter="0" pivotTables="0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838">
    <mergeCell ref="C470:F470"/>
    <mergeCell ref="G470:L470"/>
    <mergeCell ref="M470:N470"/>
    <mergeCell ref="O470:P470"/>
    <mergeCell ref="R470:S470"/>
    <mergeCell ref="A471:A472"/>
    <mergeCell ref="B471:B472"/>
    <mergeCell ref="C471:C472"/>
    <mergeCell ref="D471:D472"/>
    <mergeCell ref="E471:E472"/>
    <mergeCell ref="F471:F472"/>
    <mergeCell ref="G471:G472"/>
    <mergeCell ref="H471:H472"/>
    <mergeCell ref="I471:I472"/>
    <mergeCell ref="J471:J472"/>
    <mergeCell ref="K471:K472"/>
    <mergeCell ref="L471:L472"/>
    <mergeCell ref="M471:M472"/>
    <mergeCell ref="N471:N472"/>
    <mergeCell ref="O471:O472"/>
    <mergeCell ref="P471:P472"/>
    <mergeCell ref="Q471:Q472"/>
    <mergeCell ref="R471:R472"/>
    <mergeCell ref="S471:S472"/>
    <mergeCell ref="D460:E460"/>
    <mergeCell ref="M460:Q460"/>
    <mergeCell ref="M461:S461"/>
    <mergeCell ref="A461:L462"/>
    <mergeCell ref="M462:S462"/>
    <mergeCell ref="M463:S463"/>
    <mergeCell ref="A463:L468"/>
    <mergeCell ref="M464:S464"/>
    <mergeCell ref="M465:S465"/>
    <mergeCell ref="M466:S466"/>
    <mergeCell ref="M467:S467"/>
    <mergeCell ref="M468:S468"/>
    <mergeCell ref="D454:E454"/>
    <mergeCell ref="M454:Q454"/>
    <mergeCell ref="D455:E455"/>
    <mergeCell ref="M455:Q455"/>
    <mergeCell ref="M456:S456"/>
    <mergeCell ref="A456:L457"/>
    <mergeCell ref="M457:S457"/>
    <mergeCell ref="A458:W458"/>
    <mergeCell ref="A459:W459"/>
    <mergeCell ref="A448:W448"/>
    <mergeCell ref="D449:E449"/>
    <mergeCell ref="M449:Q449"/>
    <mergeCell ref="D450:E450"/>
    <mergeCell ref="M450:Q450"/>
    <mergeCell ref="M451:S451"/>
    <mergeCell ref="A451:L452"/>
    <mergeCell ref="M452:S452"/>
    <mergeCell ref="A453:W453"/>
    <mergeCell ref="M441:S441"/>
    <mergeCell ref="A441:L442"/>
    <mergeCell ref="M442:S442"/>
    <mergeCell ref="A443:W443"/>
    <mergeCell ref="D444:E444"/>
    <mergeCell ref="M444:Q444"/>
    <mergeCell ref="D445:E445"/>
    <mergeCell ref="M445:Q445"/>
    <mergeCell ref="M446:S446"/>
    <mergeCell ref="A446:L447"/>
    <mergeCell ref="M447:S447"/>
    <mergeCell ref="M434:S434"/>
    <mergeCell ref="A434:L435"/>
    <mergeCell ref="M435:S435"/>
    <mergeCell ref="A436:W436"/>
    <mergeCell ref="A437:W437"/>
    <mergeCell ref="A438:W438"/>
    <mergeCell ref="D439:E439"/>
    <mergeCell ref="M439:Q439"/>
    <mergeCell ref="D440:E440"/>
    <mergeCell ref="M440:Q440"/>
    <mergeCell ref="D428:E428"/>
    <mergeCell ref="M428:Q428"/>
    <mergeCell ref="M429:S429"/>
    <mergeCell ref="A429:L430"/>
    <mergeCell ref="M430:S430"/>
    <mergeCell ref="A431:W431"/>
    <mergeCell ref="D432:E432"/>
    <mergeCell ref="M432:Q432"/>
    <mergeCell ref="D433:E433"/>
    <mergeCell ref="M433:Q433"/>
    <mergeCell ref="D423:E423"/>
    <mergeCell ref="M423:Q423"/>
    <mergeCell ref="D424:E424"/>
    <mergeCell ref="M424:Q424"/>
    <mergeCell ref="D425:E425"/>
    <mergeCell ref="M425:Q425"/>
    <mergeCell ref="D426:E426"/>
    <mergeCell ref="M426:Q426"/>
    <mergeCell ref="D427:E427"/>
    <mergeCell ref="M427:Q427"/>
    <mergeCell ref="A417:W417"/>
    <mergeCell ref="D418:E418"/>
    <mergeCell ref="M418:Q418"/>
    <mergeCell ref="D419:E419"/>
    <mergeCell ref="M419:Q419"/>
    <mergeCell ref="M420:S420"/>
    <mergeCell ref="A420:L421"/>
    <mergeCell ref="M421:S421"/>
    <mergeCell ref="A422:W422"/>
    <mergeCell ref="D411:E411"/>
    <mergeCell ref="M411:Q411"/>
    <mergeCell ref="D412:E412"/>
    <mergeCell ref="M412:Q412"/>
    <mergeCell ref="D413:E413"/>
    <mergeCell ref="M413:Q413"/>
    <mergeCell ref="D414:E414"/>
    <mergeCell ref="M414:Q414"/>
    <mergeCell ref="M415:S415"/>
    <mergeCell ref="A415:L416"/>
    <mergeCell ref="M416:S416"/>
    <mergeCell ref="D406:E406"/>
    <mergeCell ref="M406:Q406"/>
    <mergeCell ref="D407:E407"/>
    <mergeCell ref="M407:Q407"/>
    <mergeCell ref="D408:E408"/>
    <mergeCell ref="M408:Q408"/>
    <mergeCell ref="D409:E409"/>
    <mergeCell ref="M409:Q409"/>
    <mergeCell ref="D410:E410"/>
    <mergeCell ref="M410:Q410"/>
    <mergeCell ref="A399:W399"/>
    <mergeCell ref="D400:E400"/>
    <mergeCell ref="M400:Q400"/>
    <mergeCell ref="M401:S401"/>
    <mergeCell ref="A401:L402"/>
    <mergeCell ref="M402:S402"/>
    <mergeCell ref="A403:W403"/>
    <mergeCell ref="A404:W404"/>
    <mergeCell ref="A405:W405"/>
    <mergeCell ref="M393:S393"/>
    <mergeCell ref="A393:L394"/>
    <mergeCell ref="M394:S394"/>
    <mergeCell ref="A395:W395"/>
    <mergeCell ref="D396:E396"/>
    <mergeCell ref="M396:Q396"/>
    <mergeCell ref="M397:S397"/>
    <mergeCell ref="A397:L398"/>
    <mergeCell ref="M398:S398"/>
    <mergeCell ref="D388:E388"/>
    <mergeCell ref="M388:Q388"/>
    <mergeCell ref="D389:E389"/>
    <mergeCell ref="M389:Q389"/>
    <mergeCell ref="D390:E390"/>
    <mergeCell ref="M390:Q390"/>
    <mergeCell ref="D391:E391"/>
    <mergeCell ref="M391:Q391"/>
    <mergeCell ref="D392:E392"/>
    <mergeCell ref="M392:Q392"/>
    <mergeCell ref="D382:E382"/>
    <mergeCell ref="M382:Q382"/>
    <mergeCell ref="M383:S383"/>
    <mergeCell ref="A383:L384"/>
    <mergeCell ref="M384:S384"/>
    <mergeCell ref="A385:W385"/>
    <mergeCell ref="D386:E386"/>
    <mergeCell ref="M386:Q386"/>
    <mergeCell ref="D387:E387"/>
    <mergeCell ref="M387:Q387"/>
    <mergeCell ref="A375:W375"/>
    <mergeCell ref="D376:E376"/>
    <mergeCell ref="M376:Q376"/>
    <mergeCell ref="M377:S377"/>
    <mergeCell ref="A377:L378"/>
    <mergeCell ref="M378:S378"/>
    <mergeCell ref="A379:W379"/>
    <mergeCell ref="A380:W380"/>
    <mergeCell ref="D381:E381"/>
    <mergeCell ref="M381:Q381"/>
    <mergeCell ref="A369:W369"/>
    <mergeCell ref="D370:E370"/>
    <mergeCell ref="M370:Q370"/>
    <mergeCell ref="D371:E371"/>
    <mergeCell ref="M371:Q371"/>
    <mergeCell ref="D372:E372"/>
    <mergeCell ref="M372:Q372"/>
    <mergeCell ref="M373:S373"/>
    <mergeCell ref="A373:L374"/>
    <mergeCell ref="M374:S374"/>
    <mergeCell ref="D362:E362"/>
    <mergeCell ref="M362:Q362"/>
    <mergeCell ref="M363:S363"/>
    <mergeCell ref="A363:L364"/>
    <mergeCell ref="M364:S364"/>
    <mergeCell ref="A365:W365"/>
    <mergeCell ref="D366:E366"/>
    <mergeCell ref="M366:Q366"/>
    <mergeCell ref="M367:S367"/>
    <mergeCell ref="A367:L368"/>
    <mergeCell ref="M368:S368"/>
    <mergeCell ref="M356:S356"/>
    <mergeCell ref="A356:L357"/>
    <mergeCell ref="M357:S357"/>
    <mergeCell ref="A358:W358"/>
    <mergeCell ref="D359:E359"/>
    <mergeCell ref="M359:Q359"/>
    <mergeCell ref="D360:E360"/>
    <mergeCell ref="M360:Q360"/>
    <mergeCell ref="D361:E361"/>
    <mergeCell ref="M361:Q361"/>
    <mergeCell ref="D351:E351"/>
    <mergeCell ref="M351:Q351"/>
    <mergeCell ref="D352:E352"/>
    <mergeCell ref="M352:Q352"/>
    <mergeCell ref="D353:E353"/>
    <mergeCell ref="M353:Q353"/>
    <mergeCell ref="D354:E354"/>
    <mergeCell ref="M354:Q354"/>
    <mergeCell ref="D355:E355"/>
    <mergeCell ref="M355:Q355"/>
    <mergeCell ref="D346:E346"/>
    <mergeCell ref="M346:Q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M340:S340"/>
    <mergeCell ref="A340:L341"/>
    <mergeCell ref="M341:S341"/>
    <mergeCell ref="A342:W342"/>
    <mergeCell ref="D343:E343"/>
    <mergeCell ref="M343:Q343"/>
    <mergeCell ref="D344:E344"/>
    <mergeCell ref="M344:Q344"/>
    <mergeCell ref="D345:E345"/>
    <mergeCell ref="M345:Q345"/>
    <mergeCell ref="M333:S333"/>
    <mergeCell ref="A333:L334"/>
    <mergeCell ref="M334:S334"/>
    <mergeCell ref="A335:W335"/>
    <mergeCell ref="A336:W336"/>
    <mergeCell ref="A337:W337"/>
    <mergeCell ref="D338:E338"/>
    <mergeCell ref="M338:Q338"/>
    <mergeCell ref="D339:E339"/>
    <mergeCell ref="M339:Q339"/>
    <mergeCell ref="D327:E327"/>
    <mergeCell ref="M327:Q327"/>
    <mergeCell ref="D328:E328"/>
    <mergeCell ref="M328:Q328"/>
    <mergeCell ref="M329:S329"/>
    <mergeCell ref="A329:L330"/>
    <mergeCell ref="M330:S330"/>
    <mergeCell ref="A331:W331"/>
    <mergeCell ref="D332:E332"/>
    <mergeCell ref="M332:Q332"/>
    <mergeCell ref="D321:E321"/>
    <mergeCell ref="M321:Q321"/>
    <mergeCell ref="M322:S322"/>
    <mergeCell ref="A322:L323"/>
    <mergeCell ref="M323:S323"/>
    <mergeCell ref="A324:W324"/>
    <mergeCell ref="D325:E325"/>
    <mergeCell ref="M325:Q325"/>
    <mergeCell ref="D326:E326"/>
    <mergeCell ref="M326:Q326"/>
    <mergeCell ref="D315:E315"/>
    <mergeCell ref="M315:Q315"/>
    <mergeCell ref="D316:E316"/>
    <mergeCell ref="M316:Q316"/>
    <mergeCell ref="M317:S317"/>
    <mergeCell ref="A317:L318"/>
    <mergeCell ref="M318:S318"/>
    <mergeCell ref="A319:W319"/>
    <mergeCell ref="D320:E320"/>
    <mergeCell ref="M320:Q320"/>
    <mergeCell ref="M309:S309"/>
    <mergeCell ref="A309:L310"/>
    <mergeCell ref="M310:S310"/>
    <mergeCell ref="A311:W311"/>
    <mergeCell ref="A312:W312"/>
    <mergeCell ref="D313:E313"/>
    <mergeCell ref="M313:Q313"/>
    <mergeCell ref="D314:E314"/>
    <mergeCell ref="M314:Q314"/>
    <mergeCell ref="A303:W303"/>
    <mergeCell ref="D304:E304"/>
    <mergeCell ref="M304:Q304"/>
    <mergeCell ref="M305:S305"/>
    <mergeCell ref="A305:L306"/>
    <mergeCell ref="M306:S306"/>
    <mergeCell ref="A307:W307"/>
    <mergeCell ref="D308:E308"/>
    <mergeCell ref="M308:Q308"/>
    <mergeCell ref="M297:S297"/>
    <mergeCell ref="A297:L298"/>
    <mergeCell ref="M298:S298"/>
    <mergeCell ref="A299:W299"/>
    <mergeCell ref="D300:E300"/>
    <mergeCell ref="M300:Q300"/>
    <mergeCell ref="M301:S301"/>
    <mergeCell ref="A301:L302"/>
    <mergeCell ref="M302:S302"/>
    <mergeCell ref="D291:E291"/>
    <mergeCell ref="M291:Q291"/>
    <mergeCell ref="M292:S292"/>
    <mergeCell ref="A292:L293"/>
    <mergeCell ref="M293:S293"/>
    <mergeCell ref="A294:W294"/>
    <mergeCell ref="D295:E295"/>
    <mergeCell ref="M295:Q295"/>
    <mergeCell ref="D296:E296"/>
    <mergeCell ref="M296:Q296"/>
    <mergeCell ref="D286:E286"/>
    <mergeCell ref="M286:Q286"/>
    <mergeCell ref="D287:E287"/>
    <mergeCell ref="M287:Q287"/>
    <mergeCell ref="D288:E288"/>
    <mergeCell ref="M288:Q288"/>
    <mergeCell ref="D289:E289"/>
    <mergeCell ref="M289:Q289"/>
    <mergeCell ref="D290:E290"/>
    <mergeCell ref="M290:Q290"/>
    <mergeCell ref="M279:S279"/>
    <mergeCell ref="A279:L280"/>
    <mergeCell ref="M280:S280"/>
    <mergeCell ref="A281:W281"/>
    <mergeCell ref="A282:W282"/>
    <mergeCell ref="A283:W283"/>
    <mergeCell ref="D284:E284"/>
    <mergeCell ref="M284:Q284"/>
    <mergeCell ref="D285:E285"/>
    <mergeCell ref="M285:Q285"/>
    <mergeCell ref="A273:W273"/>
    <mergeCell ref="D274:E274"/>
    <mergeCell ref="M274:Q274"/>
    <mergeCell ref="M275:S275"/>
    <mergeCell ref="A275:L276"/>
    <mergeCell ref="M276:S276"/>
    <mergeCell ref="A277:W277"/>
    <mergeCell ref="D278:E278"/>
    <mergeCell ref="M278:Q278"/>
    <mergeCell ref="A267:W267"/>
    <mergeCell ref="D268:E268"/>
    <mergeCell ref="M268:Q268"/>
    <mergeCell ref="D269:E269"/>
    <mergeCell ref="M269:Q269"/>
    <mergeCell ref="D270:E270"/>
    <mergeCell ref="M270:Q270"/>
    <mergeCell ref="M271:S271"/>
    <mergeCell ref="A271:L272"/>
    <mergeCell ref="M272:S272"/>
    <mergeCell ref="A261:W261"/>
    <mergeCell ref="A262:W262"/>
    <mergeCell ref="D263:E263"/>
    <mergeCell ref="M263:Q263"/>
    <mergeCell ref="D264:E264"/>
    <mergeCell ref="M264:Q264"/>
    <mergeCell ref="M265:S265"/>
    <mergeCell ref="A265:L266"/>
    <mergeCell ref="M266:S266"/>
    <mergeCell ref="M254:S254"/>
    <mergeCell ref="A254:L255"/>
    <mergeCell ref="M255:S255"/>
    <mergeCell ref="A256:W256"/>
    <mergeCell ref="D257:E257"/>
    <mergeCell ref="M257:Q257"/>
    <mergeCell ref="D258:E258"/>
    <mergeCell ref="M258:Q258"/>
    <mergeCell ref="M259:S259"/>
    <mergeCell ref="A259:L260"/>
    <mergeCell ref="M260:S260"/>
    <mergeCell ref="D249:E249"/>
    <mergeCell ref="M249:Q249"/>
    <mergeCell ref="D250:E250"/>
    <mergeCell ref="M250:Q250"/>
    <mergeCell ref="D251:E251"/>
    <mergeCell ref="M251:Q251"/>
    <mergeCell ref="D252:E252"/>
    <mergeCell ref="M252:Q252"/>
    <mergeCell ref="D253:E253"/>
    <mergeCell ref="M253:Q253"/>
    <mergeCell ref="M243:S243"/>
    <mergeCell ref="A243:L244"/>
    <mergeCell ref="M244:S244"/>
    <mergeCell ref="A245:W245"/>
    <mergeCell ref="A246:W246"/>
    <mergeCell ref="D247:E247"/>
    <mergeCell ref="M247:Q247"/>
    <mergeCell ref="D248:E248"/>
    <mergeCell ref="M248:Q248"/>
    <mergeCell ref="M237:S237"/>
    <mergeCell ref="A237:L238"/>
    <mergeCell ref="M238:S238"/>
    <mergeCell ref="A239:W239"/>
    <mergeCell ref="D240:E240"/>
    <mergeCell ref="M240:Q240"/>
    <mergeCell ref="D241:E241"/>
    <mergeCell ref="M241:Q241"/>
    <mergeCell ref="D242:E242"/>
    <mergeCell ref="M242:Q242"/>
    <mergeCell ref="M231:S231"/>
    <mergeCell ref="A231:L232"/>
    <mergeCell ref="M232:S232"/>
    <mergeCell ref="A233:W233"/>
    <mergeCell ref="D234:E234"/>
    <mergeCell ref="M234:Q234"/>
    <mergeCell ref="D235:E235"/>
    <mergeCell ref="M235:Q235"/>
    <mergeCell ref="D236:E236"/>
    <mergeCell ref="M236:Q236"/>
    <mergeCell ref="A226:W226"/>
    <mergeCell ref="D227:E227"/>
    <mergeCell ref="M227:Q227"/>
    <mergeCell ref="D228:E228"/>
    <mergeCell ref="M228:Q228"/>
    <mergeCell ref="D229:E229"/>
    <mergeCell ref="M229:Q229"/>
    <mergeCell ref="D230:E230"/>
    <mergeCell ref="M230:Q230"/>
    <mergeCell ref="D221:E221"/>
    <mergeCell ref="M221:Q221"/>
    <mergeCell ref="D222:E222"/>
    <mergeCell ref="M222:Q222"/>
    <mergeCell ref="D223:E223"/>
    <mergeCell ref="M223:Q223"/>
    <mergeCell ref="M224:S224"/>
    <mergeCell ref="A224:L225"/>
    <mergeCell ref="M225:S225"/>
    <mergeCell ref="M215:S215"/>
    <mergeCell ref="A215:L216"/>
    <mergeCell ref="M216:S216"/>
    <mergeCell ref="A217:W217"/>
    <mergeCell ref="D218:E218"/>
    <mergeCell ref="M218:Q218"/>
    <mergeCell ref="D219:E219"/>
    <mergeCell ref="M219:Q219"/>
    <mergeCell ref="D220:E220"/>
    <mergeCell ref="M220:Q220"/>
    <mergeCell ref="A210:W210"/>
    <mergeCell ref="D211:E211"/>
    <mergeCell ref="M211:Q211"/>
    <mergeCell ref="D212:E212"/>
    <mergeCell ref="M212:Q212"/>
    <mergeCell ref="D213:E213"/>
    <mergeCell ref="M213:Q213"/>
    <mergeCell ref="D214:E214"/>
    <mergeCell ref="M214:Q214"/>
    <mergeCell ref="D203:E203"/>
    <mergeCell ref="M203:Q203"/>
    <mergeCell ref="M204:S204"/>
    <mergeCell ref="A204:L205"/>
    <mergeCell ref="M205:S205"/>
    <mergeCell ref="A206:W206"/>
    <mergeCell ref="D207:E207"/>
    <mergeCell ref="M207:Q207"/>
    <mergeCell ref="M208:S208"/>
    <mergeCell ref="A208:L209"/>
    <mergeCell ref="M209:S209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A187:W187"/>
    <mergeCell ref="A188:W18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M180:S180"/>
    <mergeCell ref="A180:L181"/>
    <mergeCell ref="M181:S181"/>
    <mergeCell ref="A182:W182"/>
    <mergeCell ref="D183:E183"/>
    <mergeCell ref="M183:Q183"/>
    <mergeCell ref="D184:E184"/>
    <mergeCell ref="M184:Q184"/>
    <mergeCell ref="M185:S185"/>
    <mergeCell ref="A185:L186"/>
    <mergeCell ref="M186:S186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59:E159"/>
    <mergeCell ref="M159:Q159"/>
    <mergeCell ref="M160:S160"/>
    <mergeCell ref="A160:L161"/>
    <mergeCell ref="M161:S161"/>
    <mergeCell ref="A162:W162"/>
    <mergeCell ref="D163:E163"/>
    <mergeCell ref="M163:Q163"/>
    <mergeCell ref="D164:E164"/>
    <mergeCell ref="M164:Q164"/>
    <mergeCell ref="M153:S153"/>
    <mergeCell ref="A153:L154"/>
    <mergeCell ref="M154:S154"/>
    <mergeCell ref="A155:W155"/>
    <mergeCell ref="D156:E156"/>
    <mergeCell ref="M156:Q156"/>
    <mergeCell ref="D157:E157"/>
    <mergeCell ref="M157:Q157"/>
    <mergeCell ref="D158:E158"/>
    <mergeCell ref="M158:Q158"/>
    <mergeCell ref="D147:E147"/>
    <mergeCell ref="M147:Q147"/>
    <mergeCell ref="M148:S148"/>
    <mergeCell ref="A148:L149"/>
    <mergeCell ref="M149:S149"/>
    <mergeCell ref="A150:W150"/>
    <mergeCell ref="D151:E151"/>
    <mergeCell ref="M151:Q151"/>
    <mergeCell ref="D152:E152"/>
    <mergeCell ref="M152:Q152"/>
    <mergeCell ref="D141:E141"/>
    <mergeCell ref="M141:Q141"/>
    <mergeCell ref="M142:S142"/>
    <mergeCell ref="A142:L143"/>
    <mergeCell ref="M143:S143"/>
    <mergeCell ref="A144:W144"/>
    <mergeCell ref="A145:W145"/>
    <mergeCell ref="D146:E146"/>
    <mergeCell ref="M146:Q146"/>
    <mergeCell ref="D136:E136"/>
    <mergeCell ref="M136:Q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M130:S130"/>
    <mergeCell ref="A130:L131"/>
    <mergeCell ref="M131:S131"/>
    <mergeCell ref="A132:W132"/>
    <mergeCell ref="A133:W133"/>
    <mergeCell ref="D134:E134"/>
    <mergeCell ref="M134:Q134"/>
    <mergeCell ref="D135:E135"/>
    <mergeCell ref="M135:Q135"/>
    <mergeCell ref="A124:W124"/>
    <mergeCell ref="A125:W125"/>
    <mergeCell ref="A126:W126"/>
    <mergeCell ref="D127:E127"/>
    <mergeCell ref="M127:Q127"/>
    <mergeCell ref="D128:E128"/>
    <mergeCell ref="M128:Q128"/>
    <mergeCell ref="D129:E129"/>
    <mergeCell ref="M129:Q129"/>
    <mergeCell ref="D118:E118"/>
    <mergeCell ref="M118:Q118"/>
    <mergeCell ref="D119:E119"/>
    <mergeCell ref="M119:Q119"/>
    <mergeCell ref="D120:E120"/>
    <mergeCell ref="M120:Q120"/>
    <mergeCell ref="D121:E121"/>
    <mergeCell ref="M121:Q121"/>
    <mergeCell ref="M122:S122"/>
    <mergeCell ref="A122:L123"/>
    <mergeCell ref="M123:S123"/>
    <mergeCell ref="D112:E112"/>
    <mergeCell ref="M112:Q112"/>
    <mergeCell ref="D113:E113"/>
    <mergeCell ref="M113:Q113"/>
    <mergeCell ref="M114:S114"/>
    <mergeCell ref="A114:L115"/>
    <mergeCell ref="M115:S115"/>
    <mergeCell ref="A116:W116"/>
    <mergeCell ref="A117:W117"/>
    <mergeCell ref="D106:E106"/>
    <mergeCell ref="M106:Q106"/>
    <mergeCell ref="M107:S107"/>
    <mergeCell ref="A107:L108"/>
    <mergeCell ref="M108:S108"/>
    <mergeCell ref="A109:W109"/>
    <mergeCell ref="D110:E110"/>
    <mergeCell ref="M110:Q110"/>
    <mergeCell ref="D111:E111"/>
    <mergeCell ref="M111:Q111"/>
    <mergeCell ref="D101:E101"/>
    <mergeCell ref="M101:Q101"/>
    <mergeCell ref="D102:E102"/>
    <mergeCell ref="M102:Q102"/>
    <mergeCell ref="D103:E103"/>
    <mergeCell ref="M103:Q103"/>
    <mergeCell ref="D104:E104"/>
    <mergeCell ref="M104:Q104"/>
    <mergeCell ref="D105:E105"/>
    <mergeCell ref="M105:Q105"/>
    <mergeCell ref="D95:E95"/>
    <mergeCell ref="M95:Q95"/>
    <mergeCell ref="D96:E96"/>
    <mergeCell ref="M96:Q96"/>
    <mergeCell ref="M97:S97"/>
    <mergeCell ref="A97:L98"/>
    <mergeCell ref="M98:S98"/>
    <mergeCell ref="A99:W99"/>
    <mergeCell ref="D100:E100"/>
    <mergeCell ref="M100:Q100"/>
    <mergeCell ref="D90:E90"/>
    <mergeCell ref="M90:Q90"/>
    <mergeCell ref="D91:E91"/>
    <mergeCell ref="M91:Q91"/>
    <mergeCell ref="D92:E92"/>
    <mergeCell ref="M92:Q92"/>
    <mergeCell ref="D93:E93"/>
    <mergeCell ref="M93:Q93"/>
    <mergeCell ref="D94:E94"/>
    <mergeCell ref="M94:Q94"/>
    <mergeCell ref="D84:E84"/>
    <mergeCell ref="M84:Q84"/>
    <mergeCell ref="M85:S85"/>
    <mergeCell ref="A85:L86"/>
    <mergeCell ref="M86:S86"/>
    <mergeCell ref="A87:W87"/>
    <mergeCell ref="D88:E88"/>
    <mergeCell ref="M88:Q88"/>
    <mergeCell ref="D89:E89"/>
    <mergeCell ref="M89:Q89"/>
    <mergeCell ref="D79:E79"/>
    <mergeCell ref="M79:Q79"/>
    <mergeCell ref="D80:E80"/>
    <mergeCell ref="M80:Q80"/>
    <mergeCell ref="D81:E81"/>
    <mergeCell ref="M81:Q81"/>
    <mergeCell ref="D82:E82"/>
    <mergeCell ref="M82:Q82"/>
    <mergeCell ref="D83:E83"/>
    <mergeCell ref="M83:Q83"/>
    <mergeCell ref="D73:E73"/>
    <mergeCell ref="M73:Q73"/>
    <mergeCell ref="D74:E74"/>
    <mergeCell ref="M74:Q74"/>
    <mergeCell ref="M75:S75"/>
    <mergeCell ref="A75:L76"/>
    <mergeCell ref="M76:S76"/>
    <mergeCell ref="A77:W77"/>
    <mergeCell ref="D78:E78"/>
    <mergeCell ref="M78:Q78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A57:W57"/>
    <mergeCell ref="A58:W58"/>
    <mergeCell ref="D59:E59"/>
    <mergeCell ref="M59:Q59"/>
    <mergeCell ref="D60:E60"/>
    <mergeCell ref="M60:Q60"/>
    <mergeCell ref="D61:E61"/>
    <mergeCell ref="M61:Q61"/>
    <mergeCell ref="D62:E62"/>
    <mergeCell ref="M62:Q62"/>
    <mergeCell ref="A50:W50"/>
    <mergeCell ref="A51:W51"/>
    <mergeCell ref="D52:E52"/>
    <mergeCell ref="M52:Q52"/>
    <mergeCell ref="D53:E53"/>
    <mergeCell ref="M53:Q53"/>
    <mergeCell ref="D54:E54"/>
    <mergeCell ref="M54:Q54"/>
    <mergeCell ref="M55:S55"/>
    <mergeCell ref="A55:L56"/>
    <mergeCell ref="M56:S56"/>
    <mergeCell ref="A43:W43"/>
    <mergeCell ref="A44:W44"/>
    <mergeCell ref="A45:W45"/>
    <mergeCell ref="D46:E46"/>
    <mergeCell ref="M46:Q46"/>
    <mergeCell ref="D47:E47"/>
    <mergeCell ref="M47:Q47"/>
    <mergeCell ref="M48:S48"/>
    <mergeCell ref="A48:L49"/>
    <mergeCell ref="M49:S49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CHOOSE($D$7,UnloadAdressList0001,UnloadAdressList0002,UnloadAdressList0003,UnloadAdressList0004,UnloadAdressList0005,UnloadAdressList0006,UnloadAdressList0007,UnloadAdressList0008)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1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604</v>
      </c>
      <c r="H1" s="53"/>
    </row>
    <row r="3" spans="2:8" x14ac:dyDescent="0.2">
      <c r="B3" s="48" t="s">
        <v>605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606</v>
      </c>
      <c r="D6" s="48" t="s">
        <v>607</v>
      </c>
      <c r="E6" s="48"/>
    </row>
    <row r="7" spans="2:8" x14ac:dyDescent="0.2">
      <c r="B7" s="48" t="s">
        <v>608</v>
      </c>
      <c r="C7" s="48" t="s">
        <v>609</v>
      </c>
      <c r="D7" s="48" t="s">
        <v>610</v>
      </c>
      <c r="E7" s="48"/>
    </row>
    <row r="8" spans="2:8" x14ac:dyDescent="0.2">
      <c r="B8" s="48" t="s">
        <v>611</v>
      </c>
      <c r="C8" s="48" t="s">
        <v>612</v>
      </c>
      <c r="D8" s="48" t="s">
        <v>613</v>
      </c>
      <c r="E8" s="48"/>
    </row>
    <row r="9" spans="2:8" x14ac:dyDescent="0.2">
      <c r="B9" s="48" t="s">
        <v>614</v>
      </c>
      <c r="C9" s="48" t="s">
        <v>615</v>
      </c>
      <c r="D9" s="48" t="s">
        <v>616</v>
      </c>
      <c r="E9" s="48"/>
    </row>
    <row r="10" spans="2:8" x14ac:dyDescent="0.2">
      <c r="B10" s="48" t="s">
        <v>617</v>
      </c>
      <c r="C10" s="48" t="s">
        <v>618</v>
      </c>
      <c r="D10" s="48" t="s">
        <v>619</v>
      </c>
      <c r="E10" s="48"/>
    </row>
    <row r="11" spans="2:8" x14ac:dyDescent="0.2">
      <c r="B11" s="48" t="s">
        <v>620</v>
      </c>
      <c r="C11" s="48" t="s">
        <v>621</v>
      </c>
      <c r="D11" s="48" t="s">
        <v>622</v>
      </c>
      <c r="E11" s="48"/>
    </row>
    <row r="12" spans="2:8" x14ac:dyDescent="0.2">
      <c r="B12" s="48" t="s">
        <v>623</v>
      </c>
      <c r="C12" s="48" t="s">
        <v>624</v>
      </c>
      <c r="D12" s="48" t="s">
        <v>625</v>
      </c>
      <c r="E12" s="48"/>
    </row>
    <row r="13" spans="2:8" x14ac:dyDescent="0.2">
      <c r="B13" s="48" t="s">
        <v>626</v>
      </c>
      <c r="C13" s="48" t="s">
        <v>627</v>
      </c>
      <c r="D13" s="48" t="s">
        <v>628</v>
      </c>
      <c r="E13" s="48"/>
    </row>
    <row r="15" spans="2:8" x14ac:dyDescent="0.2">
      <c r="B15" s="48" t="s">
        <v>629</v>
      </c>
      <c r="C15" s="48" t="s">
        <v>606</v>
      </c>
      <c r="D15" s="48"/>
      <c r="E15" s="48"/>
    </row>
    <row r="17" spans="2:5" x14ac:dyDescent="0.2">
      <c r="B17" s="48" t="s">
        <v>630</v>
      </c>
      <c r="C17" s="48" t="s">
        <v>609</v>
      </c>
      <c r="D17" s="48"/>
      <c r="E17" s="48"/>
    </row>
    <row r="19" spans="2:5" x14ac:dyDescent="0.2">
      <c r="B19" s="48" t="s">
        <v>631</v>
      </c>
      <c r="C19" s="48" t="s">
        <v>612</v>
      </c>
      <c r="D19" s="48"/>
      <c r="E19" s="48"/>
    </row>
    <row r="21" spans="2:5" x14ac:dyDescent="0.2">
      <c r="B21" s="48" t="s">
        <v>632</v>
      </c>
      <c r="C21" s="48" t="s">
        <v>615</v>
      </c>
      <c r="D21" s="48"/>
      <c r="E21" s="48"/>
    </row>
    <row r="23" spans="2:5" x14ac:dyDescent="0.2">
      <c r="B23" s="48" t="s">
        <v>633</v>
      </c>
      <c r="C23" s="48" t="s">
        <v>618</v>
      </c>
      <c r="D23" s="48"/>
      <c r="E23" s="48"/>
    </row>
    <row r="25" spans="2:5" x14ac:dyDescent="0.2">
      <c r="B25" s="48" t="s">
        <v>634</v>
      </c>
      <c r="C25" s="48" t="s">
        <v>621</v>
      </c>
      <c r="D25" s="48"/>
      <c r="E25" s="48"/>
    </row>
    <row r="27" spans="2:5" x14ac:dyDescent="0.2">
      <c r="B27" s="48" t="s">
        <v>635</v>
      </c>
      <c r="C27" s="48" t="s">
        <v>624</v>
      </c>
      <c r="D27" s="48"/>
      <c r="E27" s="48"/>
    </row>
    <row r="29" spans="2:5" x14ac:dyDescent="0.2">
      <c r="B29" s="48" t="s">
        <v>636</v>
      </c>
      <c r="C29" s="48" t="s">
        <v>627</v>
      </c>
      <c r="D29" s="48"/>
      <c r="E29" s="48"/>
    </row>
    <row r="31" spans="2:5" x14ac:dyDescent="0.2">
      <c r="B31" s="48" t="s">
        <v>637</v>
      </c>
      <c r="C31" s="48"/>
      <c r="D31" s="48"/>
      <c r="E31" s="48"/>
    </row>
    <row r="32" spans="2:5" x14ac:dyDescent="0.2">
      <c r="B32" s="48" t="s">
        <v>638</v>
      </c>
      <c r="C32" s="48"/>
      <c r="D32" s="48"/>
      <c r="E32" s="48"/>
    </row>
    <row r="33" spans="2:5" x14ac:dyDescent="0.2">
      <c r="B33" s="48" t="s">
        <v>639</v>
      </c>
      <c r="C33" s="48"/>
      <c r="D33" s="48"/>
      <c r="E33" s="48"/>
    </row>
    <row r="34" spans="2:5" x14ac:dyDescent="0.2">
      <c r="B34" s="48" t="s">
        <v>640</v>
      </c>
      <c r="C34" s="48"/>
      <c r="D34" s="48"/>
      <c r="E34" s="48"/>
    </row>
    <row r="35" spans="2:5" x14ac:dyDescent="0.2">
      <c r="B35" s="48" t="s">
        <v>641</v>
      </c>
      <c r="C35" s="48"/>
      <c r="D35" s="48"/>
      <c r="E35" s="48"/>
    </row>
    <row r="36" spans="2:5" x14ac:dyDescent="0.2">
      <c r="B36" s="48" t="s">
        <v>642</v>
      </c>
      <c r="C36" s="48"/>
      <c r="D36" s="48"/>
      <c r="E36" s="48"/>
    </row>
    <row r="37" spans="2:5" x14ac:dyDescent="0.2">
      <c r="B37" s="48" t="s">
        <v>643</v>
      </c>
      <c r="C37" s="48"/>
      <c r="D37" s="48"/>
      <c r="E37" s="48"/>
    </row>
    <row r="38" spans="2:5" x14ac:dyDescent="0.2">
      <c r="B38" s="48" t="s">
        <v>644</v>
      </c>
      <c r="C38" s="48"/>
      <c r="D38" s="48"/>
      <c r="E38" s="48"/>
    </row>
    <row r="39" spans="2:5" x14ac:dyDescent="0.2">
      <c r="B39" s="48" t="s">
        <v>645</v>
      </c>
      <c r="C39" s="48"/>
      <c r="D39" s="48"/>
      <c r="E39" s="48"/>
    </row>
    <row r="40" spans="2:5" x14ac:dyDescent="0.2">
      <c r="B40" s="48" t="s">
        <v>646</v>
      </c>
      <c r="C40" s="48"/>
      <c r="D40" s="48"/>
      <c r="E40" s="48"/>
    </row>
    <row r="41" spans="2:5" x14ac:dyDescent="0.2">
      <c r="B41" s="48" t="s">
        <v>647</v>
      </c>
      <c r="C41" s="48"/>
      <c r="D41" s="48"/>
      <c r="E41" s="48"/>
    </row>
  </sheetData>
  <sheetProtection algorithmName="SHA-512" hashValue="gBGY8YTEnzc1y3B/oZGwaYm2qLa0oz0QamHyMGFeZSnlv83ZrZucy5A+YoleRuWpQNZFUIRGZ/9l1jeyxjv7Ew==" saltValue="iz50Cnjl97egeen3xW6s/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1011</vt:i4>
      </vt:variant>
    </vt:vector>
  </HeadingPairs>
  <TitlesOfParts>
    <vt:vector size="101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2023-09-05T10:11:19Z</dcterms:modified>
</cp:coreProperties>
</file>