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7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заказа'!$S$12</definedName>
    <definedName name="DeliveryConditionsList">Setting!$B$25:$B$35</definedName>
    <definedName name="DeliveryDate">'Бланк заказа'!$N$9</definedName>
    <definedName name="DeliveryMethodList">Setting!$B$3:$B$4</definedName>
    <definedName name="DeliveryNumAdressList">Setting!$D$6:$D$11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заказа'!$U$460:$U$460</definedName>
    <definedName name="GrossWeightTotalR">'Бланк заказа'!$V$460:$V$460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Setting!$B$24:$B$25</definedName>
    <definedName name="PalletQtyTotal">'Бланк заказа'!$U$461:$U$461</definedName>
    <definedName name="PalletQtyTotalR">'Бланк заказа'!$V$461:$V$461</definedName>
    <definedName name="PassportProxy">'Бланк заказа'!$J$9:$K$9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заказа'!$B$316:$B$316</definedName>
    <definedName name="ProductId17">'Бланк заказа'!$B$60:$B$60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заказа'!$B$334:$B$334</definedName>
    <definedName name="ProductId177">'Бланк заказа'!$B$335:$B$335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заказа'!$B$366:$B$366</definedName>
    <definedName name="ProductId197">'Бланк заказа'!$B$367:$B$367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заказа'!$B$428:$B$428</definedName>
    <definedName name="ProductId229">'Бланк заказа'!$B$429:$B$429</definedName>
    <definedName name="ProductId23">'Бланк заказа'!$B$66:$B$66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заказа'!$B$450:$B$450</definedName>
    <definedName name="ProductId237">'Бланк заказа'!$B$451:$B$451</definedName>
    <definedName name="ProductId238">'Бланк заказа'!$B$456:$B$456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заказа'!$U$316:$U$316</definedName>
    <definedName name="SalesQty17">'Бланк заказа'!$U$60:$U$60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заказа'!$U$328:$U$328</definedName>
    <definedName name="SalesQty176">'Бланк заказа'!$U$334:$U$334</definedName>
    <definedName name="SalesQty177">'Бланк заказа'!$U$335:$U$335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заказа'!$U$362:$U$362</definedName>
    <definedName name="SalesQty196">'Бланк заказа'!$U$366:$U$366</definedName>
    <definedName name="SalesQty197">'Бланк заказа'!$U$367:$U$367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заказа'!$U$378:$U$378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заказа'!$U$428:$U$428</definedName>
    <definedName name="SalesQty229">'Бланк заказа'!$U$429:$U$429</definedName>
    <definedName name="SalesQty23">'Бланк заказа'!$U$66:$U$66</definedName>
    <definedName name="SalesQty230">'Бланк заказа'!$U$435:$U$435</definedName>
    <definedName name="SalesQty231">'Бланк заказа'!$U$436:$U$436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заказа'!$U$446:$U$446</definedName>
    <definedName name="SalesQty236">'Бланк заказа'!$U$450:$U$450</definedName>
    <definedName name="SalesQty237">'Бланк заказа'!$U$451:$U$451</definedName>
    <definedName name="SalesQty238">'Бланк заказа'!$U$456:$U$456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заказа'!$V$316:$V$316</definedName>
    <definedName name="SalesRoundBox17">'Бланк заказа'!$V$60:$V$60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заказа'!$V$328:$V$328</definedName>
    <definedName name="SalesRoundBox176">'Бланк заказа'!$V$334:$V$334</definedName>
    <definedName name="SalesRoundBox177">'Бланк заказа'!$V$335:$V$335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заказа'!$V$362:$V$362</definedName>
    <definedName name="SalesRoundBox196">'Бланк заказа'!$V$366:$V$366</definedName>
    <definedName name="SalesRoundBox197">'Бланк заказа'!$V$367:$V$367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заказа'!$V$378:$V$378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заказа'!$V$428:$V$428</definedName>
    <definedName name="SalesRoundBox229">'Бланк заказа'!$V$429:$V$429</definedName>
    <definedName name="SalesRoundBox23">'Бланк заказа'!$V$66:$V$66</definedName>
    <definedName name="SalesRoundBox230">'Бланк заказа'!$V$435:$V$435</definedName>
    <definedName name="SalesRoundBox231">'Бланк заказа'!$V$436:$V$436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заказа'!$V$446:$V$446</definedName>
    <definedName name="SalesRoundBox236">'Бланк заказа'!$V$450:$V$450</definedName>
    <definedName name="SalesRoundBox237">'Бланк заказа'!$V$451:$V$451</definedName>
    <definedName name="SalesRoundBox238">'Бланк заказа'!$V$456:$V$456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заказа'!$T$316:$T$316</definedName>
    <definedName name="UnitOfMeasure17">'Бланк заказа'!$T$60:$T$60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заказа'!$T$328:$T$328</definedName>
    <definedName name="UnitOfMeasure176">'Бланк заказа'!$T$334:$T$334</definedName>
    <definedName name="UnitOfMeasure177">'Бланк заказа'!$T$335:$T$335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заказа'!$T$362:$T$362</definedName>
    <definedName name="UnitOfMeasure196">'Бланк заказа'!$T$366:$T$366</definedName>
    <definedName name="UnitOfMeasure197">'Бланк заказа'!$T$367:$T$367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заказа'!$T$378:$T$378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заказа'!$T$428:$T$428</definedName>
    <definedName name="UnitOfMeasure229">'Бланк заказа'!$T$429:$T$429</definedName>
    <definedName name="UnitOfMeasure23">'Бланк заказа'!$T$66:$T$66</definedName>
    <definedName name="UnitOfMeasure230">'Бланк заказа'!$T$435:$T$435</definedName>
    <definedName name="UnitOfMeasure231">'Бланк заказа'!$T$436:$T$436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заказа'!$T$446:$T$446</definedName>
    <definedName name="UnitOfMeasure236">'Бланк заказа'!$T$450:$T$450</definedName>
    <definedName name="UnitOfMeasure237">'Бланк заказа'!$T$451:$T$451</definedName>
    <definedName name="UnitOfMeasure238">'Бланк заказа'!$T$456:$T$456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U461" i="1" l="1"/>
  <c r="U460" i="1"/>
  <c r="U462" i="1" s="1"/>
  <c r="U458" i="1"/>
  <c r="V457" i="1"/>
  <c r="U457" i="1"/>
  <c r="V456" i="1"/>
  <c r="M456" i="1"/>
  <c r="U453" i="1"/>
  <c r="U452" i="1"/>
  <c r="V451" i="1"/>
  <c r="W451" i="1" s="1"/>
  <c r="M451" i="1"/>
  <c r="V450" i="1"/>
  <c r="M450" i="1"/>
  <c r="V448" i="1"/>
  <c r="U448" i="1"/>
  <c r="V447" i="1"/>
  <c r="U447" i="1"/>
  <c r="V446" i="1"/>
  <c r="W446" i="1" s="1"/>
  <c r="M446" i="1"/>
  <c r="W445" i="1"/>
  <c r="V445" i="1"/>
  <c r="M445" i="1"/>
  <c r="U443" i="1"/>
  <c r="U442" i="1"/>
  <c r="W441" i="1"/>
  <c r="V441" i="1"/>
  <c r="M441" i="1"/>
  <c r="W440" i="1"/>
  <c r="W442" i="1" s="1"/>
  <c r="V440" i="1"/>
  <c r="V442" i="1" s="1"/>
  <c r="M440" i="1"/>
  <c r="U438" i="1"/>
  <c r="U437" i="1"/>
  <c r="V436" i="1"/>
  <c r="W436" i="1" s="1"/>
  <c r="M436" i="1"/>
  <c r="V435" i="1"/>
  <c r="M435" i="1"/>
  <c r="U431" i="1"/>
  <c r="V430" i="1"/>
  <c r="U430" i="1"/>
  <c r="V429" i="1"/>
  <c r="W429" i="1" s="1"/>
  <c r="M429" i="1"/>
  <c r="V428" i="1"/>
  <c r="V431" i="1" s="1"/>
  <c r="M428" i="1"/>
  <c r="U426" i="1"/>
  <c r="U425" i="1"/>
  <c r="V424" i="1"/>
  <c r="W424" i="1" s="1"/>
  <c r="W423" i="1"/>
  <c r="V423" i="1"/>
  <c r="V422" i="1"/>
  <c r="W422" i="1" s="1"/>
  <c r="V421" i="1"/>
  <c r="V425" i="1" s="1"/>
  <c r="M421" i="1"/>
  <c r="V420" i="1"/>
  <c r="W420" i="1" s="1"/>
  <c r="M420" i="1"/>
  <c r="V419" i="1"/>
  <c r="W419" i="1" s="1"/>
  <c r="M419" i="1"/>
  <c r="V417" i="1"/>
  <c r="U417" i="1"/>
  <c r="V416" i="1"/>
  <c r="U416" i="1"/>
  <c r="V415" i="1"/>
  <c r="W415" i="1" s="1"/>
  <c r="M415" i="1"/>
  <c r="W414" i="1"/>
  <c r="W416" i="1" s="1"/>
  <c r="V414" i="1"/>
  <c r="M414" i="1"/>
  <c r="U412" i="1"/>
  <c r="U411" i="1"/>
  <c r="W410" i="1"/>
  <c r="V410" i="1"/>
  <c r="M410" i="1"/>
  <c r="W409" i="1"/>
  <c r="V409" i="1"/>
  <c r="M409" i="1"/>
  <c r="V408" i="1"/>
  <c r="W408" i="1" s="1"/>
  <c r="M408" i="1"/>
  <c r="V407" i="1"/>
  <c r="W407" i="1" s="1"/>
  <c r="M407" i="1"/>
  <c r="W406" i="1"/>
  <c r="V406" i="1"/>
  <c r="M406" i="1"/>
  <c r="V405" i="1"/>
  <c r="W405" i="1" s="1"/>
  <c r="M405" i="1"/>
  <c r="V404" i="1"/>
  <c r="W404" i="1" s="1"/>
  <c r="M404" i="1"/>
  <c r="V403" i="1"/>
  <c r="W403" i="1" s="1"/>
  <c r="M403" i="1"/>
  <c r="W402" i="1"/>
  <c r="V402" i="1"/>
  <c r="M402" i="1"/>
  <c r="V398" i="1"/>
  <c r="U398" i="1"/>
  <c r="V397" i="1"/>
  <c r="U397" i="1"/>
  <c r="W396" i="1"/>
  <c r="W397" i="1" s="1"/>
  <c r="V396" i="1"/>
  <c r="M396" i="1"/>
  <c r="V394" i="1"/>
  <c r="U394" i="1"/>
  <c r="V393" i="1"/>
  <c r="U393" i="1"/>
  <c r="W392" i="1"/>
  <c r="W393" i="1" s="1"/>
  <c r="V392" i="1"/>
  <c r="M392" i="1"/>
  <c r="U390" i="1"/>
  <c r="U389" i="1"/>
  <c r="W388" i="1"/>
  <c r="V388" i="1"/>
  <c r="M388" i="1"/>
  <c r="W387" i="1"/>
  <c r="V387" i="1"/>
  <c r="M387" i="1"/>
  <c r="V386" i="1"/>
  <c r="W386" i="1" s="1"/>
  <c r="M386" i="1"/>
  <c r="V385" i="1"/>
  <c r="W385" i="1" s="1"/>
  <c r="V384" i="1"/>
  <c r="W384" i="1" s="1"/>
  <c r="M384" i="1"/>
  <c r="V383" i="1"/>
  <c r="W383" i="1" s="1"/>
  <c r="M383" i="1"/>
  <c r="V382" i="1"/>
  <c r="W382" i="1" s="1"/>
  <c r="M382" i="1"/>
  <c r="V380" i="1"/>
  <c r="U380" i="1"/>
  <c r="V379" i="1"/>
  <c r="U379" i="1"/>
  <c r="V378" i="1"/>
  <c r="W378" i="1" s="1"/>
  <c r="M378" i="1"/>
  <c r="W377" i="1"/>
  <c r="W379" i="1" s="1"/>
  <c r="V377" i="1"/>
  <c r="M377" i="1"/>
  <c r="V374" i="1"/>
  <c r="U374" i="1"/>
  <c r="V373" i="1"/>
  <c r="U373" i="1"/>
  <c r="W372" i="1"/>
  <c r="W373" i="1" s="1"/>
  <c r="V372" i="1"/>
  <c r="U370" i="1"/>
  <c r="U369" i="1"/>
  <c r="W368" i="1"/>
  <c r="V368" i="1"/>
  <c r="M368" i="1"/>
  <c r="V367" i="1"/>
  <c r="W367" i="1" s="1"/>
  <c r="M367" i="1"/>
  <c r="V366" i="1"/>
  <c r="V369" i="1" s="1"/>
  <c r="M366" i="1"/>
  <c r="V364" i="1"/>
  <c r="U364" i="1"/>
  <c r="V363" i="1"/>
  <c r="U363" i="1"/>
  <c r="V362" i="1"/>
  <c r="W362" i="1" s="1"/>
  <c r="W363" i="1" s="1"/>
  <c r="M362" i="1"/>
  <c r="U360" i="1"/>
  <c r="U359" i="1"/>
  <c r="V358" i="1"/>
  <c r="W358" i="1" s="1"/>
  <c r="M358" i="1"/>
  <c r="W357" i="1"/>
  <c r="V357" i="1"/>
  <c r="M357" i="1"/>
  <c r="W356" i="1"/>
  <c r="V356" i="1"/>
  <c r="M356" i="1"/>
  <c r="V355" i="1"/>
  <c r="W355" i="1" s="1"/>
  <c r="W359" i="1" s="1"/>
  <c r="M355" i="1"/>
  <c r="U353" i="1"/>
  <c r="U352" i="1"/>
  <c r="V351" i="1"/>
  <c r="W351" i="1" s="1"/>
  <c r="W350" i="1"/>
  <c r="V350" i="1"/>
  <c r="M350" i="1"/>
  <c r="V349" i="1"/>
  <c r="W349" i="1" s="1"/>
  <c r="M349" i="1"/>
  <c r="V348" i="1"/>
  <c r="W348" i="1" s="1"/>
  <c r="M348" i="1"/>
  <c r="V347" i="1"/>
  <c r="W347" i="1" s="1"/>
  <c r="M347" i="1"/>
  <c r="W346" i="1"/>
  <c r="V346" i="1"/>
  <c r="M346" i="1"/>
  <c r="W345" i="1"/>
  <c r="V345" i="1"/>
  <c r="M345" i="1"/>
  <c r="V344" i="1"/>
  <c r="W344" i="1" s="1"/>
  <c r="M344" i="1"/>
  <c r="V343" i="1"/>
  <c r="W343" i="1" s="1"/>
  <c r="M343" i="1"/>
  <c r="W342" i="1"/>
  <c r="V342" i="1"/>
  <c r="M342" i="1"/>
  <c r="V341" i="1"/>
  <c r="V352" i="1" s="1"/>
  <c r="M341" i="1"/>
  <c r="V340" i="1"/>
  <c r="W340" i="1" s="1"/>
  <c r="M340" i="1"/>
  <c r="V339" i="1"/>
  <c r="V353" i="1" s="1"/>
  <c r="M339" i="1"/>
  <c r="V337" i="1"/>
  <c r="U337" i="1"/>
  <c r="V336" i="1"/>
  <c r="U336" i="1"/>
  <c r="V335" i="1"/>
  <c r="W335" i="1" s="1"/>
  <c r="M335" i="1"/>
  <c r="W334" i="1"/>
  <c r="W336" i="1" s="1"/>
  <c r="V334" i="1"/>
  <c r="M334" i="1"/>
  <c r="V330" i="1"/>
  <c r="U330" i="1"/>
  <c r="V329" i="1"/>
  <c r="U329" i="1"/>
  <c r="W328" i="1"/>
  <c r="W329" i="1" s="1"/>
  <c r="V328" i="1"/>
  <c r="M328" i="1"/>
  <c r="U326" i="1"/>
  <c r="U325" i="1"/>
  <c r="W324" i="1"/>
  <c r="V324" i="1"/>
  <c r="M324" i="1"/>
  <c r="W323" i="1"/>
  <c r="V323" i="1"/>
  <c r="V326" i="1" s="1"/>
  <c r="M323" i="1"/>
  <c r="V322" i="1"/>
  <c r="W322" i="1" s="1"/>
  <c r="M322" i="1"/>
  <c r="V321" i="1"/>
  <c r="W321" i="1" s="1"/>
  <c r="M321" i="1"/>
  <c r="V319" i="1"/>
  <c r="U319" i="1"/>
  <c r="V318" i="1"/>
  <c r="U318" i="1"/>
  <c r="V317" i="1"/>
  <c r="W317" i="1" s="1"/>
  <c r="M317" i="1"/>
  <c r="W316" i="1"/>
  <c r="W318" i="1" s="1"/>
  <c r="V316" i="1"/>
  <c r="M316" i="1"/>
  <c r="V314" i="1"/>
  <c r="U314" i="1"/>
  <c r="U313" i="1"/>
  <c r="W312" i="1"/>
  <c r="V312" i="1"/>
  <c r="M312" i="1"/>
  <c r="W311" i="1"/>
  <c r="V311" i="1"/>
  <c r="M311" i="1"/>
  <c r="V310" i="1"/>
  <c r="W310" i="1" s="1"/>
  <c r="M310" i="1"/>
  <c r="V309" i="1"/>
  <c r="M309" i="1"/>
  <c r="V306" i="1"/>
  <c r="U306" i="1"/>
  <c r="V305" i="1"/>
  <c r="U305" i="1"/>
  <c r="V304" i="1"/>
  <c r="W304" i="1" s="1"/>
  <c r="W305" i="1" s="1"/>
  <c r="M304" i="1"/>
  <c r="V302" i="1"/>
  <c r="U302" i="1"/>
  <c r="V301" i="1"/>
  <c r="U301" i="1"/>
  <c r="V300" i="1"/>
  <c r="W300" i="1" s="1"/>
  <c r="W301" i="1" s="1"/>
  <c r="M300" i="1"/>
  <c r="V298" i="1"/>
  <c r="U298" i="1"/>
  <c r="V297" i="1"/>
  <c r="U297" i="1"/>
  <c r="V296" i="1"/>
  <c r="W296" i="1" s="1"/>
  <c r="M296" i="1"/>
  <c r="W295" i="1"/>
  <c r="V295" i="1"/>
  <c r="M295" i="1"/>
  <c r="U293" i="1"/>
  <c r="U292" i="1"/>
  <c r="W291" i="1"/>
  <c r="V291" i="1"/>
  <c r="M291" i="1"/>
  <c r="W290" i="1"/>
  <c r="V290" i="1"/>
  <c r="M290" i="1"/>
  <c r="V289" i="1"/>
  <c r="W289" i="1" s="1"/>
  <c r="W288" i="1"/>
  <c r="V288" i="1"/>
  <c r="M288" i="1"/>
  <c r="V287" i="1"/>
  <c r="W287" i="1" s="1"/>
  <c r="M287" i="1"/>
  <c r="V286" i="1"/>
  <c r="W286" i="1" s="1"/>
  <c r="M286" i="1"/>
  <c r="V285" i="1"/>
  <c r="W285" i="1" s="1"/>
  <c r="M285" i="1"/>
  <c r="W284" i="1"/>
  <c r="V284" i="1"/>
  <c r="M284" i="1"/>
  <c r="V280" i="1"/>
  <c r="U280" i="1"/>
  <c r="V279" i="1"/>
  <c r="U279" i="1"/>
  <c r="W278" i="1"/>
  <c r="W279" i="1" s="1"/>
  <c r="V278" i="1"/>
  <c r="M278" i="1"/>
  <c r="V276" i="1"/>
  <c r="U276" i="1"/>
  <c r="V275" i="1"/>
  <c r="U275" i="1"/>
  <c r="W274" i="1"/>
  <c r="W275" i="1" s="1"/>
  <c r="V274" i="1"/>
  <c r="M274" i="1"/>
  <c r="U272" i="1"/>
  <c r="U271" i="1"/>
  <c r="W270" i="1"/>
  <c r="V270" i="1"/>
  <c r="M270" i="1"/>
  <c r="W269" i="1"/>
  <c r="V269" i="1"/>
  <c r="M269" i="1"/>
  <c r="V268" i="1"/>
  <c r="V272" i="1" s="1"/>
  <c r="M268" i="1"/>
  <c r="U266" i="1"/>
  <c r="V265" i="1"/>
  <c r="U265" i="1"/>
  <c r="V264" i="1"/>
  <c r="M264" i="1"/>
  <c r="U261" i="1"/>
  <c r="U260" i="1"/>
  <c r="V259" i="1"/>
  <c r="W259" i="1" s="1"/>
  <c r="M259" i="1"/>
  <c r="V258" i="1"/>
  <c r="M258" i="1"/>
  <c r="U256" i="1"/>
  <c r="U255" i="1"/>
  <c r="V254" i="1"/>
  <c r="W254" i="1" s="1"/>
  <c r="M254" i="1"/>
  <c r="W253" i="1"/>
  <c r="V253" i="1"/>
  <c r="M253" i="1"/>
  <c r="W252" i="1"/>
  <c r="V252" i="1"/>
  <c r="M252" i="1"/>
  <c r="V251" i="1"/>
  <c r="W251" i="1" s="1"/>
  <c r="M251" i="1"/>
  <c r="V250" i="1"/>
  <c r="W250" i="1" s="1"/>
  <c r="V249" i="1"/>
  <c r="W249" i="1" s="1"/>
  <c r="M249" i="1"/>
  <c r="V248" i="1"/>
  <c r="M248" i="1"/>
  <c r="U245" i="1"/>
  <c r="U244" i="1"/>
  <c r="V243" i="1"/>
  <c r="W243" i="1" s="1"/>
  <c r="M243" i="1"/>
  <c r="V242" i="1"/>
  <c r="W242" i="1" s="1"/>
  <c r="M242" i="1"/>
  <c r="W241" i="1"/>
  <c r="W244" i="1" s="1"/>
  <c r="V241" i="1"/>
  <c r="M241" i="1"/>
  <c r="U239" i="1"/>
  <c r="U238" i="1"/>
  <c r="W237" i="1"/>
  <c r="V237" i="1"/>
  <c r="M237" i="1"/>
  <c r="W236" i="1"/>
  <c r="V236" i="1"/>
  <c r="V239" i="1" s="1"/>
  <c r="V235" i="1"/>
  <c r="W235" i="1" s="1"/>
  <c r="V233" i="1"/>
  <c r="U233" i="1"/>
  <c r="U232" i="1"/>
  <c r="W231" i="1"/>
  <c r="V231" i="1"/>
  <c r="M231" i="1"/>
  <c r="W230" i="1"/>
  <c r="V230" i="1"/>
  <c r="M230" i="1"/>
  <c r="V229" i="1"/>
  <c r="W229" i="1" s="1"/>
  <c r="M229" i="1"/>
  <c r="V228" i="1"/>
  <c r="W228" i="1" s="1"/>
  <c r="M228" i="1"/>
  <c r="U226" i="1"/>
  <c r="U225" i="1"/>
  <c r="V224" i="1"/>
  <c r="W224" i="1" s="1"/>
  <c r="M224" i="1"/>
  <c r="W223" i="1"/>
  <c r="V223" i="1"/>
  <c r="M223" i="1"/>
  <c r="W222" i="1"/>
  <c r="V222" i="1"/>
  <c r="M222" i="1"/>
  <c r="V221" i="1"/>
  <c r="W221" i="1" s="1"/>
  <c r="M221" i="1"/>
  <c r="V220" i="1"/>
  <c r="W220" i="1" s="1"/>
  <c r="M220" i="1"/>
  <c r="W219" i="1"/>
  <c r="W225" i="1" s="1"/>
  <c r="V219" i="1"/>
  <c r="M219" i="1"/>
  <c r="V217" i="1"/>
  <c r="U217" i="1"/>
  <c r="U216" i="1"/>
  <c r="W215" i="1"/>
  <c r="V215" i="1"/>
  <c r="M215" i="1"/>
  <c r="W214" i="1"/>
  <c r="V214" i="1"/>
  <c r="M214" i="1"/>
  <c r="V213" i="1"/>
  <c r="W213" i="1" s="1"/>
  <c r="M213" i="1"/>
  <c r="V212" i="1"/>
  <c r="W212" i="1" s="1"/>
  <c r="M212" i="1"/>
  <c r="V210" i="1"/>
  <c r="U210" i="1"/>
  <c r="V209" i="1"/>
  <c r="U209" i="1"/>
  <c r="V208" i="1"/>
  <c r="W208" i="1" s="1"/>
  <c r="W209" i="1" s="1"/>
  <c r="M208" i="1"/>
  <c r="U206" i="1"/>
  <c r="U205" i="1"/>
  <c r="V204" i="1"/>
  <c r="W204" i="1" s="1"/>
  <c r="M204" i="1"/>
  <c r="W203" i="1"/>
  <c r="V203" i="1"/>
  <c r="M203" i="1"/>
  <c r="W202" i="1"/>
  <c r="V202" i="1"/>
  <c r="M202" i="1"/>
  <c r="V201" i="1"/>
  <c r="W201" i="1" s="1"/>
  <c r="M201" i="1"/>
  <c r="V200" i="1"/>
  <c r="W200" i="1" s="1"/>
  <c r="M200" i="1"/>
  <c r="W199" i="1"/>
  <c r="V199" i="1"/>
  <c r="M199" i="1"/>
  <c r="W198" i="1"/>
  <c r="V198" i="1"/>
  <c r="M198" i="1"/>
  <c r="W197" i="1"/>
  <c r="V197" i="1"/>
  <c r="M197" i="1"/>
  <c r="V196" i="1"/>
  <c r="W196" i="1" s="1"/>
  <c r="M196" i="1"/>
  <c r="W195" i="1"/>
  <c r="V195" i="1"/>
  <c r="M195" i="1"/>
  <c r="W194" i="1"/>
  <c r="V194" i="1"/>
  <c r="M194" i="1"/>
  <c r="W193" i="1"/>
  <c r="V193" i="1"/>
  <c r="M193" i="1"/>
  <c r="V192" i="1"/>
  <c r="W192" i="1" s="1"/>
  <c r="M192" i="1"/>
  <c r="W191" i="1"/>
  <c r="V191" i="1"/>
  <c r="M191" i="1"/>
  <c r="W190" i="1"/>
  <c r="W205" i="1" s="1"/>
  <c r="V190" i="1"/>
  <c r="V206" i="1" s="1"/>
  <c r="M190" i="1"/>
  <c r="U187" i="1"/>
  <c r="U186" i="1"/>
  <c r="V185" i="1"/>
  <c r="W185" i="1" s="1"/>
  <c r="W186" i="1" s="1"/>
  <c r="M185" i="1"/>
  <c r="W184" i="1"/>
  <c r="V184" i="1"/>
  <c r="M184" i="1"/>
  <c r="U182" i="1"/>
  <c r="U181" i="1"/>
  <c r="W180" i="1"/>
  <c r="V180" i="1"/>
  <c r="M180" i="1"/>
  <c r="V179" i="1"/>
  <c r="W179" i="1" s="1"/>
  <c r="M179" i="1"/>
  <c r="W178" i="1"/>
  <c r="V178" i="1"/>
  <c r="M178" i="1"/>
  <c r="W177" i="1"/>
  <c r="V177" i="1"/>
  <c r="M177" i="1"/>
  <c r="W176" i="1"/>
  <c r="V176" i="1"/>
  <c r="M176" i="1"/>
  <c r="V175" i="1"/>
  <c r="W175" i="1" s="1"/>
  <c r="M175" i="1"/>
  <c r="W174" i="1"/>
  <c r="V174" i="1"/>
  <c r="M174" i="1"/>
  <c r="W173" i="1"/>
  <c r="V173" i="1"/>
  <c r="M173" i="1"/>
  <c r="V172" i="1"/>
  <c r="W172" i="1" s="1"/>
  <c r="M172" i="1"/>
  <c r="V171" i="1"/>
  <c r="W171" i="1" s="1"/>
  <c r="M171" i="1"/>
  <c r="W170" i="1"/>
  <c r="V170" i="1"/>
  <c r="M170" i="1"/>
  <c r="V169" i="1"/>
  <c r="W169" i="1" s="1"/>
  <c r="M169" i="1"/>
  <c r="W168" i="1"/>
  <c r="V168" i="1"/>
  <c r="M168" i="1"/>
  <c r="V167" i="1"/>
  <c r="W167" i="1" s="1"/>
  <c r="M167" i="1"/>
  <c r="W166" i="1"/>
  <c r="V166" i="1"/>
  <c r="M166" i="1"/>
  <c r="W165" i="1"/>
  <c r="V165" i="1"/>
  <c r="V164" i="1"/>
  <c r="M164" i="1"/>
  <c r="U162" i="1"/>
  <c r="U161" i="1"/>
  <c r="V160" i="1"/>
  <c r="W160" i="1" s="1"/>
  <c r="M160" i="1"/>
  <c r="W159" i="1"/>
  <c r="V159" i="1"/>
  <c r="M159" i="1"/>
  <c r="W158" i="1"/>
  <c r="V158" i="1"/>
  <c r="M158" i="1"/>
  <c r="V157" i="1"/>
  <c r="V161" i="1" s="1"/>
  <c r="M157" i="1"/>
  <c r="U155" i="1"/>
  <c r="V154" i="1"/>
  <c r="U154" i="1"/>
  <c r="W153" i="1"/>
  <c r="V153" i="1"/>
  <c r="M153" i="1"/>
  <c r="V152" i="1"/>
  <c r="U150" i="1"/>
  <c r="V149" i="1"/>
  <c r="U149" i="1"/>
  <c r="W148" i="1"/>
  <c r="V148" i="1"/>
  <c r="M148" i="1"/>
  <c r="W147" i="1"/>
  <c r="W149" i="1" s="1"/>
  <c r="V147" i="1"/>
  <c r="M147" i="1"/>
  <c r="U144" i="1"/>
  <c r="U143" i="1"/>
  <c r="W142" i="1"/>
  <c r="V142" i="1"/>
  <c r="M142" i="1"/>
  <c r="V141" i="1"/>
  <c r="W141" i="1" s="1"/>
  <c r="M141" i="1"/>
  <c r="V140" i="1"/>
  <c r="W140" i="1" s="1"/>
  <c r="M140" i="1"/>
  <c r="W139" i="1"/>
  <c r="V139" i="1"/>
  <c r="M139" i="1"/>
  <c r="V138" i="1"/>
  <c r="V144" i="1" s="1"/>
  <c r="M138" i="1"/>
  <c r="W137" i="1"/>
  <c r="V137" i="1"/>
  <c r="M137" i="1"/>
  <c r="W136" i="1"/>
  <c r="V136" i="1"/>
  <c r="M136" i="1"/>
  <c r="W135" i="1"/>
  <c r="V135" i="1"/>
  <c r="H469" i="1" s="1"/>
  <c r="M135" i="1"/>
  <c r="U132" i="1"/>
  <c r="U131" i="1"/>
  <c r="W130" i="1"/>
  <c r="V130" i="1"/>
  <c r="M130" i="1"/>
  <c r="V129" i="1"/>
  <c r="V131" i="1" s="1"/>
  <c r="M129" i="1"/>
  <c r="W128" i="1"/>
  <c r="V128" i="1"/>
  <c r="M128" i="1"/>
  <c r="U124" i="1"/>
  <c r="U123" i="1"/>
  <c r="W122" i="1"/>
  <c r="V122" i="1"/>
  <c r="M122" i="1"/>
  <c r="W121" i="1"/>
  <c r="V121" i="1"/>
  <c r="M121" i="1"/>
  <c r="W120" i="1"/>
  <c r="V120" i="1"/>
  <c r="M120" i="1"/>
  <c r="V119" i="1"/>
  <c r="F469" i="1" s="1"/>
  <c r="M119" i="1"/>
  <c r="U116" i="1"/>
  <c r="U115" i="1"/>
  <c r="V114" i="1"/>
  <c r="W114" i="1" s="1"/>
  <c r="W113" i="1"/>
  <c r="V113" i="1"/>
  <c r="M113" i="1"/>
  <c r="W112" i="1"/>
  <c r="V112" i="1"/>
  <c r="M112" i="1"/>
  <c r="V111" i="1"/>
  <c r="V115" i="1" s="1"/>
  <c r="M111" i="1"/>
  <c r="W110" i="1"/>
  <c r="V110" i="1"/>
  <c r="V116" i="1" s="1"/>
  <c r="V108" i="1"/>
  <c r="U108" i="1"/>
  <c r="U107" i="1"/>
  <c r="W106" i="1"/>
  <c r="V106" i="1"/>
  <c r="M106" i="1"/>
  <c r="W105" i="1"/>
  <c r="V105" i="1"/>
  <c r="W104" i="1"/>
  <c r="V104" i="1"/>
  <c r="W103" i="1"/>
  <c r="V103" i="1"/>
  <c r="W102" i="1"/>
  <c r="V102" i="1"/>
  <c r="M102" i="1"/>
  <c r="W101" i="1"/>
  <c r="V101" i="1"/>
  <c r="M101" i="1"/>
  <c r="W100" i="1"/>
  <c r="V100" i="1"/>
  <c r="V99" i="1"/>
  <c r="W99" i="1" s="1"/>
  <c r="W107" i="1" s="1"/>
  <c r="U97" i="1"/>
  <c r="U96" i="1"/>
  <c r="W95" i="1"/>
  <c r="V95" i="1"/>
  <c r="M95" i="1"/>
  <c r="W94" i="1"/>
  <c r="V94" i="1"/>
  <c r="M94" i="1"/>
  <c r="V93" i="1"/>
  <c r="W93" i="1" s="1"/>
  <c r="M93" i="1"/>
  <c r="V92" i="1"/>
  <c r="W92" i="1" s="1"/>
  <c r="M92" i="1"/>
  <c r="W91" i="1"/>
  <c r="V91" i="1"/>
  <c r="M91" i="1"/>
  <c r="W90" i="1"/>
  <c r="V90" i="1"/>
  <c r="M90" i="1"/>
  <c r="V89" i="1"/>
  <c r="V97" i="1" s="1"/>
  <c r="M89" i="1"/>
  <c r="V88" i="1"/>
  <c r="W88" i="1" s="1"/>
  <c r="M88" i="1"/>
  <c r="W87" i="1"/>
  <c r="V87" i="1"/>
  <c r="V96" i="1" s="1"/>
  <c r="M87" i="1"/>
  <c r="U85" i="1"/>
  <c r="U84" i="1"/>
  <c r="W83" i="1"/>
  <c r="V83" i="1"/>
  <c r="M83" i="1"/>
  <c r="W82" i="1"/>
  <c r="V82" i="1"/>
  <c r="M82" i="1"/>
  <c r="V81" i="1"/>
  <c r="W81" i="1" s="1"/>
  <c r="W80" i="1"/>
  <c r="V80" i="1"/>
  <c r="V79" i="1"/>
  <c r="V85" i="1" s="1"/>
  <c r="M79" i="1"/>
  <c r="V78" i="1"/>
  <c r="W78" i="1" s="1"/>
  <c r="U76" i="1"/>
  <c r="U75" i="1"/>
  <c r="W74" i="1"/>
  <c r="V74" i="1"/>
  <c r="M74" i="1"/>
  <c r="W73" i="1"/>
  <c r="V73" i="1"/>
  <c r="M73" i="1"/>
  <c r="V72" i="1"/>
  <c r="W72" i="1" s="1"/>
  <c r="M72" i="1"/>
  <c r="W71" i="1"/>
  <c r="V71" i="1"/>
  <c r="M71" i="1"/>
  <c r="W70" i="1"/>
  <c r="V70" i="1"/>
  <c r="M70" i="1"/>
  <c r="W69" i="1"/>
  <c r="V69" i="1"/>
  <c r="M69" i="1"/>
  <c r="V68" i="1"/>
  <c r="W68" i="1" s="1"/>
  <c r="M68" i="1"/>
  <c r="W67" i="1"/>
  <c r="V67" i="1"/>
  <c r="M67" i="1"/>
  <c r="W66" i="1"/>
  <c r="V66" i="1"/>
  <c r="M66" i="1"/>
  <c r="W65" i="1"/>
  <c r="V65" i="1"/>
  <c r="M65" i="1"/>
  <c r="V64" i="1"/>
  <c r="W64" i="1" s="1"/>
  <c r="M64" i="1"/>
  <c r="W63" i="1"/>
  <c r="V63" i="1"/>
  <c r="M63" i="1"/>
  <c r="W62" i="1"/>
  <c r="V62" i="1"/>
  <c r="M62" i="1"/>
  <c r="W61" i="1"/>
  <c r="V61" i="1"/>
  <c r="M61" i="1"/>
  <c r="V60" i="1"/>
  <c r="V76" i="1" s="1"/>
  <c r="M60" i="1"/>
  <c r="W59" i="1"/>
  <c r="V59" i="1"/>
  <c r="U56" i="1"/>
  <c r="U55" i="1"/>
  <c r="W54" i="1"/>
  <c r="V54" i="1"/>
  <c r="V53" i="1"/>
  <c r="V56" i="1" s="1"/>
  <c r="M53" i="1"/>
  <c r="W52" i="1"/>
  <c r="V52" i="1"/>
  <c r="V55" i="1" s="1"/>
  <c r="M52" i="1"/>
  <c r="V49" i="1"/>
  <c r="U49" i="1"/>
  <c r="V48" i="1"/>
  <c r="U48" i="1"/>
  <c r="W47" i="1"/>
  <c r="V47" i="1"/>
  <c r="M47" i="1"/>
  <c r="W46" i="1"/>
  <c r="W48" i="1" s="1"/>
  <c r="V46" i="1"/>
  <c r="C469" i="1" s="1"/>
  <c r="M46" i="1"/>
  <c r="V42" i="1"/>
  <c r="U42" i="1"/>
  <c r="U41" i="1"/>
  <c r="W40" i="1"/>
  <c r="W41" i="1" s="1"/>
  <c r="V40" i="1"/>
  <c r="V41" i="1" s="1"/>
  <c r="M40" i="1"/>
  <c r="V38" i="1"/>
  <c r="U38" i="1"/>
  <c r="U37" i="1"/>
  <c r="W36" i="1"/>
  <c r="V36" i="1"/>
  <c r="M36" i="1"/>
  <c r="W35" i="1"/>
  <c r="W37" i="1" s="1"/>
  <c r="V35" i="1"/>
  <c r="V37" i="1" s="1"/>
  <c r="M35" i="1"/>
  <c r="U33" i="1"/>
  <c r="U32" i="1"/>
  <c r="W31" i="1"/>
  <c r="V31" i="1"/>
  <c r="M31" i="1"/>
  <c r="V30" i="1"/>
  <c r="W30" i="1" s="1"/>
  <c r="M30" i="1"/>
  <c r="W29" i="1"/>
  <c r="V29" i="1"/>
  <c r="M29" i="1"/>
  <c r="W28" i="1"/>
  <c r="V28" i="1"/>
  <c r="M28" i="1"/>
  <c r="W27" i="1"/>
  <c r="V27" i="1"/>
  <c r="M27" i="1"/>
  <c r="V26" i="1"/>
  <c r="V32" i="1" s="1"/>
  <c r="M26" i="1"/>
  <c r="U24" i="1"/>
  <c r="U459" i="1" s="1"/>
  <c r="U23" i="1"/>
  <c r="V22" i="1"/>
  <c r="V461" i="1" s="1"/>
  <c r="M22" i="1"/>
  <c r="H10" i="1"/>
  <c r="A9" i="1"/>
  <c r="J9" i="1" s="1"/>
  <c r="D7" i="1"/>
  <c r="N6" i="1"/>
  <c r="M2" i="1"/>
  <c r="W84" i="1" l="1"/>
  <c r="V182" i="1"/>
  <c r="W164" i="1"/>
  <c r="W181" i="1" s="1"/>
  <c r="V256" i="1"/>
  <c r="W389" i="1"/>
  <c r="D469" i="1"/>
  <c r="F9" i="1"/>
  <c r="F10" i="1"/>
  <c r="W22" i="1"/>
  <c r="W23" i="1" s="1"/>
  <c r="W26" i="1"/>
  <c r="W32" i="1" s="1"/>
  <c r="V33" i="1"/>
  <c r="W53" i="1"/>
  <c r="W55" i="1" s="1"/>
  <c r="E469" i="1"/>
  <c r="W60" i="1"/>
  <c r="W75" i="1" s="1"/>
  <c r="V75" i="1"/>
  <c r="W79" i="1"/>
  <c r="V84" i="1"/>
  <c r="W89" i="1"/>
  <c r="W96" i="1" s="1"/>
  <c r="V107" i="1"/>
  <c r="W111" i="1"/>
  <c r="W115" i="1" s="1"/>
  <c r="W119" i="1"/>
  <c r="W123" i="1" s="1"/>
  <c r="G469" i="1"/>
  <c r="W129" i="1"/>
  <c r="W131" i="1" s="1"/>
  <c r="V132" i="1"/>
  <c r="W138" i="1"/>
  <c r="W143" i="1" s="1"/>
  <c r="W157" i="1"/>
  <c r="W161" i="1" s="1"/>
  <c r="V181" i="1"/>
  <c r="V186" i="1"/>
  <c r="V187" i="1"/>
  <c r="W216" i="1"/>
  <c r="V225" i="1"/>
  <c r="W232" i="1"/>
  <c r="W238" i="1"/>
  <c r="M469" i="1"/>
  <c r="W297" i="1"/>
  <c r="N469" i="1"/>
  <c r="W341" i="1"/>
  <c r="V359" i="1"/>
  <c r="V390" i="1"/>
  <c r="Q469" i="1"/>
  <c r="V412" i="1"/>
  <c r="W421" i="1"/>
  <c r="W425" i="1" s="1"/>
  <c r="V426" i="1"/>
  <c r="W447" i="1"/>
  <c r="V453" i="1"/>
  <c r="V452" i="1"/>
  <c r="S469" i="1"/>
  <c r="V458" i="1"/>
  <c r="W456" i="1"/>
  <c r="W457" i="1" s="1"/>
  <c r="A10" i="1"/>
  <c r="H9" i="1"/>
  <c r="U463" i="1"/>
  <c r="V24" i="1"/>
  <c r="I469" i="1"/>
  <c r="V150" i="1"/>
  <c r="V162" i="1"/>
  <c r="V244" i="1"/>
  <c r="K469" i="1"/>
  <c r="W248" i="1"/>
  <c r="W255" i="1" s="1"/>
  <c r="V255" i="1"/>
  <c r="V261" i="1"/>
  <c r="V260" i="1"/>
  <c r="V266" i="1"/>
  <c r="W264" i="1"/>
  <c r="W265" i="1" s="1"/>
  <c r="W292" i="1"/>
  <c r="V293" i="1"/>
  <c r="W411" i="1"/>
  <c r="V443" i="1"/>
  <c r="L469" i="1"/>
  <c r="B469" i="1"/>
  <c r="V460" i="1"/>
  <c r="V462" i="1" s="1"/>
  <c r="V123" i="1"/>
  <c r="V271" i="1"/>
  <c r="W268" i="1"/>
  <c r="W271" i="1" s="1"/>
  <c r="V23" i="1"/>
  <c r="V124" i="1"/>
  <c r="V143" i="1"/>
  <c r="V155" i="1"/>
  <c r="W152" i="1"/>
  <c r="W154" i="1" s="1"/>
  <c r="J469" i="1"/>
  <c r="V205" i="1"/>
  <c r="V226" i="1"/>
  <c r="V245" i="1"/>
  <c r="W325" i="1"/>
  <c r="O469" i="1"/>
  <c r="V360" i="1"/>
  <c r="R469" i="1"/>
  <c r="V437" i="1"/>
  <c r="V438" i="1"/>
  <c r="W435" i="1"/>
  <c r="W437" i="1" s="1"/>
  <c r="P469" i="1"/>
  <c r="V216" i="1"/>
  <c r="V232" i="1"/>
  <c r="V238" i="1"/>
  <c r="V292" i="1"/>
  <c r="V313" i="1"/>
  <c r="V325" i="1"/>
  <c r="V370" i="1"/>
  <c r="V389" i="1"/>
  <c r="V411" i="1"/>
  <c r="W258" i="1"/>
  <c r="W260" i="1" s="1"/>
  <c r="W309" i="1"/>
  <c r="W313" i="1" s="1"/>
  <c r="W339" i="1"/>
  <c r="W352" i="1" s="1"/>
  <c r="W366" i="1"/>
  <c r="W369" i="1" s="1"/>
  <c r="W428" i="1"/>
  <c r="W430" i="1" s="1"/>
  <c r="W450" i="1"/>
  <c r="W452" i="1" s="1"/>
  <c r="V459" i="1" l="1"/>
  <c r="W464" i="1"/>
  <c r="V463" i="1"/>
</calcChain>
</file>

<file path=xl/sharedStrings.xml><?xml version="1.0" encoding="utf-8"?>
<sst xmlns="http://schemas.openxmlformats.org/spreadsheetml/2006/main" count="1680" uniqueCount="645">
  <si>
    <t xml:space="preserve">  БЛАНК ЗАКАЗА </t>
  </si>
  <si>
    <t>КИ</t>
  </si>
  <si>
    <t>на отгрузку продукции с ООО Трейд-Сервис с</t>
  </si>
  <si>
    <t>19.09.2023</t>
  </si>
  <si>
    <t>бланк создан</t>
  </si>
  <si>
    <t>15.09.2023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</si>
  <si>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</si>
  <si>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</si>
  <si>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</si>
  <si>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</si>
  <si>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</si>
  <si>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</si>
  <si>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</si>
  <si>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</si>
  <si>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</si>
  <si>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</si>
  <si>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</si>
  <si>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</si>
  <si>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</si>
  <si>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</si>
  <si>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</si>
  <si>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</si>
  <si>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</si>
  <si>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</si>
  <si>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</si>
  <si>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</si>
  <si>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</si>
  <si>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</si>
  <si>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</si>
  <si>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</si>
  <si>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</si>
  <si>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</si>
  <si>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</si>
  <si>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</si>
  <si>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</si>
  <si>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</si>
  <si>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</si>
  <si>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</si>
  <si>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</si>
  <si>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</si>
  <si>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</si>
  <si>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</si>
  <si>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</si>
  <si>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</si>
  <si>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</si>
  <si>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</si>
  <si>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</si>
  <si>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</si>
  <si>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</si>
  <si>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</si>
  <si>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</si>
  <si>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</si>
  <si>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</si>
  <si>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</si>
  <si>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</si>
  <si>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</si>
  <si>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</si>
  <si>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</si>
  <si>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</si>
  <si>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</si>
  <si>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</si>
  <si>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</si>
  <si>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</si>
  <si>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</si>
  <si>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</si>
  <si>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</si>
  <si>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</si>
  <si>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</si>
  <si>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</si>
  <si>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</si>
  <si>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</si>
  <si>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</si>
  <si>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</si>
  <si>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</si>
  <si>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</si>
  <si>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</si>
  <si>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</si>
  <si>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</si>
  <si>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</si>
  <si>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</si>
  <si>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</si>
  <si>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</si>
  <si>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</si>
  <si>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</si>
  <si>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</si>
  <si>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</si>
  <si>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</si>
  <si>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</si>
  <si>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</si>
  <si>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</si>
  <si>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</si>
  <si>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</si>
  <si>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</si>
  <si>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</si>
  <si>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</si>
  <si>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</si>
  <si>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</si>
  <si>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</si>
  <si>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</si>
  <si>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</si>
  <si>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</si>
  <si>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</si>
  <si>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</si>
  <si>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</si>
  <si>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</si>
  <si>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</si>
  <si>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</si>
  <si>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</si>
  <si>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</si>
  <si>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</si>
  <si>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</si>
  <si>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</si>
  <si>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</si>
  <si>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</si>
  <si>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</si>
  <si>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</si>
  <si>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</si>
  <si>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</si>
  <si>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</si>
  <si>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</si>
  <si>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</si>
  <si>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</si>
  <si>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</si>
  <si>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</si>
  <si>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</si>
  <si>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</si>
  <si>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</si>
  <si>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</si>
  <si>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</si>
  <si>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</si>
  <si>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</si>
  <si>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</si>
  <si>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</si>
  <si>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</si>
  <si>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</si>
  <si>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</si>
  <si>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</si>
  <si>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</si>
  <si>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</si>
  <si>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</si>
  <si>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</si>
  <si>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</si>
  <si>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</si>
  <si>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</si>
  <si>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</si>
  <si>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</si>
  <si>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</si>
  <si>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</si>
  <si>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</si>
  <si>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</si>
  <si>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</si>
  <si>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</si>
  <si>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</si>
  <si>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</si>
  <si>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</si>
  <si>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</si>
  <si>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</si>
  <si>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</si>
  <si>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</si>
  <si>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</si>
  <si>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</si>
  <si>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</si>
  <si>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</si>
  <si>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</si>
  <si>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</si>
  <si>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</si>
  <si>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</si>
  <si>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</si>
  <si>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</si>
  <si>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</si>
  <si>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</si>
  <si>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</si>
  <si>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</si>
  <si>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</si>
  <si>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</si>
  <si>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</si>
  <si>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SU002996</t>
  </si>
  <si>
    <t>P003464</t>
  </si>
  <si>
    <t>Сосиски «Сливушки с сыром» ф/в 0,3 п/а ТМ «Вязанка»</t>
  </si>
  <si>
    <t>Новинка</t>
  </si>
  <si>
    <t>SU001523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</si>
  <si>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</si>
  <si>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</si>
  <si>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</si>
  <si>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</si>
  <si>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</si>
  <si>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</si>
  <si>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</si>
  <si>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</si>
  <si>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</si>
  <si>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</si>
  <si>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</si>
  <si>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</si>
  <si>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</si>
  <si>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</si>
  <si>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</si>
  <si>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</si>
  <si>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</si>
  <si>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</si>
  <si>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SU002997</t>
  </si>
  <si>
    <t>P003465</t>
  </si>
  <si>
    <t>Сардельки «Сливушки с сыром #минидельки» ф/в 0,33 айпил ТМ «Вязанка»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</si>
  <si>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</si>
  <si>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</si>
  <si>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</si>
  <si>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</si>
  <si>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</si>
  <si>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</si>
  <si>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</si>
  <si>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</si>
  <si>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</si>
  <si>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</si>
  <si>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</si>
  <si>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</si>
  <si>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</si>
  <si>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</si>
  <si>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</si>
  <si>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</si>
  <si>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</si>
  <si>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</si>
  <si>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</si>
  <si>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</si>
  <si>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</si>
  <si>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</si>
  <si>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</si>
  <si>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</si>
  <si>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</si>
  <si>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</si>
  <si>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</si>
  <si>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</si>
  <si>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</si>
  <si>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</si>
  <si>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</si>
  <si>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</si>
  <si>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</si>
  <si>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</si>
  <si>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</si>
  <si>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</si>
  <si>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</si>
  <si>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</si>
  <si>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</si>
  <si>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</si>
  <si>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</si>
  <si>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</si>
  <si>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</si>
  <si>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</si>
  <si>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</si>
  <si>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</si>
  <si>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</si>
  <si>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</si>
  <si>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</si>
  <si>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</si>
  <si>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</si>
  <si>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</si>
  <si>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</si>
  <si>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</si>
  <si>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</si>
  <si>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</si>
  <si>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</si>
  <si>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</si>
  <si>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</si>
  <si>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</si>
  <si>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</si>
  <si>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</si>
  <si>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</si>
  <si>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</si>
  <si>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</si>
  <si>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</si>
  <si>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</si>
  <si>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</si>
  <si>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</si>
  <si>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</si>
  <si>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</si>
  <si>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</si>
  <si>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</si>
  <si>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</si>
  <si>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</si>
  <si>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</si>
  <si>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</si>
  <si>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</si>
  <si>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</si>
  <si>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</si>
  <si>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</si>
  <si>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</si>
  <si>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</si>
  <si>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</si>
  <si>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</si>
  <si>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</si>
  <si>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</si>
  <si>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</si>
  <si>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</si>
  <si>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</si>
  <si>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</si>
  <si>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</si>
  <si>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</si>
  <si>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</si>
  <si>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</si>
  <si>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</si>
  <si>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</si>
  <si>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</si>
  <si>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</si>
  <si>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</si>
  <si>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</si>
  <si>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</si>
  <si>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</si>
  <si>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</si>
  <si>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</si>
  <si>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</si>
  <si>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</si>
  <si>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</si>
  <si>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</si>
  <si>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</si>
  <si>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</si>
  <si>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</si>
  <si>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</si>
  <si>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</si>
  <si>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</si>
  <si>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</si>
  <si>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</si>
  <si>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</si>
  <si>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</si>
  <si>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</si>
  <si>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</si>
  <si>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</si>
  <si>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</si>
  <si>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</si>
  <si>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</si>
  <si>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</si>
  <si>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</si>
  <si>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</si>
  <si>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</si>
  <si>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</si>
  <si>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</si>
  <si>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</si>
  <si>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</si>
  <si>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</si>
  <si>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</si>
  <si>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</si>
  <si>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</si>
  <si>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</si>
  <si>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</si>
  <si>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</si>
  <si>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</si>
  <si>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</si>
  <si>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</si>
  <si>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</si>
  <si>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</si>
  <si>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</si>
  <si>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</si>
  <si>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</si>
  <si>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</si>
  <si>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</si>
  <si>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</si>
  <si>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</si>
  <si>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</si>
  <si>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</si>
  <si>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</si>
  <si>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</si>
  <si>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</si>
  <si>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</si>
  <si>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</si>
  <si>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</si>
  <si>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</si>
  <si>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</si>
  <si>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</si>
  <si>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</si>
  <si>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</si>
  <si>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</si>
  <si>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</si>
  <si>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</si>
  <si>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</si>
  <si>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</si>
  <si>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</si>
  <si>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</si>
  <si>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</si>
  <si>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</si>
  <si>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</si>
  <si>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</si>
  <si>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</si>
  <si>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</si>
  <si>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</si>
  <si>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</si>
  <si>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</si>
  <si>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</si>
  <si>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</si>
  <si>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</si>
  <si>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</si>
  <si>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</si>
  <si>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</si>
  <si>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</si>
  <si>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</si>
  <si>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</si>
  <si>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</si>
  <si>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</si>
  <si>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</si>
  <si>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</si>
  <si>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</si>
  <si>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</si>
  <si>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</si>
  <si>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</si>
  <si>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</si>
  <si>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</si>
  <si>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</si>
  <si>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</si>
  <si>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</si>
  <si>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</si>
  <si>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</si>
  <si>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</si>
  <si>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</si>
  <si>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</si>
  <si>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</si>
  <si>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</si>
  <si>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</si>
  <si>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</si>
  <si>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</si>
  <si>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</si>
  <si>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</si>
  <si>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</si>
  <si>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</si>
  <si>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</si>
  <si>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</si>
  <si>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</si>
  <si>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</si>
  <si>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</si>
  <si>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</si>
  <si>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</si>
  <si>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</si>
  <si>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</si>
  <si>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</si>
  <si>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</si>
  <si>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</si>
  <si>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</si>
  <si>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</si>
  <si>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</si>
  <si>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</si>
  <si>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</si>
  <si>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</si>
  <si>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</si>
  <si>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</si>
  <si>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</si>
  <si>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</si>
  <si>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</si>
  <si>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</si>
  <si>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</si>
  <si>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</si>
  <si>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</si>
  <si>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</si>
  <si>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</si>
  <si>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</si>
  <si>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</si>
  <si>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</si>
  <si>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</si>
  <si>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</si>
  <si>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</si>
  <si>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</si>
  <si>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</si>
  <si>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</si>
  <si>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</si>
  <si>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</si>
  <si>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</si>
  <si>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</si>
  <si>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</si>
  <si>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</si>
  <si>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</si>
  <si>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</si>
  <si>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</si>
  <si>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</si>
  <si>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</si>
  <si>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</si>
  <si>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</si>
  <si>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</si>
  <si>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</si>
  <si>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</si>
  <si>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</si>
  <si>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</si>
  <si>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</si>
  <si>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</si>
  <si>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</si>
  <si>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</si>
  <si>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</si>
  <si>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</si>
  <si>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</si>
  <si>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</si>
  <si>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</si>
  <si>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</si>
  <si>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</si>
  <si>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</si>
  <si>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</si>
  <si>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</si>
  <si>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</si>
  <si>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</si>
  <si>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</si>
  <si>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</si>
  <si>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</si>
  <si>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</si>
  <si>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</si>
  <si>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</si>
  <si>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</si>
  <si>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</si>
  <si>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</si>
  <si>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</si>
  <si>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</si>
  <si>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</si>
  <si>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</si>
  <si>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</si>
  <si>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</si>
  <si>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</si>
  <si>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</si>
  <si>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</si>
  <si>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</si>
  <si>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</si>
  <si>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</si>
  <si>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</si>
  <si>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</si>
  <si>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</si>
  <si>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</si>
  <si>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</si>
  <si>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</si>
  <si>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</si>
  <si>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</si>
  <si>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</si>
  <si>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</si>
  <si>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</si>
  <si>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</si>
  <si>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</si>
  <si>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</si>
  <si>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</si>
  <si>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</si>
  <si>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</si>
  <si>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</si>
  <si>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</si>
  <si>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</si>
  <si>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</si>
  <si>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</si>
  <si>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</si>
  <si>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</si>
  <si>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</si>
  <si>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</si>
  <si>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</si>
  <si>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</si>
  <si>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</si>
  <si>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</si>
  <si>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</si>
  <si>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</si>
  <si>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</si>
  <si>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</si>
  <si>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</si>
  <si>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</si>
  <si>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</si>
  <si>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</si>
  <si>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</si>
  <si>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</si>
  <si>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</si>
  <si>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</si>
  <si>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</si>
  <si>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</si>
  <si>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</si>
  <si>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</si>
  <si>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</si>
  <si>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</si>
  <si>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</si>
  <si>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</si>
  <si>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</si>
  <si>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</si>
  <si>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</si>
  <si>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</si>
  <si>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</si>
  <si>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</si>
  <si>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</si>
  <si>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</si>
  <si>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</si>
  <si>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</si>
  <si>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</si>
  <si>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</si>
  <si>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</si>
  <si>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</si>
  <si>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</si>
  <si>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</si>
  <si>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</si>
  <si>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</si>
  <si>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</si>
  <si>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</si>
  <si>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</si>
  <si>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</si>
  <si>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</si>
  <si>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</si>
  <si>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</si>
  <si>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</si>
  <si>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</si>
  <si>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</si>
  <si>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</si>
  <si>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</si>
  <si>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</si>
  <si>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</si>
  <si>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</si>
  <si>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</si>
  <si>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</si>
  <si>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</si>
  <si>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</si>
  <si>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</si>
  <si>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</si>
  <si>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</si>
  <si>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</si>
  <si>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</si>
  <si>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</si>
  <si>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</si>
  <si>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</si>
  <si>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</si>
  <si>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</si>
  <si>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</si>
  <si>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</si>
  <si>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</si>
  <si>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</si>
  <si>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</si>
  <si>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</si>
  <si>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</si>
  <si>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</si>
  <si>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</si>
  <si>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</si>
  <si>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</si>
  <si>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</si>
  <si>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</si>
  <si>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</si>
  <si>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</si>
  <si>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</si>
  <si>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</si>
  <si>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</si>
  <si>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</si>
  <si>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</si>
  <si>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</si>
  <si>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</si>
  <si>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</si>
  <si>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</si>
  <si>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</si>
  <si>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</si>
  <si>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</si>
  <si>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</si>
  <si>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</si>
  <si>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</si>
  <si>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</si>
  <si>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</si>
  <si>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</si>
  <si>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</si>
  <si>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</si>
  <si>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собрать отдельно подписать краснодар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</si>
</sst>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5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69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2" customFormat="1" ht="45" customHeight="1" x14ac:dyDescent="0.2">
      <c r="A1" s="42"/>
      <c r="B1" s="42"/>
      <c r="C1" s="42"/>
      <c r="D1" s="308" t="s">
        <v>0</v>
      </c>
      <c r="E1" s="309"/>
      <c r="F1" s="309"/>
      <c r="G1" s="13" t="s">
        <v>1</v>
      </c>
      <c r="H1" s="308" t="s">
        <v>2</v>
      </c>
      <c r="I1" s="309"/>
      <c r="J1" s="309"/>
      <c r="K1" s="309"/>
      <c r="L1" s="309"/>
      <c r="M1" s="309"/>
      <c r="N1" s="309"/>
      <c r="O1" s="310" t="s">
        <v>3</v>
      </c>
      <c r="P1" s="309"/>
      <c r="Q1" s="309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2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2"/>
      <c r="O2" s="312"/>
      <c r="P2" s="312"/>
      <c r="Q2" s="312"/>
      <c r="R2" s="312"/>
      <c r="S2" s="312"/>
      <c r="T2" s="312"/>
      <c r="U2" s="17"/>
      <c r="V2" s="17"/>
      <c r="W2" s="17"/>
      <c r="X2" s="17"/>
      <c r="Y2" s="52"/>
      <c r="Z2" s="52"/>
      <c r="AA2" s="52"/>
    </row>
    <row r="3" spans="1:28" s="302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2"/>
      <c r="N3" s="312"/>
      <c r="O3" s="312"/>
      <c r="P3" s="312"/>
      <c r="Q3" s="312"/>
      <c r="R3" s="312"/>
      <c r="S3" s="312"/>
      <c r="T3" s="312"/>
      <c r="U3" s="17"/>
      <c r="V3" s="17"/>
      <c r="W3" s="17"/>
      <c r="X3" s="17"/>
      <c r="Y3" s="52"/>
      <c r="Z3" s="52"/>
      <c r="AA3" s="52"/>
    </row>
    <row r="4" spans="1:28" s="30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2" customFormat="1" ht="23.45" customHeight="1" x14ac:dyDescent="0.2">
      <c r="A5" s="313" t="s">
        <v>8</v>
      </c>
      <c r="B5" s="314"/>
      <c r="C5" s="315"/>
      <c r="D5" s="316"/>
      <c r="E5" s="317"/>
      <c r="F5" s="318" t="s">
        <v>9</v>
      </c>
      <c r="G5" s="315"/>
      <c r="H5" s="316" t="s">
        <v>644</v>
      </c>
      <c r="I5" s="319"/>
      <c r="J5" s="319"/>
      <c r="K5" s="317"/>
      <c r="M5" s="25" t="s">
        <v>10</v>
      </c>
      <c r="N5" s="320">
        <v>45190</v>
      </c>
      <c r="O5" s="321"/>
      <c r="Q5" s="322" t="s">
        <v>11</v>
      </c>
      <c r="R5" s="323"/>
      <c r="S5" s="324" t="s">
        <v>12</v>
      </c>
      <c r="T5" s="321"/>
      <c r="Y5" s="52"/>
      <c r="Z5" s="52"/>
      <c r="AA5" s="52"/>
    </row>
    <row r="6" spans="1:28" s="302" customFormat="1" ht="24" customHeight="1" x14ac:dyDescent="0.2">
      <c r="A6" s="313" t="s">
        <v>13</v>
      </c>
      <c r="B6" s="314"/>
      <c r="C6" s="315"/>
      <c r="D6" s="325" t="s">
        <v>618</v>
      </c>
      <c r="E6" s="326"/>
      <c r="F6" s="326"/>
      <c r="G6" s="326"/>
      <c r="H6" s="326"/>
      <c r="I6" s="326"/>
      <c r="J6" s="326"/>
      <c r="K6" s="321"/>
      <c r="M6" s="25" t="s">
        <v>15</v>
      </c>
      <c r="N6" s="327" t="str">
        <f>IF(N5=0," ",CHOOSE(WEEKDAY(N5,2),"Понедельник","Вторник","Среда","Четверг","Пятница","Суббота","Воскресенье"))</f>
        <v>Четверг</v>
      </c>
      <c r="O6" s="328"/>
      <c r="Q6" s="329" t="s">
        <v>16</v>
      </c>
      <c r="R6" s="323"/>
      <c r="S6" s="330" t="s">
        <v>17</v>
      </c>
      <c r="T6" s="331"/>
      <c r="Y6" s="52"/>
      <c r="Z6" s="52"/>
      <c r="AA6" s="52"/>
    </row>
    <row r="7" spans="1:28" s="302" customFormat="1" ht="21.75" hidden="1" customHeight="1" x14ac:dyDescent="0.2">
      <c r="A7" s="56"/>
      <c r="B7" s="56"/>
      <c r="C7" s="56"/>
      <c r="D7" s="336" t="str">
        <f>IFERROR(VLOOKUP(DeliveryAddress,Table,3,0),1)</f>
        <v>4</v>
      </c>
      <c r="E7" s="337"/>
      <c r="F7" s="337"/>
      <c r="G7" s="337"/>
      <c r="H7" s="337"/>
      <c r="I7" s="337"/>
      <c r="J7" s="337"/>
      <c r="K7" s="338"/>
      <c r="M7" s="25"/>
      <c r="N7" s="43"/>
      <c r="O7" s="43"/>
      <c r="Q7" s="312"/>
      <c r="R7" s="323"/>
      <c r="S7" s="332"/>
      <c r="T7" s="333"/>
      <c r="Y7" s="52"/>
      <c r="Z7" s="52"/>
      <c r="AA7" s="52"/>
    </row>
    <row r="8" spans="1:28" s="302" customFormat="1" ht="25.5" customHeight="1" x14ac:dyDescent="0.2">
      <c r="A8" s="339" t="s">
        <v>18</v>
      </c>
      <c r="B8" s="340"/>
      <c r="C8" s="341"/>
      <c r="D8" s="342"/>
      <c r="E8" s="343"/>
      <c r="F8" s="343"/>
      <c r="G8" s="343"/>
      <c r="H8" s="343"/>
      <c r="I8" s="343"/>
      <c r="J8" s="343"/>
      <c r="K8" s="344"/>
      <c r="M8" s="25" t="s">
        <v>19</v>
      </c>
      <c r="N8" s="345">
        <v>0.58333333333333337</v>
      </c>
      <c r="O8" s="321"/>
      <c r="Q8" s="312"/>
      <c r="R8" s="323"/>
      <c r="S8" s="332"/>
      <c r="T8" s="333"/>
      <c r="Y8" s="52"/>
      <c r="Z8" s="52"/>
      <c r="AA8" s="52"/>
    </row>
    <row r="9" spans="1:28" s="302" customFormat="1" ht="39.950000000000003" customHeight="1" x14ac:dyDescent="0.2">
      <c r="A9" s="34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2"/>
      <c r="C9" s="312"/>
      <c r="D9" s="347"/>
      <c r="E9" s="348"/>
      <c r="F9" s="34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2"/>
      <c r="H9" s="349" t="str">
        <f>IF(AND($A$9="Тип доверенности/получателя при получении в адресе перегруза:",$D$9="Разовая доверенность"),"Введите ФИО","")</f>
        <v/>
      </c>
      <c r="I9" s="348"/>
      <c r="J9" s="34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8"/>
      <c r="M9" s="27" t="s">
        <v>20</v>
      </c>
      <c r="N9" s="320"/>
      <c r="O9" s="321"/>
      <c r="Q9" s="312"/>
      <c r="R9" s="323"/>
      <c r="S9" s="334"/>
      <c r="T9" s="335"/>
      <c r="U9" s="44"/>
      <c r="V9" s="44"/>
      <c r="W9" s="44"/>
      <c r="X9" s="44"/>
      <c r="Y9" s="52"/>
      <c r="Z9" s="52"/>
      <c r="AA9" s="52"/>
    </row>
    <row r="10" spans="1:28" s="302" customFormat="1" ht="26.45" customHeight="1" x14ac:dyDescent="0.2">
      <c r="A10" s="34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2"/>
      <c r="C10" s="312"/>
      <c r="D10" s="347"/>
      <c r="E10" s="348"/>
      <c r="F10" s="34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2"/>
      <c r="H10" s="350" t="str">
        <f>IFERROR(VLOOKUP($D$10,Proxy,2,FALSE),"")</f>
        <v/>
      </c>
      <c r="I10" s="312"/>
      <c r="J10" s="312"/>
      <c r="K10" s="312"/>
      <c r="M10" s="27" t="s">
        <v>21</v>
      </c>
      <c r="N10" s="345"/>
      <c r="O10" s="321"/>
      <c r="R10" s="25" t="s">
        <v>22</v>
      </c>
      <c r="S10" s="351" t="s">
        <v>23</v>
      </c>
      <c r="T10" s="331"/>
      <c r="U10" s="45"/>
      <c r="V10" s="45"/>
      <c r="W10" s="45"/>
      <c r="X10" s="45"/>
      <c r="Y10" s="52"/>
      <c r="Z10" s="52"/>
      <c r="AA10" s="52"/>
    </row>
    <row r="11" spans="1:28" s="302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5"/>
      <c r="O11" s="321"/>
      <c r="R11" s="25" t="s">
        <v>26</v>
      </c>
      <c r="S11" s="352" t="s">
        <v>27</v>
      </c>
      <c r="T11" s="353"/>
      <c r="U11" s="46"/>
      <c r="V11" s="46"/>
      <c r="W11" s="46"/>
      <c r="X11" s="46"/>
      <c r="Y11" s="52"/>
      <c r="Z11" s="52"/>
      <c r="AA11" s="52"/>
    </row>
    <row r="12" spans="1:28" s="302" customFormat="1" ht="18.600000000000001" customHeight="1" x14ac:dyDescent="0.2">
      <c r="A12" s="354" t="s">
        <v>28</v>
      </c>
      <c r="B12" s="314"/>
      <c r="C12" s="314"/>
      <c r="D12" s="314"/>
      <c r="E12" s="314"/>
      <c r="F12" s="314"/>
      <c r="G12" s="314"/>
      <c r="H12" s="314"/>
      <c r="I12" s="314"/>
      <c r="J12" s="314"/>
      <c r="K12" s="315"/>
      <c r="M12" s="25" t="s">
        <v>29</v>
      </c>
      <c r="N12" s="355"/>
      <c r="O12" s="338"/>
      <c r="P12" s="24"/>
      <c r="R12" s="25"/>
      <c r="S12" s="309"/>
      <c r="T12" s="312"/>
      <c r="Y12" s="52"/>
      <c r="Z12" s="52"/>
      <c r="AA12" s="52"/>
    </row>
    <row r="13" spans="1:28" s="302" customFormat="1" ht="23.25" customHeight="1" x14ac:dyDescent="0.2">
      <c r="A13" s="354" t="s">
        <v>30</v>
      </c>
      <c r="B13" s="314"/>
      <c r="C13" s="314"/>
      <c r="D13" s="314"/>
      <c r="E13" s="314"/>
      <c r="F13" s="314"/>
      <c r="G13" s="314"/>
      <c r="H13" s="314"/>
      <c r="I13" s="314"/>
      <c r="J13" s="314"/>
      <c r="K13" s="315"/>
      <c r="L13" s="27"/>
      <c r="M13" s="27" t="s">
        <v>31</v>
      </c>
      <c r="N13" s="352"/>
      <c r="O13" s="353"/>
      <c r="P13" s="24"/>
      <c r="U13" s="50"/>
      <c r="V13" s="50"/>
      <c r="W13" s="50"/>
      <c r="X13" s="50"/>
      <c r="Y13" s="52"/>
      <c r="Z13" s="52"/>
      <c r="AA13" s="52"/>
    </row>
    <row r="14" spans="1:28" s="302" customFormat="1" ht="18.600000000000001" customHeight="1" x14ac:dyDescent="0.2">
      <c r="A14" s="354" t="s">
        <v>32</v>
      </c>
      <c r="B14" s="314"/>
      <c r="C14" s="314"/>
      <c r="D14" s="314"/>
      <c r="E14" s="314"/>
      <c r="F14" s="314"/>
      <c r="G14" s="314"/>
      <c r="H14" s="314"/>
      <c r="I14" s="314"/>
      <c r="J14" s="314"/>
      <c r="K14" s="315"/>
      <c r="U14" s="51"/>
      <c r="V14" s="51"/>
      <c r="W14" s="51"/>
      <c r="X14" s="51"/>
      <c r="Y14" s="52"/>
      <c r="Z14" s="52"/>
      <c r="AA14" s="52"/>
    </row>
    <row r="15" spans="1:28" s="302" customFormat="1" ht="22.5" customHeight="1" x14ac:dyDescent="0.2">
      <c r="A15" s="356" t="s">
        <v>33</v>
      </c>
      <c r="B15" s="314"/>
      <c r="C15" s="314"/>
      <c r="D15" s="314"/>
      <c r="E15" s="314"/>
      <c r="F15" s="314"/>
      <c r="G15" s="314"/>
      <c r="H15" s="314"/>
      <c r="I15" s="314"/>
      <c r="J15" s="314"/>
      <c r="K15" s="315"/>
      <c r="M15" s="357" t="s">
        <v>34</v>
      </c>
      <c r="N15" s="309"/>
      <c r="O15" s="309"/>
      <c r="P15" s="309"/>
      <c r="Q15" s="309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8"/>
      <c r="N16" s="358"/>
      <c r="O16" s="358"/>
      <c r="P16" s="358"/>
      <c r="Q16" s="358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0" t="s">
        <v>35</v>
      </c>
      <c r="B17" s="360" t="s">
        <v>36</v>
      </c>
      <c r="C17" s="362" t="s">
        <v>37</v>
      </c>
      <c r="D17" s="360" t="s">
        <v>38</v>
      </c>
      <c r="E17" s="363"/>
      <c r="F17" s="360" t="s">
        <v>39</v>
      </c>
      <c r="G17" s="360" t="s">
        <v>40</v>
      </c>
      <c r="H17" s="360" t="s">
        <v>41</v>
      </c>
      <c r="I17" s="360" t="s">
        <v>42</v>
      </c>
      <c r="J17" s="360" t="s">
        <v>43</v>
      </c>
      <c r="K17" s="360" t="s">
        <v>44</v>
      </c>
      <c r="L17" s="360" t="s">
        <v>45</v>
      </c>
      <c r="M17" s="360" t="s">
        <v>46</v>
      </c>
      <c r="N17" s="366"/>
      <c r="O17" s="366"/>
      <c r="P17" s="366"/>
      <c r="Q17" s="363"/>
      <c r="R17" s="359" t="s">
        <v>47</v>
      </c>
      <c r="S17" s="315"/>
      <c r="T17" s="360" t="s">
        <v>48</v>
      </c>
      <c r="U17" s="360" t="s">
        <v>49</v>
      </c>
      <c r="V17" s="368" t="s">
        <v>50</v>
      </c>
      <c r="W17" s="360" t="s">
        <v>51</v>
      </c>
      <c r="X17" s="370" t="s">
        <v>52</v>
      </c>
      <c r="Y17" s="370" t="s">
        <v>53</v>
      </c>
      <c r="Z17" s="370" t="s">
        <v>54</v>
      </c>
      <c r="AA17" s="372"/>
      <c r="AB17" s="373"/>
      <c r="AC17" s="377"/>
      <c r="AZ17" s="379" t="s">
        <v>55</v>
      </c>
    </row>
    <row r="18" spans="1:52" ht="14.25" customHeight="1" x14ac:dyDescent="0.2">
      <c r="A18" s="361"/>
      <c r="B18" s="361"/>
      <c r="C18" s="361"/>
      <c r="D18" s="364"/>
      <c r="E18" s="365"/>
      <c r="F18" s="361"/>
      <c r="G18" s="361"/>
      <c r="H18" s="361"/>
      <c r="I18" s="361"/>
      <c r="J18" s="361"/>
      <c r="K18" s="361"/>
      <c r="L18" s="361"/>
      <c r="M18" s="364"/>
      <c r="N18" s="367"/>
      <c r="O18" s="367"/>
      <c r="P18" s="367"/>
      <c r="Q18" s="365"/>
      <c r="R18" s="301" t="s">
        <v>56</v>
      </c>
      <c r="S18" s="301" t="s">
        <v>57</v>
      </c>
      <c r="T18" s="361"/>
      <c r="U18" s="361"/>
      <c r="V18" s="369"/>
      <c r="W18" s="361"/>
      <c r="X18" s="371"/>
      <c r="Y18" s="371"/>
      <c r="Z18" s="374"/>
      <c r="AA18" s="375"/>
      <c r="AB18" s="376"/>
      <c r="AC18" s="378"/>
      <c r="AZ18" s="312"/>
    </row>
    <row r="19" spans="1:52" ht="27.75" customHeight="1" x14ac:dyDescent="0.2">
      <c r="A19" s="380" t="s">
        <v>58</v>
      </c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49"/>
      <c r="Y19" s="49"/>
    </row>
    <row r="20" spans="1:52" ht="16.5" customHeight="1" x14ac:dyDescent="0.25">
      <c r="A20" s="382" t="s">
        <v>58</v>
      </c>
      <c r="B20" s="312"/>
      <c r="C20" s="312"/>
      <c r="D20" s="312"/>
      <c r="E20" s="312"/>
      <c r="F20" s="312"/>
      <c r="G20" s="312"/>
      <c r="H20" s="312"/>
      <c r="I20" s="312"/>
      <c r="J20" s="312"/>
      <c r="K20" s="312"/>
      <c r="L20" s="312"/>
      <c r="M20" s="312"/>
      <c r="N20" s="312"/>
      <c r="O20" s="312"/>
      <c r="P20" s="312"/>
      <c r="Q20" s="312"/>
      <c r="R20" s="312"/>
      <c r="S20" s="312"/>
      <c r="T20" s="312"/>
      <c r="U20" s="312"/>
      <c r="V20" s="312"/>
      <c r="W20" s="312"/>
      <c r="X20" s="299"/>
      <c r="Y20" s="299"/>
    </row>
    <row r="21" spans="1:52" ht="14.25" customHeight="1" x14ac:dyDescent="0.25">
      <c r="A21" s="383" t="s">
        <v>59</v>
      </c>
      <c r="B21" s="312"/>
      <c r="C21" s="312"/>
      <c r="D21" s="312"/>
      <c r="E21" s="312"/>
      <c r="F21" s="312"/>
      <c r="G21" s="312"/>
      <c r="H21" s="312"/>
      <c r="I21" s="312"/>
      <c r="J21" s="312"/>
      <c r="K21" s="312"/>
      <c r="L21" s="312"/>
      <c r="M21" s="312"/>
      <c r="N21" s="312"/>
      <c r="O21" s="312"/>
      <c r="P21" s="312"/>
      <c r="Q21" s="312"/>
      <c r="R21" s="312"/>
      <c r="S21" s="312"/>
      <c r="T21" s="312"/>
      <c r="U21" s="312"/>
      <c r="V21" s="312"/>
      <c r="W21" s="312"/>
      <c r="X21" s="300"/>
      <c r="Y21" s="300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4">
        <v>4607091389258</v>
      </c>
      <c r="E22" s="328"/>
      <c r="F22" s="303">
        <v>0.3</v>
      </c>
      <c r="G22" s="33">
        <v>6</v>
      </c>
      <c r="H22" s="303">
        <v>1.8</v>
      </c>
      <c r="I22" s="303">
        <v>2</v>
      </c>
      <c r="J22" s="33">
        <v>156</v>
      </c>
      <c r="K22" s="34" t="s">
        <v>62</v>
      </c>
      <c r="L22" s="33">
        <v>35</v>
      </c>
      <c r="M22" s="38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6"/>
      <c r="O22" s="386"/>
      <c r="P22" s="386"/>
      <c r="Q22" s="328"/>
      <c r="R22" s="35"/>
      <c r="S22" s="35"/>
      <c r="T22" s="36" t="s">
        <v>63</v>
      </c>
      <c r="U22" s="304">
        <v>0</v>
      </c>
      <c r="V22" s="305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8"/>
      <c r="B23" s="312"/>
      <c r="C23" s="312"/>
      <c r="D23" s="312"/>
      <c r="E23" s="312"/>
      <c r="F23" s="312"/>
      <c r="G23" s="312"/>
      <c r="H23" s="312"/>
      <c r="I23" s="312"/>
      <c r="J23" s="312"/>
      <c r="K23" s="312"/>
      <c r="L23" s="389"/>
      <c r="M23" s="387" t="s">
        <v>64</v>
      </c>
      <c r="N23" s="340"/>
      <c r="O23" s="340"/>
      <c r="P23" s="340"/>
      <c r="Q23" s="340"/>
      <c r="R23" s="340"/>
      <c r="S23" s="341"/>
      <c r="T23" s="38" t="s">
        <v>65</v>
      </c>
      <c r="U23" s="306">
        <f>IFERROR(U22/H22,"0")</f>
        <v>0</v>
      </c>
      <c r="V23" s="306">
        <f>IFERROR(V22/H22,"0")</f>
        <v>0</v>
      </c>
      <c r="W23" s="306">
        <f>IFERROR(IF(W22="",0,W22),"0")</f>
        <v>0</v>
      </c>
      <c r="X23" s="307"/>
      <c r="Y23" s="307"/>
    </row>
    <row r="24" spans="1:52" x14ac:dyDescent="0.2">
      <c r="A24" s="312"/>
      <c r="B24" s="312"/>
      <c r="C24" s="312"/>
      <c r="D24" s="312"/>
      <c r="E24" s="312"/>
      <c r="F24" s="312"/>
      <c r="G24" s="312"/>
      <c r="H24" s="312"/>
      <c r="I24" s="312"/>
      <c r="J24" s="312"/>
      <c r="K24" s="312"/>
      <c r="L24" s="389"/>
      <c r="M24" s="387" t="s">
        <v>64</v>
      </c>
      <c r="N24" s="340"/>
      <c r="O24" s="340"/>
      <c r="P24" s="340"/>
      <c r="Q24" s="340"/>
      <c r="R24" s="340"/>
      <c r="S24" s="341"/>
      <c r="T24" s="38" t="s">
        <v>63</v>
      </c>
      <c r="U24" s="306">
        <f>IFERROR(SUM(U22:U22),"0")</f>
        <v>0</v>
      </c>
      <c r="V24" s="306">
        <f>IFERROR(SUM(V22:V22),"0")</f>
        <v>0</v>
      </c>
      <c r="W24" s="38"/>
      <c r="X24" s="307"/>
      <c r="Y24" s="307"/>
    </row>
    <row r="25" spans="1:52" ht="14.25" customHeight="1" x14ac:dyDescent="0.25">
      <c r="A25" s="383" t="s">
        <v>66</v>
      </c>
      <c r="B25" s="312"/>
      <c r="C25" s="312"/>
      <c r="D25" s="312"/>
      <c r="E25" s="312"/>
      <c r="F25" s="312"/>
      <c r="G25" s="312"/>
      <c r="H25" s="312"/>
      <c r="I25" s="312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312"/>
      <c r="V25" s="312"/>
      <c r="W25" s="312"/>
      <c r="X25" s="300"/>
      <c r="Y25" s="300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4">
        <v>4607091383881</v>
      </c>
      <c r="E26" s="328"/>
      <c r="F26" s="303">
        <v>0.33</v>
      </c>
      <c r="G26" s="33">
        <v>6</v>
      </c>
      <c r="H26" s="303">
        <v>1.98</v>
      </c>
      <c r="I26" s="303">
        <v>2.246</v>
      </c>
      <c r="J26" s="33">
        <v>156</v>
      </c>
      <c r="K26" s="34" t="s">
        <v>62</v>
      </c>
      <c r="L26" s="33">
        <v>35</v>
      </c>
      <c r="M26" s="39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6"/>
      <c r="O26" s="386"/>
      <c r="P26" s="386"/>
      <c r="Q26" s="328"/>
      <c r="R26" s="35"/>
      <c r="S26" s="35"/>
      <c r="T26" s="36" t="s">
        <v>63</v>
      </c>
      <c r="U26" s="304">
        <v>0</v>
      </c>
      <c r="V26" s="305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4">
        <v>4607091388237</v>
      </c>
      <c r="E27" s="328"/>
      <c r="F27" s="303">
        <v>0.42</v>
      </c>
      <c r="G27" s="33">
        <v>6</v>
      </c>
      <c r="H27" s="303">
        <v>2.52</v>
      </c>
      <c r="I27" s="303">
        <v>2.786</v>
      </c>
      <c r="J27" s="33">
        <v>156</v>
      </c>
      <c r="K27" s="34" t="s">
        <v>62</v>
      </c>
      <c r="L27" s="33">
        <v>35</v>
      </c>
      <c r="M27" s="39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6"/>
      <c r="O27" s="386"/>
      <c r="P27" s="386"/>
      <c r="Q27" s="328"/>
      <c r="R27" s="35"/>
      <c r="S27" s="35"/>
      <c r="T27" s="36" t="s">
        <v>63</v>
      </c>
      <c r="U27" s="304">
        <v>0</v>
      </c>
      <c r="V27" s="305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4">
        <v>4607091383935</v>
      </c>
      <c r="E28" s="328"/>
      <c r="F28" s="303">
        <v>0.33</v>
      </c>
      <c r="G28" s="33">
        <v>6</v>
      </c>
      <c r="H28" s="303">
        <v>1.98</v>
      </c>
      <c r="I28" s="303">
        <v>2.246</v>
      </c>
      <c r="J28" s="33">
        <v>156</v>
      </c>
      <c r="K28" s="34" t="s">
        <v>62</v>
      </c>
      <c r="L28" s="33">
        <v>30</v>
      </c>
      <c r="M28" s="39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6"/>
      <c r="O28" s="386"/>
      <c r="P28" s="386"/>
      <c r="Q28" s="328"/>
      <c r="R28" s="35"/>
      <c r="S28" s="35"/>
      <c r="T28" s="36" t="s">
        <v>63</v>
      </c>
      <c r="U28" s="304">
        <v>0</v>
      </c>
      <c r="V28" s="305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4">
        <v>4680115881853</v>
      </c>
      <c r="E29" s="328"/>
      <c r="F29" s="303">
        <v>0.33</v>
      </c>
      <c r="G29" s="33">
        <v>6</v>
      </c>
      <c r="H29" s="303">
        <v>1.98</v>
      </c>
      <c r="I29" s="303">
        <v>2.246</v>
      </c>
      <c r="J29" s="33">
        <v>156</v>
      </c>
      <c r="K29" s="34" t="s">
        <v>62</v>
      </c>
      <c r="L29" s="33">
        <v>30</v>
      </c>
      <c r="M29" s="39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6"/>
      <c r="O29" s="386"/>
      <c r="P29" s="386"/>
      <c r="Q29" s="328"/>
      <c r="R29" s="35"/>
      <c r="S29" s="35"/>
      <c r="T29" s="36" t="s">
        <v>63</v>
      </c>
      <c r="U29" s="304">
        <v>0</v>
      </c>
      <c r="V29" s="305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4">
        <v>4607091383911</v>
      </c>
      <c r="E30" s="328"/>
      <c r="F30" s="303">
        <v>0.33</v>
      </c>
      <c r="G30" s="33">
        <v>6</v>
      </c>
      <c r="H30" s="303">
        <v>1.98</v>
      </c>
      <c r="I30" s="303">
        <v>2.246</v>
      </c>
      <c r="J30" s="33">
        <v>156</v>
      </c>
      <c r="K30" s="34" t="s">
        <v>62</v>
      </c>
      <c r="L30" s="33">
        <v>35</v>
      </c>
      <c r="M30" s="39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6"/>
      <c r="O30" s="386"/>
      <c r="P30" s="386"/>
      <c r="Q30" s="328"/>
      <c r="R30" s="35"/>
      <c r="S30" s="35"/>
      <c r="T30" s="36" t="s">
        <v>63</v>
      </c>
      <c r="U30" s="304">
        <v>0</v>
      </c>
      <c r="V30" s="305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4">
        <v>4607091388244</v>
      </c>
      <c r="E31" s="328"/>
      <c r="F31" s="303">
        <v>0.42</v>
      </c>
      <c r="G31" s="33">
        <v>6</v>
      </c>
      <c r="H31" s="303">
        <v>2.52</v>
      </c>
      <c r="I31" s="303">
        <v>2.786</v>
      </c>
      <c r="J31" s="33">
        <v>156</v>
      </c>
      <c r="K31" s="34" t="s">
        <v>62</v>
      </c>
      <c r="L31" s="33">
        <v>35</v>
      </c>
      <c r="M31" s="39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6"/>
      <c r="O31" s="386"/>
      <c r="P31" s="386"/>
      <c r="Q31" s="328"/>
      <c r="R31" s="35"/>
      <c r="S31" s="35"/>
      <c r="T31" s="36" t="s">
        <v>63</v>
      </c>
      <c r="U31" s="304">
        <v>0</v>
      </c>
      <c r="V31" s="305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8"/>
      <c r="B32" s="312"/>
      <c r="C32" s="312"/>
      <c r="D32" s="312"/>
      <c r="E32" s="312"/>
      <c r="F32" s="312"/>
      <c r="G32" s="312"/>
      <c r="H32" s="312"/>
      <c r="I32" s="312"/>
      <c r="J32" s="312"/>
      <c r="K32" s="312"/>
      <c r="L32" s="389"/>
      <c r="M32" s="387" t="s">
        <v>64</v>
      </c>
      <c r="N32" s="340"/>
      <c r="O32" s="340"/>
      <c r="P32" s="340"/>
      <c r="Q32" s="340"/>
      <c r="R32" s="340"/>
      <c r="S32" s="341"/>
      <c r="T32" s="38" t="s">
        <v>65</v>
      </c>
      <c r="U32" s="306">
        <f>IFERROR(U26/H26,"0")+IFERROR(U27/H27,"0")+IFERROR(U28/H28,"0")+IFERROR(U29/H29,"0")+IFERROR(U30/H30,"0")+IFERROR(U31/H31,"0")</f>
        <v>0</v>
      </c>
      <c r="V32" s="306">
        <f>IFERROR(V26/H26,"0")+IFERROR(V27/H27,"0")+IFERROR(V28/H28,"0")+IFERROR(V29/H29,"0")+IFERROR(V30/H30,"0")+IFERROR(V31/H31,"0")</f>
        <v>0</v>
      </c>
      <c r="W32" s="306">
        <f>IFERROR(IF(W26="",0,W26),"0")+IFERROR(IF(W27="",0,W27),"0")+IFERROR(IF(W28="",0,W28),"0")+IFERROR(IF(W29="",0,W29),"0")+IFERROR(IF(W30="",0,W30),"0")+IFERROR(IF(W31="",0,W31),"0")</f>
        <v>0</v>
      </c>
      <c r="X32" s="307"/>
      <c r="Y32" s="307"/>
    </row>
    <row r="33" spans="1:52" x14ac:dyDescent="0.2">
      <c r="A33" s="312"/>
      <c r="B33" s="312"/>
      <c r="C33" s="312"/>
      <c r="D33" s="312"/>
      <c r="E33" s="312"/>
      <c r="F33" s="312"/>
      <c r="G33" s="312"/>
      <c r="H33" s="312"/>
      <c r="I33" s="312"/>
      <c r="J33" s="312"/>
      <c r="K33" s="312"/>
      <c r="L33" s="389"/>
      <c r="M33" s="387" t="s">
        <v>64</v>
      </c>
      <c r="N33" s="340"/>
      <c r="O33" s="340"/>
      <c r="P33" s="340"/>
      <c r="Q33" s="340"/>
      <c r="R33" s="340"/>
      <c r="S33" s="341"/>
      <c r="T33" s="38" t="s">
        <v>63</v>
      </c>
      <c r="U33" s="306">
        <f>IFERROR(SUM(U26:U31),"0")</f>
        <v>0</v>
      </c>
      <c r="V33" s="306">
        <f>IFERROR(SUM(V26:V31),"0")</f>
        <v>0</v>
      </c>
      <c r="W33" s="38"/>
      <c r="X33" s="307"/>
      <c r="Y33" s="307"/>
    </row>
    <row r="34" spans="1:52" ht="14.25" customHeight="1" x14ac:dyDescent="0.25">
      <c r="A34" s="383" t="s">
        <v>79</v>
      </c>
      <c r="B34" s="312"/>
      <c r="C34" s="312"/>
      <c r="D34" s="312"/>
      <c r="E34" s="312"/>
      <c r="F34" s="312"/>
      <c r="G34" s="312"/>
      <c r="H34" s="312"/>
      <c r="I34" s="312"/>
      <c r="J34" s="312"/>
      <c r="K34" s="312"/>
      <c r="L34" s="312"/>
      <c r="M34" s="312"/>
      <c r="N34" s="312"/>
      <c r="O34" s="312"/>
      <c r="P34" s="312"/>
      <c r="Q34" s="312"/>
      <c r="R34" s="312"/>
      <c r="S34" s="312"/>
      <c r="T34" s="312"/>
      <c r="U34" s="312"/>
      <c r="V34" s="312"/>
      <c r="W34" s="312"/>
      <c r="X34" s="300"/>
      <c r="Y34" s="300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4">
        <v>4607091388503</v>
      </c>
      <c r="E35" s="328"/>
      <c r="F35" s="303">
        <v>0.05</v>
      </c>
      <c r="G35" s="33">
        <v>12</v>
      </c>
      <c r="H35" s="303">
        <v>0.6</v>
      </c>
      <c r="I35" s="303">
        <v>0.84199999999999997</v>
      </c>
      <c r="J35" s="33">
        <v>156</v>
      </c>
      <c r="K35" s="34" t="s">
        <v>82</v>
      </c>
      <c r="L35" s="33">
        <v>120</v>
      </c>
      <c r="M35" s="39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6"/>
      <c r="O35" s="386"/>
      <c r="P35" s="386"/>
      <c r="Q35" s="328"/>
      <c r="R35" s="35"/>
      <c r="S35" s="35"/>
      <c r="T35" s="36" t="s">
        <v>63</v>
      </c>
      <c r="U35" s="304">
        <v>0</v>
      </c>
      <c r="V35" s="305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4">
        <v>4680115880139</v>
      </c>
      <c r="E36" s="328"/>
      <c r="F36" s="303">
        <v>2.5000000000000001E-2</v>
      </c>
      <c r="G36" s="33">
        <v>10</v>
      </c>
      <c r="H36" s="303">
        <v>0.25</v>
      </c>
      <c r="I36" s="303">
        <v>0.41</v>
      </c>
      <c r="J36" s="33">
        <v>234</v>
      </c>
      <c r="K36" s="34" t="s">
        <v>86</v>
      </c>
      <c r="L36" s="33">
        <v>120</v>
      </c>
      <c r="M36" s="397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6"/>
      <c r="O36" s="386"/>
      <c r="P36" s="386"/>
      <c r="Q36" s="328"/>
      <c r="R36" s="35"/>
      <c r="S36" s="35"/>
      <c r="T36" s="36" t="s">
        <v>63</v>
      </c>
      <c r="U36" s="304">
        <v>0</v>
      </c>
      <c r="V36" s="305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8"/>
      <c r="B37" s="312"/>
      <c r="C37" s="312"/>
      <c r="D37" s="312"/>
      <c r="E37" s="312"/>
      <c r="F37" s="312"/>
      <c r="G37" s="312"/>
      <c r="H37" s="312"/>
      <c r="I37" s="312"/>
      <c r="J37" s="312"/>
      <c r="K37" s="312"/>
      <c r="L37" s="389"/>
      <c r="M37" s="387" t="s">
        <v>64</v>
      </c>
      <c r="N37" s="340"/>
      <c r="O37" s="340"/>
      <c r="P37" s="340"/>
      <c r="Q37" s="340"/>
      <c r="R37" s="340"/>
      <c r="S37" s="341"/>
      <c r="T37" s="38" t="s">
        <v>65</v>
      </c>
      <c r="U37" s="306">
        <f>IFERROR(U35/H35,"0")+IFERROR(U36/H36,"0")</f>
        <v>0</v>
      </c>
      <c r="V37" s="306">
        <f>IFERROR(V35/H35,"0")+IFERROR(V36/H36,"0")</f>
        <v>0</v>
      </c>
      <c r="W37" s="306">
        <f>IFERROR(IF(W35="",0,W35),"0")+IFERROR(IF(W36="",0,W36),"0")</f>
        <v>0</v>
      </c>
      <c r="X37" s="307"/>
      <c r="Y37" s="307"/>
    </row>
    <row r="38" spans="1:52" x14ac:dyDescent="0.2">
      <c r="A38" s="312"/>
      <c r="B38" s="312"/>
      <c r="C38" s="312"/>
      <c r="D38" s="312"/>
      <c r="E38" s="312"/>
      <c r="F38" s="312"/>
      <c r="G38" s="312"/>
      <c r="H38" s="312"/>
      <c r="I38" s="312"/>
      <c r="J38" s="312"/>
      <c r="K38" s="312"/>
      <c r="L38" s="389"/>
      <c r="M38" s="387" t="s">
        <v>64</v>
      </c>
      <c r="N38" s="340"/>
      <c r="O38" s="340"/>
      <c r="P38" s="340"/>
      <c r="Q38" s="340"/>
      <c r="R38" s="340"/>
      <c r="S38" s="341"/>
      <c r="T38" s="38" t="s">
        <v>63</v>
      </c>
      <c r="U38" s="306">
        <f>IFERROR(SUM(U35:U36),"0")</f>
        <v>0</v>
      </c>
      <c r="V38" s="306">
        <f>IFERROR(SUM(V35:V36),"0")</f>
        <v>0</v>
      </c>
      <c r="W38" s="38"/>
      <c r="X38" s="307"/>
      <c r="Y38" s="307"/>
    </row>
    <row r="39" spans="1:52" ht="14.25" customHeight="1" x14ac:dyDescent="0.25">
      <c r="A39" s="383" t="s">
        <v>87</v>
      </c>
      <c r="B39" s="312"/>
      <c r="C39" s="312"/>
      <c r="D39" s="312"/>
      <c r="E39" s="312"/>
      <c r="F39" s="312"/>
      <c r="G39" s="312"/>
      <c r="H39" s="312"/>
      <c r="I39" s="312"/>
      <c r="J39" s="312"/>
      <c r="K39" s="312"/>
      <c r="L39" s="312"/>
      <c r="M39" s="312"/>
      <c r="N39" s="312"/>
      <c r="O39" s="312"/>
      <c r="P39" s="312"/>
      <c r="Q39" s="312"/>
      <c r="R39" s="312"/>
      <c r="S39" s="312"/>
      <c r="T39" s="312"/>
      <c r="U39" s="312"/>
      <c r="V39" s="312"/>
      <c r="W39" s="312"/>
      <c r="X39" s="300"/>
      <c r="Y39" s="300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4">
        <v>4607091388282</v>
      </c>
      <c r="E40" s="328"/>
      <c r="F40" s="303">
        <v>0.3</v>
      </c>
      <c r="G40" s="33">
        <v>6</v>
      </c>
      <c r="H40" s="303">
        <v>1.8</v>
      </c>
      <c r="I40" s="303">
        <v>2.0840000000000001</v>
      </c>
      <c r="J40" s="33">
        <v>156</v>
      </c>
      <c r="K40" s="34" t="s">
        <v>82</v>
      </c>
      <c r="L40" s="33">
        <v>30</v>
      </c>
      <c r="M40" s="3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6"/>
      <c r="O40" s="386"/>
      <c r="P40" s="386"/>
      <c r="Q40" s="328"/>
      <c r="R40" s="35"/>
      <c r="S40" s="35"/>
      <c r="T40" s="36" t="s">
        <v>63</v>
      </c>
      <c r="U40" s="304">
        <v>0</v>
      </c>
      <c r="V40" s="305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8"/>
      <c r="B41" s="312"/>
      <c r="C41" s="312"/>
      <c r="D41" s="312"/>
      <c r="E41" s="312"/>
      <c r="F41" s="312"/>
      <c r="G41" s="312"/>
      <c r="H41" s="312"/>
      <c r="I41" s="312"/>
      <c r="J41" s="312"/>
      <c r="K41" s="312"/>
      <c r="L41" s="389"/>
      <c r="M41" s="387" t="s">
        <v>64</v>
      </c>
      <c r="N41" s="340"/>
      <c r="O41" s="340"/>
      <c r="P41" s="340"/>
      <c r="Q41" s="340"/>
      <c r="R41" s="340"/>
      <c r="S41" s="341"/>
      <c r="T41" s="38" t="s">
        <v>65</v>
      </c>
      <c r="U41" s="306">
        <f>IFERROR(U40/H40,"0")</f>
        <v>0</v>
      </c>
      <c r="V41" s="306">
        <f>IFERROR(V40/H40,"0")</f>
        <v>0</v>
      </c>
      <c r="W41" s="306">
        <f>IFERROR(IF(W40="",0,W40),"0")</f>
        <v>0</v>
      </c>
      <c r="X41" s="307"/>
      <c r="Y41" s="307"/>
    </row>
    <row r="42" spans="1:52" x14ac:dyDescent="0.2">
      <c r="A42" s="312"/>
      <c r="B42" s="312"/>
      <c r="C42" s="312"/>
      <c r="D42" s="312"/>
      <c r="E42" s="312"/>
      <c r="F42" s="312"/>
      <c r="G42" s="312"/>
      <c r="H42" s="312"/>
      <c r="I42" s="312"/>
      <c r="J42" s="312"/>
      <c r="K42" s="312"/>
      <c r="L42" s="389"/>
      <c r="M42" s="387" t="s">
        <v>64</v>
      </c>
      <c r="N42" s="340"/>
      <c r="O42" s="340"/>
      <c r="P42" s="340"/>
      <c r="Q42" s="340"/>
      <c r="R42" s="340"/>
      <c r="S42" s="341"/>
      <c r="T42" s="38" t="s">
        <v>63</v>
      </c>
      <c r="U42" s="306">
        <f>IFERROR(SUM(U40:U40),"0")</f>
        <v>0</v>
      </c>
      <c r="V42" s="306">
        <f>IFERROR(SUM(V40:V40),"0")</f>
        <v>0</v>
      </c>
      <c r="W42" s="38"/>
      <c r="X42" s="307"/>
      <c r="Y42" s="307"/>
    </row>
    <row r="43" spans="1:52" ht="27.75" customHeight="1" x14ac:dyDescent="0.2">
      <c r="A43" s="380" t="s">
        <v>91</v>
      </c>
      <c r="B43" s="381"/>
      <c r="C43" s="381"/>
      <c r="D43" s="381"/>
      <c r="E43" s="381"/>
      <c r="F43" s="381"/>
      <c r="G43" s="381"/>
      <c r="H43" s="381"/>
      <c r="I43" s="381"/>
      <c r="J43" s="381"/>
      <c r="K43" s="381"/>
      <c r="L43" s="381"/>
      <c r="M43" s="381"/>
      <c r="N43" s="381"/>
      <c r="O43" s="381"/>
      <c r="P43" s="381"/>
      <c r="Q43" s="381"/>
      <c r="R43" s="381"/>
      <c r="S43" s="381"/>
      <c r="T43" s="381"/>
      <c r="U43" s="381"/>
      <c r="V43" s="381"/>
      <c r="W43" s="381"/>
      <c r="X43" s="49"/>
      <c r="Y43" s="49"/>
    </row>
    <row r="44" spans="1:52" ht="16.5" customHeight="1" x14ac:dyDescent="0.25">
      <c r="A44" s="382" t="s">
        <v>92</v>
      </c>
      <c r="B44" s="312"/>
      <c r="C44" s="312"/>
      <c r="D44" s="312"/>
      <c r="E44" s="312"/>
      <c r="F44" s="312"/>
      <c r="G44" s="312"/>
      <c r="H44" s="312"/>
      <c r="I44" s="312"/>
      <c r="J44" s="312"/>
      <c r="K44" s="312"/>
      <c r="L44" s="312"/>
      <c r="M44" s="312"/>
      <c r="N44" s="312"/>
      <c r="O44" s="312"/>
      <c r="P44" s="312"/>
      <c r="Q44" s="312"/>
      <c r="R44" s="312"/>
      <c r="S44" s="312"/>
      <c r="T44" s="312"/>
      <c r="U44" s="312"/>
      <c r="V44" s="312"/>
      <c r="W44" s="312"/>
      <c r="X44" s="299"/>
      <c r="Y44" s="299"/>
    </row>
    <row r="45" spans="1:52" ht="14.25" customHeight="1" x14ac:dyDescent="0.25">
      <c r="A45" s="383" t="s">
        <v>93</v>
      </c>
      <c r="B45" s="312"/>
      <c r="C45" s="312"/>
      <c r="D45" s="312"/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12"/>
      <c r="P45" s="312"/>
      <c r="Q45" s="312"/>
      <c r="R45" s="312"/>
      <c r="S45" s="312"/>
      <c r="T45" s="312"/>
      <c r="U45" s="312"/>
      <c r="V45" s="312"/>
      <c r="W45" s="312"/>
      <c r="X45" s="300"/>
      <c r="Y45" s="300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4">
        <v>4680115881440</v>
      </c>
      <c r="E46" s="328"/>
      <c r="F46" s="303">
        <v>1.35</v>
      </c>
      <c r="G46" s="33">
        <v>8</v>
      </c>
      <c r="H46" s="303">
        <v>10.8</v>
      </c>
      <c r="I46" s="303">
        <v>11.28</v>
      </c>
      <c r="J46" s="33">
        <v>56</v>
      </c>
      <c r="K46" s="34" t="s">
        <v>96</v>
      </c>
      <c r="L46" s="33">
        <v>50</v>
      </c>
      <c r="M46" s="39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6"/>
      <c r="O46" s="386"/>
      <c r="P46" s="386"/>
      <c r="Q46" s="328"/>
      <c r="R46" s="35"/>
      <c r="S46" s="35"/>
      <c r="T46" s="36" t="s">
        <v>63</v>
      </c>
      <c r="U46" s="304">
        <v>250</v>
      </c>
      <c r="V46" s="305">
        <f>IFERROR(IF(U46="",0,CEILING((U46/$H46),1)*$H46),"")</f>
        <v>259.20000000000005</v>
      </c>
      <c r="W46" s="37">
        <f>IFERROR(IF(V46=0,"",ROUNDUP(V46/H46,0)*0.02175),"")</f>
        <v>0.52200000000000002</v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4">
        <v>4680115881433</v>
      </c>
      <c r="E47" s="328"/>
      <c r="F47" s="303">
        <v>0.45</v>
      </c>
      <c r="G47" s="33">
        <v>6</v>
      </c>
      <c r="H47" s="303">
        <v>2.7</v>
      </c>
      <c r="I47" s="303">
        <v>2.9</v>
      </c>
      <c r="J47" s="33">
        <v>156</v>
      </c>
      <c r="K47" s="34" t="s">
        <v>96</v>
      </c>
      <c r="L47" s="33">
        <v>50</v>
      </c>
      <c r="M47" s="40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6"/>
      <c r="O47" s="386"/>
      <c r="P47" s="386"/>
      <c r="Q47" s="328"/>
      <c r="R47" s="35"/>
      <c r="S47" s="35"/>
      <c r="T47" s="36" t="s">
        <v>63</v>
      </c>
      <c r="U47" s="304">
        <v>11.25</v>
      </c>
      <c r="V47" s="305">
        <f>IFERROR(IF(U47="",0,CEILING((U47/$H47),1)*$H47),"")</f>
        <v>13.5</v>
      </c>
      <c r="W47" s="37">
        <f>IFERROR(IF(V47=0,"",ROUNDUP(V47/H47,0)*0.00753),"")</f>
        <v>3.7650000000000003E-2</v>
      </c>
      <c r="X47" s="57"/>
      <c r="Y47" s="58"/>
      <c r="AC47" s="59"/>
      <c r="AZ47" s="71" t="s">
        <v>1</v>
      </c>
    </row>
    <row r="48" spans="1:52" x14ac:dyDescent="0.2">
      <c r="A48" s="388"/>
      <c r="B48" s="312"/>
      <c r="C48" s="312"/>
      <c r="D48" s="312"/>
      <c r="E48" s="312"/>
      <c r="F48" s="312"/>
      <c r="G48" s="312"/>
      <c r="H48" s="312"/>
      <c r="I48" s="312"/>
      <c r="J48" s="312"/>
      <c r="K48" s="312"/>
      <c r="L48" s="389"/>
      <c r="M48" s="387" t="s">
        <v>64</v>
      </c>
      <c r="N48" s="340"/>
      <c r="O48" s="340"/>
      <c r="P48" s="340"/>
      <c r="Q48" s="340"/>
      <c r="R48" s="340"/>
      <c r="S48" s="341"/>
      <c r="T48" s="38" t="s">
        <v>65</v>
      </c>
      <c r="U48" s="306">
        <f>IFERROR(U46/H46,"0")+IFERROR(U47/H47,"0")</f>
        <v>27.31481481481481</v>
      </c>
      <c r="V48" s="306">
        <f>IFERROR(V46/H46,"0")+IFERROR(V47/H47,"0")</f>
        <v>29.000000000000004</v>
      </c>
      <c r="W48" s="306">
        <f>IFERROR(IF(W46="",0,W46),"0")+IFERROR(IF(W47="",0,W47),"0")</f>
        <v>0.55964999999999998</v>
      </c>
      <c r="X48" s="307"/>
      <c r="Y48" s="307"/>
    </row>
    <row r="49" spans="1:52" x14ac:dyDescent="0.2">
      <c r="A49" s="312"/>
      <c r="B49" s="312"/>
      <c r="C49" s="312"/>
      <c r="D49" s="312"/>
      <c r="E49" s="312"/>
      <c r="F49" s="312"/>
      <c r="G49" s="312"/>
      <c r="H49" s="312"/>
      <c r="I49" s="312"/>
      <c r="J49" s="312"/>
      <c r="K49" s="312"/>
      <c r="L49" s="389"/>
      <c r="M49" s="387" t="s">
        <v>64</v>
      </c>
      <c r="N49" s="340"/>
      <c r="O49" s="340"/>
      <c r="P49" s="340"/>
      <c r="Q49" s="340"/>
      <c r="R49" s="340"/>
      <c r="S49" s="341"/>
      <c r="T49" s="38" t="s">
        <v>63</v>
      </c>
      <c r="U49" s="306">
        <f>IFERROR(SUM(U46:U47),"0")</f>
        <v>261.25</v>
      </c>
      <c r="V49" s="306">
        <f>IFERROR(SUM(V46:V47),"0")</f>
        <v>272.70000000000005</v>
      </c>
      <c r="W49" s="38"/>
      <c r="X49" s="307"/>
      <c r="Y49" s="307"/>
    </row>
    <row r="50" spans="1:52" ht="16.5" customHeight="1" x14ac:dyDescent="0.25">
      <c r="A50" s="382" t="s">
        <v>99</v>
      </c>
      <c r="B50" s="312"/>
      <c r="C50" s="312"/>
      <c r="D50" s="312"/>
      <c r="E50" s="312"/>
      <c r="F50" s="312"/>
      <c r="G50" s="312"/>
      <c r="H50" s="312"/>
      <c r="I50" s="312"/>
      <c r="J50" s="312"/>
      <c r="K50" s="312"/>
      <c r="L50" s="312"/>
      <c r="M50" s="312"/>
      <c r="N50" s="312"/>
      <c r="O50" s="312"/>
      <c r="P50" s="312"/>
      <c r="Q50" s="312"/>
      <c r="R50" s="312"/>
      <c r="S50" s="312"/>
      <c r="T50" s="312"/>
      <c r="U50" s="312"/>
      <c r="V50" s="312"/>
      <c r="W50" s="312"/>
      <c r="X50" s="299"/>
      <c r="Y50" s="299"/>
    </row>
    <row r="51" spans="1:52" ht="14.25" customHeight="1" x14ac:dyDescent="0.25">
      <c r="A51" s="383" t="s">
        <v>100</v>
      </c>
      <c r="B51" s="312"/>
      <c r="C51" s="312"/>
      <c r="D51" s="312"/>
      <c r="E51" s="312"/>
      <c r="F51" s="312"/>
      <c r="G51" s="312"/>
      <c r="H51" s="312"/>
      <c r="I51" s="312"/>
      <c r="J51" s="312"/>
      <c r="K51" s="312"/>
      <c r="L51" s="312"/>
      <c r="M51" s="312"/>
      <c r="N51" s="312"/>
      <c r="O51" s="312"/>
      <c r="P51" s="312"/>
      <c r="Q51" s="312"/>
      <c r="R51" s="312"/>
      <c r="S51" s="312"/>
      <c r="T51" s="312"/>
      <c r="U51" s="312"/>
      <c r="V51" s="312"/>
      <c r="W51" s="312"/>
      <c r="X51" s="300"/>
      <c r="Y51" s="300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4">
        <v>4680115881426</v>
      </c>
      <c r="E52" s="328"/>
      <c r="F52" s="303">
        <v>1.35</v>
      </c>
      <c r="G52" s="33">
        <v>8</v>
      </c>
      <c r="H52" s="303">
        <v>10.8</v>
      </c>
      <c r="I52" s="303">
        <v>11.28</v>
      </c>
      <c r="J52" s="33">
        <v>56</v>
      </c>
      <c r="K52" s="34" t="s">
        <v>96</v>
      </c>
      <c r="L52" s="33">
        <v>50</v>
      </c>
      <c r="M52" s="40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6"/>
      <c r="O52" s="386"/>
      <c r="P52" s="386"/>
      <c r="Q52" s="328"/>
      <c r="R52" s="35"/>
      <c r="S52" s="35"/>
      <c r="T52" s="36" t="s">
        <v>63</v>
      </c>
      <c r="U52" s="304">
        <v>0</v>
      </c>
      <c r="V52" s="305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4">
        <v>4680115881419</v>
      </c>
      <c r="E53" s="328"/>
      <c r="F53" s="303">
        <v>0.45</v>
      </c>
      <c r="G53" s="33">
        <v>10</v>
      </c>
      <c r="H53" s="303">
        <v>4.5</v>
      </c>
      <c r="I53" s="303">
        <v>4.74</v>
      </c>
      <c r="J53" s="33">
        <v>120</v>
      </c>
      <c r="K53" s="34" t="s">
        <v>96</v>
      </c>
      <c r="L53" s="33">
        <v>50</v>
      </c>
      <c r="M53" s="40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6"/>
      <c r="O53" s="386"/>
      <c r="P53" s="386"/>
      <c r="Q53" s="328"/>
      <c r="R53" s="35"/>
      <c r="S53" s="35"/>
      <c r="T53" s="36" t="s">
        <v>63</v>
      </c>
      <c r="U53" s="304">
        <v>67.5</v>
      </c>
      <c r="V53" s="305">
        <f>IFERROR(IF(U53="",0,CEILING((U53/$H53),1)*$H53),"")</f>
        <v>67.5</v>
      </c>
      <c r="W53" s="37">
        <f>IFERROR(IF(V53=0,"",ROUNDUP(V53/H53,0)*0.00937),"")</f>
        <v>0.14055000000000001</v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4">
        <v>4680115881525</v>
      </c>
      <c r="E54" s="328"/>
      <c r="F54" s="303">
        <v>0.4</v>
      </c>
      <c r="G54" s="33">
        <v>10</v>
      </c>
      <c r="H54" s="303">
        <v>4</v>
      </c>
      <c r="I54" s="303">
        <v>4.24</v>
      </c>
      <c r="J54" s="33">
        <v>120</v>
      </c>
      <c r="K54" s="34" t="s">
        <v>96</v>
      </c>
      <c r="L54" s="33">
        <v>50</v>
      </c>
      <c r="M54" s="403" t="s">
        <v>107</v>
      </c>
      <c r="N54" s="386"/>
      <c r="O54" s="386"/>
      <c r="P54" s="386"/>
      <c r="Q54" s="328"/>
      <c r="R54" s="35"/>
      <c r="S54" s="35"/>
      <c r="T54" s="36" t="s">
        <v>63</v>
      </c>
      <c r="U54" s="304">
        <v>0</v>
      </c>
      <c r="V54" s="305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8"/>
      <c r="B55" s="312"/>
      <c r="C55" s="312"/>
      <c r="D55" s="312"/>
      <c r="E55" s="312"/>
      <c r="F55" s="312"/>
      <c r="G55" s="312"/>
      <c r="H55" s="312"/>
      <c r="I55" s="312"/>
      <c r="J55" s="312"/>
      <c r="K55" s="312"/>
      <c r="L55" s="389"/>
      <c r="M55" s="387" t="s">
        <v>64</v>
      </c>
      <c r="N55" s="340"/>
      <c r="O55" s="340"/>
      <c r="P55" s="340"/>
      <c r="Q55" s="340"/>
      <c r="R55" s="340"/>
      <c r="S55" s="341"/>
      <c r="T55" s="38" t="s">
        <v>65</v>
      </c>
      <c r="U55" s="306">
        <f>IFERROR(U52/H52,"0")+IFERROR(U53/H53,"0")+IFERROR(U54/H54,"0")</f>
        <v>15</v>
      </c>
      <c r="V55" s="306">
        <f>IFERROR(V52/H52,"0")+IFERROR(V53/H53,"0")+IFERROR(V54/H54,"0")</f>
        <v>15</v>
      </c>
      <c r="W55" s="306">
        <f>IFERROR(IF(W52="",0,W52),"0")+IFERROR(IF(W53="",0,W53),"0")+IFERROR(IF(W54="",0,W54),"0")</f>
        <v>0.14055000000000001</v>
      </c>
      <c r="X55" s="307"/>
      <c r="Y55" s="307"/>
    </row>
    <row r="56" spans="1:52" x14ac:dyDescent="0.2">
      <c r="A56" s="312"/>
      <c r="B56" s="312"/>
      <c r="C56" s="312"/>
      <c r="D56" s="312"/>
      <c r="E56" s="312"/>
      <c r="F56" s="312"/>
      <c r="G56" s="312"/>
      <c r="H56" s="312"/>
      <c r="I56" s="312"/>
      <c r="J56" s="312"/>
      <c r="K56" s="312"/>
      <c r="L56" s="389"/>
      <c r="M56" s="387" t="s">
        <v>64</v>
      </c>
      <c r="N56" s="340"/>
      <c r="O56" s="340"/>
      <c r="P56" s="340"/>
      <c r="Q56" s="340"/>
      <c r="R56" s="340"/>
      <c r="S56" s="341"/>
      <c r="T56" s="38" t="s">
        <v>63</v>
      </c>
      <c r="U56" s="306">
        <f>IFERROR(SUM(U52:U54),"0")</f>
        <v>67.5</v>
      </c>
      <c r="V56" s="306">
        <f>IFERROR(SUM(V52:V54),"0")</f>
        <v>67.5</v>
      </c>
      <c r="W56" s="38"/>
      <c r="X56" s="307"/>
      <c r="Y56" s="307"/>
    </row>
    <row r="57" spans="1:52" ht="16.5" customHeight="1" x14ac:dyDescent="0.25">
      <c r="A57" s="382" t="s">
        <v>91</v>
      </c>
      <c r="B57" s="312"/>
      <c r="C57" s="312"/>
      <c r="D57" s="312"/>
      <c r="E57" s="312"/>
      <c r="F57" s="312"/>
      <c r="G57" s="312"/>
      <c r="H57" s="312"/>
      <c r="I57" s="312"/>
      <c r="J57" s="312"/>
      <c r="K57" s="312"/>
      <c r="L57" s="312"/>
      <c r="M57" s="312"/>
      <c r="N57" s="312"/>
      <c r="O57" s="312"/>
      <c r="P57" s="312"/>
      <c r="Q57" s="312"/>
      <c r="R57" s="312"/>
      <c r="S57" s="312"/>
      <c r="T57" s="312"/>
      <c r="U57" s="312"/>
      <c r="V57" s="312"/>
      <c r="W57" s="312"/>
      <c r="X57" s="299"/>
      <c r="Y57" s="299"/>
    </row>
    <row r="58" spans="1:52" ht="14.25" customHeight="1" x14ac:dyDescent="0.25">
      <c r="A58" s="383" t="s">
        <v>100</v>
      </c>
      <c r="B58" s="312"/>
      <c r="C58" s="312"/>
      <c r="D58" s="312"/>
      <c r="E58" s="312"/>
      <c r="F58" s="312"/>
      <c r="G58" s="312"/>
      <c r="H58" s="312"/>
      <c r="I58" s="312"/>
      <c r="J58" s="312"/>
      <c r="K58" s="312"/>
      <c r="L58" s="312"/>
      <c r="M58" s="312"/>
      <c r="N58" s="312"/>
      <c r="O58" s="312"/>
      <c r="P58" s="312"/>
      <c r="Q58" s="312"/>
      <c r="R58" s="312"/>
      <c r="S58" s="312"/>
      <c r="T58" s="312"/>
      <c r="U58" s="312"/>
      <c r="V58" s="312"/>
      <c r="W58" s="312"/>
      <c r="X58" s="300"/>
      <c r="Y58" s="300"/>
    </row>
    <row r="59" spans="1:52" ht="27" customHeight="1" x14ac:dyDescent="0.25">
      <c r="A59" s="55" t="s">
        <v>108</v>
      </c>
      <c r="B59" s="55" t="s">
        <v>109</v>
      </c>
      <c r="C59" s="32">
        <v>4301011623</v>
      </c>
      <c r="D59" s="384">
        <v>4607091382945</v>
      </c>
      <c r="E59" s="328"/>
      <c r="F59" s="303">
        <v>1.4</v>
      </c>
      <c r="G59" s="33">
        <v>8</v>
      </c>
      <c r="H59" s="303">
        <v>11.2</v>
      </c>
      <c r="I59" s="303">
        <v>11.68</v>
      </c>
      <c r="J59" s="33">
        <v>56</v>
      </c>
      <c r="K59" s="34" t="s">
        <v>96</v>
      </c>
      <c r="L59" s="33">
        <v>50</v>
      </c>
      <c r="M59" s="404" t="s">
        <v>110</v>
      </c>
      <c r="N59" s="386"/>
      <c r="O59" s="386"/>
      <c r="P59" s="386"/>
      <c r="Q59" s="328"/>
      <c r="R59" s="35"/>
      <c r="S59" s="35"/>
      <c r="T59" s="36" t="s">
        <v>63</v>
      </c>
      <c r="U59" s="304">
        <v>0</v>
      </c>
      <c r="V59" s="305">
        <f t="shared" ref="V59:V74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111</v>
      </c>
      <c r="B60" s="55" t="s">
        <v>112</v>
      </c>
      <c r="C60" s="32">
        <v>4301011380</v>
      </c>
      <c r="D60" s="384">
        <v>4607091385670</v>
      </c>
      <c r="E60" s="328"/>
      <c r="F60" s="303">
        <v>1.35</v>
      </c>
      <c r="G60" s="33">
        <v>8</v>
      </c>
      <c r="H60" s="303">
        <v>10.8</v>
      </c>
      <c r="I60" s="303">
        <v>11.28</v>
      </c>
      <c r="J60" s="33">
        <v>56</v>
      </c>
      <c r="K60" s="34" t="s">
        <v>96</v>
      </c>
      <c r="L60" s="33">
        <v>50</v>
      </c>
      <c r="M60" s="40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86"/>
      <c r="O60" s="386"/>
      <c r="P60" s="386"/>
      <c r="Q60" s="328"/>
      <c r="R60" s="35"/>
      <c r="S60" s="35"/>
      <c r="T60" s="36" t="s">
        <v>63</v>
      </c>
      <c r="U60" s="304">
        <v>0</v>
      </c>
      <c r="V60" s="305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113</v>
      </c>
      <c r="B61" s="55" t="s">
        <v>114</v>
      </c>
      <c r="C61" s="32">
        <v>4301011468</v>
      </c>
      <c r="D61" s="384">
        <v>4680115881327</v>
      </c>
      <c r="E61" s="328"/>
      <c r="F61" s="303">
        <v>1.35</v>
      </c>
      <c r="G61" s="33">
        <v>8</v>
      </c>
      <c r="H61" s="303">
        <v>10.8</v>
      </c>
      <c r="I61" s="303">
        <v>11.28</v>
      </c>
      <c r="J61" s="33">
        <v>56</v>
      </c>
      <c r="K61" s="34" t="s">
        <v>115</v>
      </c>
      <c r="L61" s="33">
        <v>50</v>
      </c>
      <c r="M61" s="4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86"/>
      <c r="O61" s="386"/>
      <c r="P61" s="386"/>
      <c r="Q61" s="328"/>
      <c r="R61" s="35"/>
      <c r="S61" s="35"/>
      <c r="T61" s="36" t="s">
        <v>63</v>
      </c>
      <c r="U61" s="304">
        <v>0</v>
      </c>
      <c r="V61" s="305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116</v>
      </c>
      <c r="B62" s="55" t="s">
        <v>117</v>
      </c>
      <c r="C62" s="32">
        <v>4301011348</v>
      </c>
      <c r="D62" s="384">
        <v>4607091388312</v>
      </c>
      <c r="E62" s="328"/>
      <c r="F62" s="303">
        <v>1.35</v>
      </c>
      <c r="G62" s="33">
        <v>8</v>
      </c>
      <c r="H62" s="303">
        <v>10.8</v>
      </c>
      <c r="I62" s="303">
        <v>11.28</v>
      </c>
      <c r="J62" s="33">
        <v>56</v>
      </c>
      <c r="K62" s="34" t="s">
        <v>96</v>
      </c>
      <c r="L62" s="33">
        <v>45</v>
      </c>
      <c r="M62" s="407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86"/>
      <c r="O62" s="386"/>
      <c r="P62" s="386"/>
      <c r="Q62" s="328"/>
      <c r="R62" s="35"/>
      <c r="S62" s="35"/>
      <c r="T62" s="36" t="s">
        <v>63</v>
      </c>
      <c r="U62" s="304">
        <v>0</v>
      </c>
      <c r="V62" s="305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118</v>
      </c>
      <c r="B63" s="55" t="s">
        <v>119</v>
      </c>
      <c r="C63" s="32">
        <v>4301011514</v>
      </c>
      <c r="D63" s="384">
        <v>4680115882133</v>
      </c>
      <c r="E63" s="328"/>
      <c r="F63" s="303">
        <v>1.35</v>
      </c>
      <c r="G63" s="33">
        <v>8</v>
      </c>
      <c r="H63" s="303">
        <v>10.8</v>
      </c>
      <c r="I63" s="303">
        <v>11.28</v>
      </c>
      <c r="J63" s="33">
        <v>56</v>
      </c>
      <c r="K63" s="34" t="s">
        <v>96</v>
      </c>
      <c r="L63" s="33">
        <v>50</v>
      </c>
      <c r="M63" s="40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6"/>
      <c r="O63" s="386"/>
      <c r="P63" s="386"/>
      <c r="Q63" s="328"/>
      <c r="R63" s="35"/>
      <c r="S63" s="35"/>
      <c r="T63" s="36" t="s">
        <v>63</v>
      </c>
      <c r="U63" s="304">
        <v>0</v>
      </c>
      <c r="V63" s="305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120</v>
      </c>
      <c r="B64" s="55" t="s">
        <v>121</v>
      </c>
      <c r="C64" s="32">
        <v>4301011192</v>
      </c>
      <c r="D64" s="384">
        <v>4607091382952</v>
      </c>
      <c r="E64" s="328"/>
      <c r="F64" s="303">
        <v>0.5</v>
      </c>
      <c r="G64" s="33">
        <v>6</v>
      </c>
      <c r="H64" s="303">
        <v>3</v>
      </c>
      <c r="I64" s="303">
        <v>3.2</v>
      </c>
      <c r="J64" s="33">
        <v>156</v>
      </c>
      <c r="K64" s="34" t="s">
        <v>96</v>
      </c>
      <c r="L64" s="33">
        <v>50</v>
      </c>
      <c r="M64" s="40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6"/>
      <c r="O64" s="386"/>
      <c r="P64" s="386"/>
      <c r="Q64" s="328"/>
      <c r="R64" s="35"/>
      <c r="S64" s="35"/>
      <c r="T64" s="36" t="s">
        <v>63</v>
      </c>
      <c r="U64" s="304">
        <v>0</v>
      </c>
      <c r="V64" s="305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122</v>
      </c>
      <c r="B65" s="55" t="s">
        <v>123</v>
      </c>
      <c r="C65" s="32">
        <v>4301011565</v>
      </c>
      <c r="D65" s="384">
        <v>4680115882539</v>
      </c>
      <c r="E65" s="328"/>
      <c r="F65" s="303">
        <v>0.37</v>
      </c>
      <c r="G65" s="33">
        <v>10</v>
      </c>
      <c r="H65" s="303">
        <v>3.7</v>
      </c>
      <c r="I65" s="303">
        <v>3.94</v>
      </c>
      <c r="J65" s="33">
        <v>120</v>
      </c>
      <c r="K65" s="34" t="s">
        <v>124</v>
      </c>
      <c r="L65" s="33">
        <v>50</v>
      </c>
      <c r="M65" s="41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86"/>
      <c r="O65" s="386"/>
      <c r="P65" s="386"/>
      <c r="Q65" s="328"/>
      <c r="R65" s="35"/>
      <c r="S65" s="35"/>
      <c r="T65" s="36" t="s">
        <v>63</v>
      </c>
      <c r="U65" s="304">
        <v>0</v>
      </c>
      <c r="V65" s="305">
        <f t="shared" si="2"/>
        <v>0</v>
      </c>
      <c r="W65" s="37" t="str">
        <f t="shared" ref="W65:W70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125</v>
      </c>
      <c r="B66" s="55" t="s">
        <v>126</v>
      </c>
      <c r="C66" s="32">
        <v>4301011382</v>
      </c>
      <c r="D66" s="384">
        <v>4607091385687</v>
      </c>
      <c r="E66" s="328"/>
      <c r="F66" s="303">
        <v>0.4</v>
      </c>
      <c r="G66" s="33">
        <v>10</v>
      </c>
      <c r="H66" s="303">
        <v>4</v>
      </c>
      <c r="I66" s="303">
        <v>4.24</v>
      </c>
      <c r="J66" s="33">
        <v>120</v>
      </c>
      <c r="K66" s="34" t="s">
        <v>124</v>
      </c>
      <c r="L66" s="33">
        <v>50</v>
      </c>
      <c r="M66" s="4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86"/>
      <c r="O66" s="386"/>
      <c r="P66" s="386"/>
      <c r="Q66" s="328"/>
      <c r="R66" s="35"/>
      <c r="S66" s="35"/>
      <c r="T66" s="36" t="s">
        <v>63</v>
      </c>
      <c r="U66" s="304">
        <v>0</v>
      </c>
      <c r="V66" s="305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127</v>
      </c>
      <c r="B67" s="55" t="s">
        <v>128</v>
      </c>
      <c r="C67" s="32">
        <v>4301011344</v>
      </c>
      <c r="D67" s="384">
        <v>4607091384604</v>
      </c>
      <c r="E67" s="328"/>
      <c r="F67" s="303">
        <v>0.4</v>
      </c>
      <c r="G67" s="33">
        <v>10</v>
      </c>
      <c r="H67" s="303">
        <v>4</v>
      </c>
      <c r="I67" s="303">
        <v>4.24</v>
      </c>
      <c r="J67" s="33">
        <v>120</v>
      </c>
      <c r="K67" s="34" t="s">
        <v>96</v>
      </c>
      <c r="L67" s="33">
        <v>50</v>
      </c>
      <c r="M67" s="41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6"/>
      <c r="O67" s="386"/>
      <c r="P67" s="386"/>
      <c r="Q67" s="328"/>
      <c r="R67" s="35"/>
      <c r="S67" s="35"/>
      <c r="T67" s="36" t="s">
        <v>63</v>
      </c>
      <c r="U67" s="304">
        <v>0</v>
      </c>
      <c r="V67" s="305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129</v>
      </c>
      <c r="B68" s="55" t="s">
        <v>130</v>
      </c>
      <c r="C68" s="32">
        <v>4301011386</v>
      </c>
      <c r="D68" s="384">
        <v>4680115880283</v>
      </c>
      <c r="E68" s="328"/>
      <c r="F68" s="303">
        <v>0.6</v>
      </c>
      <c r="G68" s="33">
        <v>8</v>
      </c>
      <c r="H68" s="303">
        <v>4.8</v>
      </c>
      <c r="I68" s="303">
        <v>5.04</v>
      </c>
      <c r="J68" s="33">
        <v>120</v>
      </c>
      <c r="K68" s="34" t="s">
        <v>96</v>
      </c>
      <c r="L68" s="33">
        <v>45</v>
      </c>
      <c r="M68" s="41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6"/>
      <c r="O68" s="386"/>
      <c r="P68" s="386"/>
      <c r="Q68" s="328"/>
      <c r="R68" s="35"/>
      <c r="S68" s="35"/>
      <c r="T68" s="36" t="s">
        <v>63</v>
      </c>
      <c r="U68" s="304">
        <v>0</v>
      </c>
      <c r="V68" s="305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131</v>
      </c>
      <c r="B69" s="55" t="s">
        <v>132</v>
      </c>
      <c r="C69" s="32">
        <v>4301011476</v>
      </c>
      <c r="D69" s="384">
        <v>4680115881518</v>
      </c>
      <c r="E69" s="328"/>
      <c r="F69" s="303">
        <v>0.4</v>
      </c>
      <c r="G69" s="33">
        <v>10</v>
      </c>
      <c r="H69" s="303">
        <v>4</v>
      </c>
      <c r="I69" s="303">
        <v>4.24</v>
      </c>
      <c r="J69" s="33">
        <v>120</v>
      </c>
      <c r="K69" s="34" t="s">
        <v>124</v>
      </c>
      <c r="L69" s="33">
        <v>50</v>
      </c>
      <c r="M69" s="41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6"/>
      <c r="O69" s="386"/>
      <c r="P69" s="386"/>
      <c r="Q69" s="328"/>
      <c r="R69" s="35"/>
      <c r="S69" s="35"/>
      <c r="T69" s="36" t="s">
        <v>63</v>
      </c>
      <c r="U69" s="304">
        <v>0</v>
      </c>
      <c r="V69" s="305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133</v>
      </c>
      <c r="B70" s="55" t="s">
        <v>134</v>
      </c>
      <c r="C70" s="32">
        <v>4301011443</v>
      </c>
      <c r="D70" s="384">
        <v>4680115881303</v>
      </c>
      <c r="E70" s="328"/>
      <c r="F70" s="303">
        <v>0.45</v>
      </c>
      <c r="G70" s="33">
        <v>10</v>
      </c>
      <c r="H70" s="303">
        <v>4.5</v>
      </c>
      <c r="I70" s="303">
        <v>4.71</v>
      </c>
      <c r="J70" s="33">
        <v>120</v>
      </c>
      <c r="K70" s="34" t="s">
        <v>115</v>
      </c>
      <c r="L70" s="33">
        <v>50</v>
      </c>
      <c r="M70" s="41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6"/>
      <c r="O70" s="386"/>
      <c r="P70" s="386"/>
      <c r="Q70" s="328"/>
      <c r="R70" s="35"/>
      <c r="S70" s="35"/>
      <c r="T70" s="36" t="s">
        <v>63</v>
      </c>
      <c r="U70" s="304">
        <v>0</v>
      </c>
      <c r="V70" s="305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135</v>
      </c>
      <c r="B71" s="55" t="s">
        <v>136</v>
      </c>
      <c r="C71" s="32">
        <v>4301011352</v>
      </c>
      <c r="D71" s="384">
        <v>4607091388466</v>
      </c>
      <c r="E71" s="328"/>
      <c r="F71" s="303">
        <v>0.45</v>
      </c>
      <c r="G71" s="33">
        <v>6</v>
      </c>
      <c r="H71" s="303">
        <v>2.7</v>
      </c>
      <c r="I71" s="303">
        <v>2.9</v>
      </c>
      <c r="J71" s="33">
        <v>156</v>
      </c>
      <c r="K71" s="34" t="s">
        <v>124</v>
      </c>
      <c r="L71" s="33">
        <v>45</v>
      </c>
      <c r="M71" s="41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86"/>
      <c r="O71" s="386"/>
      <c r="P71" s="386"/>
      <c r="Q71" s="328"/>
      <c r="R71" s="35"/>
      <c r="S71" s="35"/>
      <c r="T71" s="36" t="s">
        <v>63</v>
      </c>
      <c r="U71" s="304">
        <v>0</v>
      </c>
      <c r="V71" s="305">
        <f t="shared" si="2"/>
        <v>0</v>
      </c>
      <c r="W71" s="37" t="str">
        <f>IFERROR(IF(V71=0,"",ROUNDUP(V71/H71,0)*0.00753),"")</f>
        <v/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137</v>
      </c>
      <c r="B72" s="55" t="s">
        <v>138</v>
      </c>
      <c r="C72" s="32">
        <v>4301011417</v>
      </c>
      <c r="D72" s="384">
        <v>4680115880269</v>
      </c>
      <c r="E72" s="328"/>
      <c r="F72" s="303">
        <v>0.375</v>
      </c>
      <c r="G72" s="33">
        <v>10</v>
      </c>
      <c r="H72" s="303">
        <v>3.75</v>
      </c>
      <c r="I72" s="303">
        <v>3.99</v>
      </c>
      <c r="J72" s="33">
        <v>120</v>
      </c>
      <c r="K72" s="34" t="s">
        <v>124</v>
      </c>
      <c r="L72" s="33">
        <v>50</v>
      </c>
      <c r="M72" s="4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86"/>
      <c r="O72" s="386"/>
      <c r="P72" s="386"/>
      <c r="Q72" s="328"/>
      <c r="R72" s="35"/>
      <c r="S72" s="35"/>
      <c r="T72" s="36" t="s">
        <v>63</v>
      </c>
      <c r="U72" s="304">
        <v>0</v>
      </c>
      <c r="V72" s="305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139</v>
      </c>
      <c r="B73" s="55" t="s">
        <v>140</v>
      </c>
      <c r="C73" s="32">
        <v>4301011415</v>
      </c>
      <c r="D73" s="384">
        <v>4680115880429</v>
      </c>
      <c r="E73" s="328"/>
      <c r="F73" s="303">
        <v>0.45</v>
      </c>
      <c r="G73" s="33">
        <v>10</v>
      </c>
      <c r="H73" s="303">
        <v>4.5</v>
      </c>
      <c r="I73" s="303">
        <v>4.74</v>
      </c>
      <c r="J73" s="33">
        <v>120</v>
      </c>
      <c r="K73" s="34" t="s">
        <v>124</v>
      </c>
      <c r="L73" s="33">
        <v>50</v>
      </c>
      <c r="M73" s="41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86"/>
      <c r="O73" s="386"/>
      <c r="P73" s="386"/>
      <c r="Q73" s="328"/>
      <c r="R73" s="35"/>
      <c r="S73" s="35"/>
      <c r="T73" s="36" t="s">
        <v>63</v>
      </c>
      <c r="U73" s="304">
        <v>0</v>
      </c>
      <c r="V73" s="305">
        <f t="shared" si="2"/>
        <v>0</v>
      </c>
      <c r="W73" s="37" t="str">
        <f>IFERROR(IF(V73=0,"",ROUNDUP(V73/H73,0)*0.00937),"")</f>
        <v/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141</v>
      </c>
      <c r="B74" s="55" t="s">
        <v>142</v>
      </c>
      <c r="C74" s="32">
        <v>4301011462</v>
      </c>
      <c r="D74" s="384">
        <v>4680115881457</v>
      </c>
      <c r="E74" s="328"/>
      <c r="F74" s="303">
        <v>0.75</v>
      </c>
      <c r="G74" s="33">
        <v>6</v>
      </c>
      <c r="H74" s="303">
        <v>4.5</v>
      </c>
      <c r="I74" s="303">
        <v>4.74</v>
      </c>
      <c r="J74" s="33">
        <v>120</v>
      </c>
      <c r="K74" s="34" t="s">
        <v>124</v>
      </c>
      <c r="L74" s="33">
        <v>50</v>
      </c>
      <c r="M74" s="41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86"/>
      <c r="O74" s="386"/>
      <c r="P74" s="386"/>
      <c r="Q74" s="328"/>
      <c r="R74" s="35"/>
      <c r="S74" s="35"/>
      <c r="T74" s="36" t="s">
        <v>63</v>
      </c>
      <c r="U74" s="304">
        <v>0</v>
      </c>
      <c r="V74" s="305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88"/>
      <c r="B75" s="312"/>
      <c r="C75" s="312"/>
      <c r="D75" s="312"/>
      <c r="E75" s="312"/>
      <c r="F75" s="312"/>
      <c r="G75" s="312"/>
      <c r="H75" s="312"/>
      <c r="I75" s="312"/>
      <c r="J75" s="312"/>
      <c r="K75" s="312"/>
      <c r="L75" s="389"/>
      <c r="M75" s="387" t="s">
        <v>64</v>
      </c>
      <c r="N75" s="340"/>
      <c r="O75" s="340"/>
      <c r="P75" s="340"/>
      <c r="Q75" s="340"/>
      <c r="R75" s="340"/>
      <c r="S75" s="341"/>
      <c r="T75" s="38" t="s">
        <v>65</v>
      </c>
      <c r="U75" s="306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0</v>
      </c>
      <c r="V75" s="306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0</v>
      </c>
      <c r="W75" s="306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</v>
      </c>
      <c r="X75" s="307"/>
      <c r="Y75" s="307"/>
    </row>
    <row r="76" spans="1:52" x14ac:dyDescent="0.2">
      <c r="A76" s="312"/>
      <c r="B76" s="312"/>
      <c r="C76" s="312"/>
      <c r="D76" s="312"/>
      <c r="E76" s="312"/>
      <c r="F76" s="312"/>
      <c r="G76" s="312"/>
      <c r="H76" s="312"/>
      <c r="I76" s="312"/>
      <c r="J76" s="312"/>
      <c r="K76" s="312"/>
      <c r="L76" s="389"/>
      <c r="M76" s="387" t="s">
        <v>64</v>
      </c>
      <c r="N76" s="340"/>
      <c r="O76" s="340"/>
      <c r="P76" s="340"/>
      <c r="Q76" s="340"/>
      <c r="R76" s="340"/>
      <c r="S76" s="341"/>
      <c r="T76" s="38" t="s">
        <v>63</v>
      </c>
      <c r="U76" s="306">
        <f>IFERROR(SUM(U59:U74),"0")</f>
        <v>0</v>
      </c>
      <c r="V76" s="306">
        <f>IFERROR(SUM(V59:V74),"0")</f>
        <v>0</v>
      </c>
      <c r="W76" s="38"/>
      <c r="X76" s="307"/>
      <c r="Y76" s="307"/>
    </row>
    <row r="77" spans="1:52" ht="14.25" customHeight="1" x14ac:dyDescent="0.25">
      <c r="A77" s="383" t="s">
        <v>93</v>
      </c>
      <c r="B77" s="312"/>
      <c r="C77" s="312"/>
      <c r="D77" s="312"/>
      <c r="E77" s="312"/>
      <c r="F77" s="312"/>
      <c r="G77" s="312"/>
      <c r="H77" s="312"/>
      <c r="I77" s="312"/>
      <c r="J77" s="312"/>
      <c r="K77" s="312"/>
      <c r="L77" s="312"/>
      <c r="M77" s="312"/>
      <c r="N77" s="312"/>
      <c r="O77" s="312"/>
      <c r="P77" s="312"/>
      <c r="Q77" s="312"/>
      <c r="R77" s="312"/>
      <c r="S77" s="312"/>
      <c r="T77" s="312"/>
      <c r="U77" s="312"/>
      <c r="V77" s="312"/>
      <c r="W77" s="312"/>
      <c r="X77" s="300"/>
      <c r="Y77" s="300"/>
    </row>
    <row r="78" spans="1:52" ht="27" customHeight="1" x14ac:dyDescent="0.25">
      <c r="A78" s="55" t="s">
        <v>143</v>
      </c>
      <c r="B78" s="55" t="s">
        <v>144</v>
      </c>
      <c r="C78" s="32">
        <v>4301020189</v>
      </c>
      <c r="D78" s="384">
        <v>4607091384789</v>
      </c>
      <c r="E78" s="328"/>
      <c r="F78" s="303">
        <v>1</v>
      </c>
      <c r="G78" s="33">
        <v>6</v>
      </c>
      <c r="H78" s="303">
        <v>6</v>
      </c>
      <c r="I78" s="303">
        <v>6.36</v>
      </c>
      <c r="J78" s="33">
        <v>104</v>
      </c>
      <c r="K78" s="34" t="s">
        <v>96</v>
      </c>
      <c r="L78" s="33">
        <v>45</v>
      </c>
      <c r="M78" s="420" t="s">
        <v>145</v>
      </c>
      <c r="N78" s="386"/>
      <c r="O78" s="386"/>
      <c r="P78" s="386"/>
      <c r="Q78" s="328"/>
      <c r="R78" s="35"/>
      <c r="S78" s="35"/>
      <c r="T78" s="36" t="s">
        <v>63</v>
      </c>
      <c r="U78" s="304">
        <v>0</v>
      </c>
      <c r="V78" s="305">
        <f t="shared" ref="V78:V83" si="4">IFERROR(IF(U78="",0,CEILING((U78/$H78),1)*$H78),"")</f>
        <v>0</v>
      </c>
      <c r="W78" s="37" t="str">
        <f>IFERROR(IF(V78=0,"",ROUNDUP(V78/H78,0)*0.01196),"")</f>
        <v/>
      </c>
      <c r="X78" s="57"/>
      <c r="Y78" s="58"/>
      <c r="AC78" s="59"/>
      <c r="AZ78" s="91" t="s">
        <v>1</v>
      </c>
    </row>
    <row r="79" spans="1:52" ht="16.5" customHeight="1" x14ac:dyDescent="0.25">
      <c r="A79" s="55" t="s">
        <v>146</v>
      </c>
      <c r="B79" s="55" t="s">
        <v>147</v>
      </c>
      <c r="C79" s="32">
        <v>4301020235</v>
      </c>
      <c r="D79" s="384">
        <v>4680115881488</v>
      </c>
      <c r="E79" s="328"/>
      <c r="F79" s="303">
        <v>1.35</v>
      </c>
      <c r="G79" s="33">
        <v>8</v>
      </c>
      <c r="H79" s="303">
        <v>10.8</v>
      </c>
      <c r="I79" s="303">
        <v>11.28</v>
      </c>
      <c r="J79" s="33">
        <v>48</v>
      </c>
      <c r="K79" s="34" t="s">
        <v>96</v>
      </c>
      <c r="L79" s="33">
        <v>50</v>
      </c>
      <c r="M79" s="42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9" s="386"/>
      <c r="O79" s="386"/>
      <c r="P79" s="386"/>
      <c r="Q79" s="328"/>
      <c r="R79" s="35"/>
      <c r="S79" s="35"/>
      <c r="T79" s="36" t="s">
        <v>63</v>
      </c>
      <c r="U79" s="304">
        <v>0</v>
      </c>
      <c r="V79" s="305">
        <f t="shared" si="4"/>
        <v>0</v>
      </c>
      <c r="W79" s="37" t="str">
        <f>IFERROR(IF(V79=0,"",ROUNDUP(V79/H79,0)*0.02175),"")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148</v>
      </c>
      <c r="B80" s="55" t="s">
        <v>149</v>
      </c>
      <c r="C80" s="32">
        <v>4301020183</v>
      </c>
      <c r="D80" s="384">
        <v>4607091384765</v>
      </c>
      <c r="E80" s="328"/>
      <c r="F80" s="303">
        <v>0.42</v>
      </c>
      <c r="G80" s="33">
        <v>6</v>
      </c>
      <c r="H80" s="303">
        <v>2.52</v>
      </c>
      <c r="I80" s="303">
        <v>2.72</v>
      </c>
      <c r="J80" s="33">
        <v>156</v>
      </c>
      <c r="K80" s="34" t="s">
        <v>96</v>
      </c>
      <c r="L80" s="33">
        <v>45</v>
      </c>
      <c r="M80" s="422" t="s">
        <v>150</v>
      </c>
      <c r="N80" s="386"/>
      <c r="O80" s="386"/>
      <c r="P80" s="386"/>
      <c r="Q80" s="328"/>
      <c r="R80" s="35"/>
      <c r="S80" s="35"/>
      <c r="T80" s="36" t="s">
        <v>63</v>
      </c>
      <c r="U80" s="304">
        <v>0</v>
      </c>
      <c r="V80" s="305">
        <f t="shared" si="4"/>
        <v>0</v>
      </c>
      <c r="W80" s="37" t="str">
        <f>IFERROR(IF(V80=0,"",ROUNDUP(V80/H80,0)*0.00753),"")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151</v>
      </c>
      <c r="B81" s="55" t="s">
        <v>152</v>
      </c>
      <c r="C81" s="32">
        <v>4301020258</v>
      </c>
      <c r="D81" s="384">
        <v>4680115882775</v>
      </c>
      <c r="E81" s="328"/>
      <c r="F81" s="303">
        <v>0.3</v>
      </c>
      <c r="G81" s="33">
        <v>8</v>
      </c>
      <c r="H81" s="303">
        <v>2.4</v>
      </c>
      <c r="I81" s="303">
        <v>2.5</v>
      </c>
      <c r="J81" s="33">
        <v>234</v>
      </c>
      <c r="K81" s="34" t="s">
        <v>124</v>
      </c>
      <c r="L81" s="33">
        <v>50</v>
      </c>
      <c r="M81" s="423" t="s">
        <v>153</v>
      </c>
      <c r="N81" s="386"/>
      <c r="O81" s="386"/>
      <c r="P81" s="386"/>
      <c r="Q81" s="328"/>
      <c r="R81" s="35"/>
      <c r="S81" s="35"/>
      <c r="T81" s="36" t="s">
        <v>63</v>
      </c>
      <c r="U81" s="304">
        <v>0</v>
      </c>
      <c r="V81" s="305">
        <f t="shared" si="4"/>
        <v>0</v>
      </c>
      <c r="W81" s="37" t="str">
        <f>IFERROR(IF(V81=0,"",ROUNDUP(V81/H81,0)*0.00502),"")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154</v>
      </c>
      <c r="B82" s="55" t="s">
        <v>155</v>
      </c>
      <c r="C82" s="32">
        <v>4301020217</v>
      </c>
      <c r="D82" s="384">
        <v>4680115880658</v>
      </c>
      <c r="E82" s="328"/>
      <c r="F82" s="303">
        <v>0.4</v>
      </c>
      <c r="G82" s="33">
        <v>6</v>
      </c>
      <c r="H82" s="303">
        <v>2.4</v>
      </c>
      <c r="I82" s="303">
        <v>2.6</v>
      </c>
      <c r="J82" s="33">
        <v>156</v>
      </c>
      <c r="K82" s="34" t="s">
        <v>96</v>
      </c>
      <c r="L82" s="33">
        <v>50</v>
      </c>
      <c r="M82" s="42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2" s="386"/>
      <c r="O82" s="386"/>
      <c r="P82" s="386"/>
      <c r="Q82" s="328"/>
      <c r="R82" s="35"/>
      <c r="S82" s="35"/>
      <c r="T82" s="36" t="s">
        <v>63</v>
      </c>
      <c r="U82" s="304">
        <v>0</v>
      </c>
      <c r="V82" s="305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156</v>
      </c>
      <c r="B83" s="55" t="s">
        <v>157</v>
      </c>
      <c r="C83" s="32">
        <v>4301020223</v>
      </c>
      <c r="D83" s="384">
        <v>4607091381962</v>
      </c>
      <c r="E83" s="328"/>
      <c r="F83" s="303">
        <v>0.5</v>
      </c>
      <c r="G83" s="33">
        <v>6</v>
      </c>
      <c r="H83" s="303">
        <v>3</v>
      </c>
      <c r="I83" s="303">
        <v>3.2</v>
      </c>
      <c r="J83" s="33">
        <v>156</v>
      </c>
      <c r="K83" s="34" t="s">
        <v>96</v>
      </c>
      <c r="L83" s="33">
        <v>50</v>
      </c>
      <c r="M83" s="42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3" s="386"/>
      <c r="O83" s="386"/>
      <c r="P83" s="386"/>
      <c r="Q83" s="328"/>
      <c r="R83" s="35"/>
      <c r="S83" s="35"/>
      <c r="T83" s="36" t="s">
        <v>63</v>
      </c>
      <c r="U83" s="304">
        <v>0</v>
      </c>
      <c r="V83" s="305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x14ac:dyDescent="0.2">
      <c r="A84" s="388"/>
      <c r="B84" s="312"/>
      <c r="C84" s="312"/>
      <c r="D84" s="312"/>
      <c r="E84" s="312"/>
      <c r="F84" s="312"/>
      <c r="G84" s="312"/>
      <c r="H84" s="312"/>
      <c r="I84" s="312"/>
      <c r="J84" s="312"/>
      <c r="K84" s="312"/>
      <c r="L84" s="389"/>
      <c r="M84" s="387" t="s">
        <v>64</v>
      </c>
      <c r="N84" s="340"/>
      <c r="O84" s="340"/>
      <c r="P84" s="340"/>
      <c r="Q84" s="340"/>
      <c r="R84" s="340"/>
      <c r="S84" s="341"/>
      <c r="T84" s="38" t="s">
        <v>65</v>
      </c>
      <c r="U84" s="306">
        <f>IFERROR(U78/H78,"0")+IFERROR(U79/H79,"0")+IFERROR(U80/H80,"0")+IFERROR(U81/H81,"0")+IFERROR(U82/H82,"0")+IFERROR(U83/H83,"0")</f>
        <v>0</v>
      </c>
      <c r="V84" s="306">
        <f>IFERROR(V78/H78,"0")+IFERROR(V79/H79,"0")+IFERROR(V80/H80,"0")+IFERROR(V81/H81,"0")+IFERROR(V82/H82,"0")+IFERROR(V83/H83,"0")</f>
        <v>0</v>
      </c>
      <c r="W84" s="306">
        <f>IFERROR(IF(W78="",0,W78),"0")+IFERROR(IF(W79="",0,W79),"0")+IFERROR(IF(W80="",0,W80),"0")+IFERROR(IF(W81="",0,W81),"0")+IFERROR(IF(W82="",0,W82),"0")+IFERROR(IF(W83="",0,W83),"0")</f>
        <v>0</v>
      </c>
      <c r="X84" s="307"/>
      <c r="Y84" s="307"/>
    </row>
    <row r="85" spans="1:52" x14ac:dyDescent="0.2">
      <c r="A85" s="312"/>
      <c r="B85" s="312"/>
      <c r="C85" s="312"/>
      <c r="D85" s="312"/>
      <c r="E85" s="312"/>
      <c r="F85" s="312"/>
      <c r="G85" s="312"/>
      <c r="H85" s="312"/>
      <c r="I85" s="312"/>
      <c r="J85" s="312"/>
      <c r="K85" s="312"/>
      <c r="L85" s="389"/>
      <c r="M85" s="387" t="s">
        <v>64</v>
      </c>
      <c r="N85" s="340"/>
      <c r="O85" s="340"/>
      <c r="P85" s="340"/>
      <c r="Q85" s="340"/>
      <c r="R85" s="340"/>
      <c r="S85" s="341"/>
      <c r="T85" s="38" t="s">
        <v>63</v>
      </c>
      <c r="U85" s="306">
        <f>IFERROR(SUM(U78:U83),"0")</f>
        <v>0</v>
      </c>
      <c r="V85" s="306">
        <f>IFERROR(SUM(V78:V83),"0")</f>
        <v>0</v>
      </c>
      <c r="W85" s="38"/>
      <c r="X85" s="307"/>
      <c r="Y85" s="307"/>
    </row>
    <row r="86" spans="1:52" ht="14.25" customHeight="1" x14ac:dyDescent="0.25">
      <c r="A86" s="383" t="s">
        <v>59</v>
      </c>
      <c r="B86" s="312"/>
      <c r="C86" s="312"/>
      <c r="D86" s="312"/>
      <c r="E86" s="312"/>
      <c r="F86" s="312"/>
      <c r="G86" s="312"/>
      <c r="H86" s="312"/>
      <c r="I86" s="312"/>
      <c r="J86" s="312"/>
      <c r="K86" s="312"/>
      <c r="L86" s="312"/>
      <c r="M86" s="312"/>
      <c r="N86" s="312"/>
      <c r="O86" s="312"/>
      <c r="P86" s="312"/>
      <c r="Q86" s="312"/>
      <c r="R86" s="312"/>
      <c r="S86" s="312"/>
      <c r="T86" s="312"/>
      <c r="U86" s="312"/>
      <c r="V86" s="312"/>
      <c r="W86" s="312"/>
      <c r="X86" s="300"/>
      <c r="Y86" s="300"/>
    </row>
    <row r="87" spans="1:52" ht="16.5" customHeight="1" x14ac:dyDescent="0.25">
      <c r="A87" s="55" t="s">
        <v>158</v>
      </c>
      <c r="B87" s="55" t="s">
        <v>159</v>
      </c>
      <c r="C87" s="32">
        <v>4301030895</v>
      </c>
      <c r="D87" s="384">
        <v>4607091387667</v>
      </c>
      <c r="E87" s="328"/>
      <c r="F87" s="303">
        <v>0.9</v>
      </c>
      <c r="G87" s="33">
        <v>10</v>
      </c>
      <c r="H87" s="303">
        <v>9</v>
      </c>
      <c r="I87" s="303">
        <v>9.6300000000000008</v>
      </c>
      <c r="J87" s="33">
        <v>56</v>
      </c>
      <c r="K87" s="34" t="s">
        <v>96</v>
      </c>
      <c r="L87" s="33">
        <v>40</v>
      </c>
      <c r="M87" s="4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7" s="386"/>
      <c r="O87" s="386"/>
      <c r="P87" s="386"/>
      <c r="Q87" s="328"/>
      <c r="R87" s="35"/>
      <c r="S87" s="35"/>
      <c r="T87" s="36" t="s">
        <v>63</v>
      </c>
      <c r="U87" s="304">
        <v>0</v>
      </c>
      <c r="V87" s="305">
        <f t="shared" ref="V87:V95" si="5">IFERROR(IF(U87="",0,CEILING((U87/$H87),1)*$H87),"")</f>
        <v>0</v>
      </c>
      <c r="W87" s="37" t="str">
        <f>IFERROR(IF(V87=0,"",ROUNDUP(V87/H87,0)*0.02175),"")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160</v>
      </c>
      <c r="B88" s="55" t="s">
        <v>161</v>
      </c>
      <c r="C88" s="32">
        <v>4301030961</v>
      </c>
      <c r="D88" s="384">
        <v>4607091387636</v>
      </c>
      <c r="E88" s="328"/>
      <c r="F88" s="303">
        <v>0.7</v>
      </c>
      <c r="G88" s="33">
        <v>6</v>
      </c>
      <c r="H88" s="303">
        <v>4.2</v>
      </c>
      <c r="I88" s="303">
        <v>4.5</v>
      </c>
      <c r="J88" s="33">
        <v>120</v>
      </c>
      <c r="K88" s="34" t="s">
        <v>62</v>
      </c>
      <c r="L88" s="33">
        <v>40</v>
      </c>
      <c r="M88" s="42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8" s="386"/>
      <c r="O88" s="386"/>
      <c r="P88" s="386"/>
      <c r="Q88" s="328"/>
      <c r="R88" s="35"/>
      <c r="S88" s="35"/>
      <c r="T88" s="36" t="s">
        <v>63</v>
      </c>
      <c r="U88" s="304">
        <v>0</v>
      </c>
      <c r="V88" s="305">
        <f t="shared" si="5"/>
        <v>0</v>
      </c>
      <c r="W88" s="37" t="str">
        <f>IFERROR(IF(V88=0,"",ROUNDUP(V88/H88,0)*0.00937),"")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162</v>
      </c>
      <c r="B89" s="55" t="s">
        <v>163</v>
      </c>
      <c r="C89" s="32">
        <v>4301031078</v>
      </c>
      <c r="D89" s="384">
        <v>4607091384727</v>
      </c>
      <c r="E89" s="328"/>
      <c r="F89" s="303">
        <v>0.8</v>
      </c>
      <c r="G89" s="33">
        <v>6</v>
      </c>
      <c r="H89" s="303">
        <v>4.8</v>
      </c>
      <c r="I89" s="303">
        <v>5.16</v>
      </c>
      <c r="J89" s="33">
        <v>104</v>
      </c>
      <c r="K89" s="34" t="s">
        <v>62</v>
      </c>
      <c r="L89" s="33">
        <v>45</v>
      </c>
      <c r="M89" s="42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9" s="386"/>
      <c r="O89" s="386"/>
      <c r="P89" s="386"/>
      <c r="Q89" s="328"/>
      <c r="R89" s="35"/>
      <c r="S89" s="35"/>
      <c r="T89" s="36" t="s">
        <v>63</v>
      </c>
      <c r="U89" s="304">
        <v>0</v>
      </c>
      <c r="V89" s="305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164</v>
      </c>
      <c r="B90" s="55" t="s">
        <v>165</v>
      </c>
      <c r="C90" s="32">
        <v>4301031080</v>
      </c>
      <c r="D90" s="384">
        <v>4607091386745</v>
      </c>
      <c r="E90" s="328"/>
      <c r="F90" s="303">
        <v>0.8</v>
      </c>
      <c r="G90" s="33">
        <v>6</v>
      </c>
      <c r="H90" s="303">
        <v>4.8</v>
      </c>
      <c r="I90" s="303">
        <v>5.16</v>
      </c>
      <c r="J90" s="33">
        <v>104</v>
      </c>
      <c r="K90" s="34" t="s">
        <v>62</v>
      </c>
      <c r="L90" s="33">
        <v>45</v>
      </c>
      <c r="M90" s="4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0" s="386"/>
      <c r="O90" s="386"/>
      <c r="P90" s="386"/>
      <c r="Q90" s="328"/>
      <c r="R90" s="35"/>
      <c r="S90" s="35"/>
      <c r="T90" s="36" t="s">
        <v>63</v>
      </c>
      <c r="U90" s="304">
        <v>0</v>
      </c>
      <c r="V90" s="305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16.5" customHeight="1" x14ac:dyDescent="0.25">
      <c r="A91" s="55" t="s">
        <v>166</v>
      </c>
      <c r="B91" s="55" t="s">
        <v>167</v>
      </c>
      <c r="C91" s="32">
        <v>4301030963</v>
      </c>
      <c r="D91" s="384">
        <v>4607091382426</v>
      </c>
      <c r="E91" s="328"/>
      <c r="F91" s="303">
        <v>0.9</v>
      </c>
      <c r="G91" s="33">
        <v>10</v>
      </c>
      <c r="H91" s="303">
        <v>9</v>
      </c>
      <c r="I91" s="303">
        <v>9.6300000000000008</v>
      </c>
      <c r="J91" s="33">
        <v>56</v>
      </c>
      <c r="K91" s="34" t="s">
        <v>62</v>
      </c>
      <c r="L91" s="33">
        <v>40</v>
      </c>
      <c r="M91" s="43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1" s="386"/>
      <c r="O91" s="386"/>
      <c r="P91" s="386"/>
      <c r="Q91" s="328"/>
      <c r="R91" s="35"/>
      <c r="S91" s="35"/>
      <c r="T91" s="36" t="s">
        <v>63</v>
      </c>
      <c r="U91" s="304">
        <v>0</v>
      </c>
      <c r="V91" s="305">
        <f t="shared" si="5"/>
        <v>0</v>
      </c>
      <c r="W91" s="37" t="str">
        <f>IFERROR(IF(V91=0,"",ROUNDUP(V91/H91,0)*0.02175),"")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168</v>
      </c>
      <c r="B92" s="55" t="s">
        <v>169</v>
      </c>
      <c r="C92" s="32">
        <v>4301030962</v>
      </c>
      <c r="D92" s="384">
        <v>4607091386547</v>
      </c>
      <c r="E92" s="328"/>
      <c r="F92" s="303">
        <v>0.35</v>
      </c>
      <c r="G92" s="33">
        <v>8</v>
      </c>
      <c r="H92" s="303">
        <v>2.8</v>
      </c>
      <c r="I92" s="303">
        <v>2.94</v>
      </c>
      <c r="J92" s="33">
        <v>234</v>
      </c>
      <c r="K92" s="34" t="s">
        <v>62</v>
      </c>
      <c r="L92" s="33">
        <v>40</v>
      </c>
      <c r="M92" s="43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2" s="386"/>
      <c r="O92" s="386"/>
      <c r="P92" s="386"/>
      <c r="Q92" s="328"/>
      <c r="R92" s="35"/>
      <c r="S92" s="35"/>
      <c r="T92" s="36" t="s">
        <v>63</v>
      </c>
      <c r="U92" s="304">
        <v>0</v>
      </c>
      <c r="V92" s="305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170</v>
      </c>
      <c r="B93" s="55" t="s">
        <v>171</v>
      </c>
      <c r="C93" s="32">
        <v>4301031077</v>
      </c>
      <c r="D93" s="384">
        <v>4607091384703</v>
      </c>
      <c r="E93" s="328"/>
      <c r="F93" s="303">
        <v>0.35</v>
      </c>
      <c r="G93" s="33">
        <v>6</v>
      </c>
      <c r="H93" s="303">
        <v>2.1</v>
      </c>
      <c r="I93" s="303">
        <v>2.2000000000000002</v>
      </c>
      <c r="J93" s="33">
        <v>234</v>
      </c>
      <c r="K93" s="34" t="s">
        <v>62</v>
      </c>
      <c r="L93" s="33">
        <v>45</v>
      </c>
      <c r="M93" s="432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3" s="386"/>
      <c r="O93" s="386"/>
      <c r="P93" s="386"/>
      <c r="Q93" s="328"/>
      <c r="R93" s="35"/>
      <c r="S93" s="35"/>
      <c r="T93" s="36" t="s">
        <v>63</v>
      </c>
      <c r="U93" s="304">
        <v>0</v>
      </c>
      <c r="V93" s="305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172</v>
      </c>
      <c r="B94" s="55" t="s">
        <v>173</v>
      </c>
      <c r="C94" s="32">
        <v>4301031079</v>
      </c>
      <c r="D94" s="384">
        <v>4607091384734</v>
      </c>
      <c r="E94" s="328"/>
      <c r="F94" s="303">
        <v>0.35</v>
      </c>
      <c r="G94" s="33">
        <v>6</v>
      </c>
      <c r="H94" s="303">
        <v>2.1</v>
      </c>
      <c r="I94" s="303">
        <v>2.2000000000000002</v>
      </c>
      <c r="J94" s="33">
        <v>234</v>
      </c>
      <c r="K94" s="34" t="s">
        <v>62</v>
      </c>
      <c r="L94" s="33">
        <v>45</v>
      </c>
      <c r="M94" s="43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4" s="386"/>
      <c r="O94" s="386"/>
      <c r="P94" s="386"/>
      <c r="Q94" s="328"/>
      <c r="R94" s="35"/>
      <c r="S94" s="35"/>
      <c r="T94" s="36" t="s">
        <v>63</v>
      </c>
      <c r="U94" s="304">
        <v>0</v>
      </c>
      <c r="V94" s="305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174</v>
      </c>
      <c r="B95" s="55" t="s">
        <v>175</v>
      </c>
      <c r="C95" s="32">
        <v>4301030964</v>
      </c>
      <c r="D95" s="384">
        <v>4607091382464</v>
      </c>
      <c r="E95" s="328"/>
      <c r="F95" s="303">
        <v>0.35</v>
      </c>
      <c r="G95" s="33">
        <v>8</v>
      </c>
      <c r="H95" s="303">
        <v>2.8</v>
      </c>
      <c r="I95" s="303">
        <v>2.964</v>
      </c>
      <c r="J95" s="33">
        <v>234</v>
      </c>
      <c r="K95" s="34" t="s">
        <v>62</v>
      </c>
      <c r="L95" s="33">
        <v>40</v>
      </c>
      <c r="M95" s="43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5" s="386"/>
      <c r="O95" s="386"/>
      <c r="P95" s="386"/>
      <c r="Q95" s="328"/>
      <c r="R95" s="35"/>
      <c r="S95" s="35"/>
      <c r="T95" s="36" t="s">
        <v>63</v>
      </c>
      <c r="U95" s="304">
        <v>0</v>
      </c>
      <c r="V95" s="305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x14ac:dyDescent="0.2">
      <c r="A96" s="388"/>
      <c r="B96" s="312"/>
      <c r="C96" s="312"/>
      <c r="D96" s="312"/>
      <c r="E96" s="312"/>
      <c r="F96" s="312"/>
      <c r="G96" s="312"/>
      <c r="H96" s="312"/>
      <c r="I96" s="312"/>
      <c r="J96" s="312"/>
      <c r="K96" s="312"/>
      <c r="L96" s="389"/>
      <c r="M96" s="387" t="s">
        <v>64</v>
      </c>
      <c r="N96" s="340"/>
      <c r="O96" s="340"/>
      <c r="P96" s="340"/>
      <c r="Q96" s="340"/>
      <c r="R96" s="340"/>
      <c r="S96" s="341"/>
      <c r="T96" s="38" t="s">
        <v>65</v>
      </c>
      <c r="U96" s="306">
        <f>IFERROR(U87/H87,"0")+IFERROR(U88/H88,"0")+IFERROR(U89/H89,"0")+IFERROR(U90/H90,"0")+IFERROR(U91/H91,"0")+IFERROR(U92/H92,"0")+IFERROR(U93/H93,"0")+IFERROR(U94/H94,"0")+IFERROR(U95/H95,"0")</f>
        <v>0</v>
      </c>
      <c r="V96" s="306">
        <f>IFERROR(V87/H87,"0")+IFERROR(V88/H88,"0")+IFERROR(V89/H89,"0")+IFERROR(V90/H90,"0")+IFERROR(V91/H91,"0")+IFERROR(V92/H92,"0")+IFERROR(V93/H93,"0")+IFERROR(V94/H94,"0")+IFERROR(V95/H95,"0")</f>
        <v>0</v>
      </c>
      <c r="W96" s="306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>0</v>
      </c>
      <c r="X96" s="307"/>
      <c r="Y96" s="307"/>
    </row>
    <row r="97" spans="1:52" x14ac:dyDescent="0.2">
      <c r="A97" s="312"/>
      <c r="B97" s="312"/>
      <c r="C97" s="312"/>
      <c r="D97" s="312"/>
      <c r="E97" s="312"/>
      <c r="F97" s="312"/>
      <c r="G97" s="312"/>
      <c r="H97" s="312"/>
      <c r="I97" s="312"/>
      <c r="J97" s="312"/>
      <c r="K97" s="312"/>
      <c r="L97" s="389"/>
      <c r="M97" s="387" t="s">
        <v>64</v>
      </c>
      <c r="N97" s="340"/>
      <c r="O97" s="340"/>
      <c r="P97" s="340"/>
      <c r="Q97" s="340"/>
      <c r="R97" s="340"/>
      <c r="S97" s="341"/>
      <c r="T97" s="38" t="s">
        <v>63</v>
      </c>
      <c r="U97" s="306">
        <f>IFERROR(SUM(U87:U95),"0")</f>
        <v>0</v>
      </c>
      <c r="V97" s="306">
        <f>IFERROR(SUM(V87:V95),"0")</f>
        <v>0</v>
      </c>
      <c r="W97" s="38"/>
      <c r="X97" s="307"/>
      <c r="Y97" s="307"/>
    </row>
    <row r="98" spans="1:52" ht="14.25" customHeight="1" x14ac:dyDescent="0.25">
      <c r="A98" s="383" t="s">
        <v>66</v>
      </c>
      <c r="B98" s="312"/>
      <c r="C98" s="312"/>
      <c r="D98" s="312"/>
      <c r="E98" s="312"/>
      <c r="F98" s="312"/>
      <c r="G98" s="312"/>
      <c r="H98" s="312"/>
      <c r="I98" s="312"/>
      <c r="J98" s="312"/>
      <c r="K98" s="312"/>
      <c r="L98" s="312"/>
      <c r="M98" s="312"/>
      <c r="N98" s="312"/>
      <c r="O98" s="312"/>
      <c r="P98" s="312"/>
      <c r="Q98" s="312"/>
      <c r="R98" s="312"/>
      <c r="S98" s="312"/>
      <c r="T98" s="312"/>
      <c r="U98" s="312"/>
      <c r="V98" s="312"/>
      <c r="W98" s="312"/>
      <c r="X98" s="300"/>
      <c r="Y98" s="300"/>
    </row>
    <row r="99" spans="1:52" ht="16.5" customHeight="1" x14ac:dyDescent="0.25">
      <c r="A99" s="55" t="s">
        <v>176</v>
      </c>
      <c r="B99" s="55" t="s">
        <v>177</v>
      </c>
      <c r="C99" s="32">
        <v>4301051480</v>
      </c>
      <c r="D99" s="384">
        <v>4680115882645</v>
      </c>
      <c r="E99" s="328"/>
      <c r="F99" s="303">
        <v>0.3</v>
      </c>
      <c r="G99" s="33">
        <v>6</v>
      </c>
      <c r="H99" s="303">
        <v>1.8</v>
      </c>
      <c r="I99" s="303">
        <v>2.66</v>
      </c>
      <c r="J99" s="33">
        <v>156</v>
      </c>
      <c r="K99" s="34" t="s">
        <v>62</v>
      </c>
      <c r="L99" s="33">
        <v>40</v>
      </c>
      <c r="M99" s="435" t="s">
        <v>178</v>
      </c>
      <c r="N99" s="386"/>
      <c r="O99" s="386"/>
      <c r="P99" s="386"/>
      <c r="Q99" s="328"/>
      <c r="R99" s="35"/>
      <c r="S99" s="35"/>
      <c r="T99" s="36" t="s">
        <v>63</v>
      </c>
      <c r="U99" s="304">
        <v>0</v>
      </c>
      <c r="V99" s="305">
        <f t="shared" ref="V99:V106" si="6">IFERROR(IF(U99="",0,CEILING((U99/$H99),1)*$H99),"")</f>
        <v>0</v>
      </c>
      <c r="W99" s="37" t="str">
        <f>IFERROR(IF(V99=0,"",ROUNDUP(V99/H99,0)*0.00753),"")</f>
        <v/>
      </c>
      <c r="X99" s="57"/>
      <c r="Y99" s="58" t="s">
        <v>179</v>
      </c>
      <c r="AC99" s="59"/>
      <c r="AZ99" s="106" t="s">
        <v>1</v>
      </c>
    </row>
    <row r="100" spans="1:52" ht="27" customHeight="1" x14ac:dyDescent="0.25">
      <c r="A100" s="55" t="s">
        <v>180</v>
      </c>
      <c r="B100" s="55" t="s">
        <v>181</v>
      </c>
      <c r="C100" s="32">
        <v>4301051543</v>
      </c>
      <c r="D100" s="384">
        <v>4607091386967</v>
      </c>
      <c r="E100" s="328"/>
      <c r="F100" s="303">
        <v>1.4</v>
      </c>
      <c r="G100" s="33">
        <v>6</v>
      </c>
      <c r="H100" s="303">
        <v>8.4</v>
      </c>
      <c r="I100" s="303">
        <v>8.9640000000000004</v>
      </c>
      <c r="J100" s="33">
        <v>56</v>
      </c>
      <c r="K100" s="34" t="s">
        <v>62</v>
      </c>
      <c r="L100" s="33">
        <v>45</v>
      </c>
      <c r="M100" s="436" t="s">
        <v>182</v>
      </c>
      <c r="N100" s="386"/>
      <c r="O100" s="386"/>
      <c r="P100" s="386"/>
      <c r="Q100" s="328"/>
      <c r="R100" s="35"/>
      <c r="S100" s="35"/>
      <c r="T100" s="36" t="s">
        <v>63</v>
      </c>
      <c r="U100" s="304">
        <v>0</v>
      </c>
      <c r="V100" s="305">
        <f t="shared" si="6"/>
        <v>0</v>
      </c>
      <c r="W100" s="37" t="str">
        <f>IFERROR(IF(V100=0,"",ROUNDUP(V100/H100,0)*0.02175),"")</f>
        <v/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183</v>
      </c>
      <c r="B101" s="55" t="s">
        <v>184</v>
      </c>
      <c r="C101" s="32">
        <v>4301051311</v>
      </c>
      <c r="D101" s="384">
        <v>4607091385304</v>
      </c>
      <c r="E101" s="328"/>
      <c r="F101" s="303">
        <v>1.35</v>
      </c>
      <c r="G101" s="33">
        <v>6</v>
      </c>
      <c r="H101" s="303">
        <v>8.1</v>
      </c>
      <c r="I101" s="303">
        <v>8.6639999999999997</v>
      </c>
      <c r="J101" s="33">
        <v>56</v>
      </c>
      <c r="K101" s="34" t="s">
        <v>62</v>
      </c>
      <c r="L101" s="33">
        <v>40</v>
      </c>
      <c r="M101" s="43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6"/>
      <c r="O101" s="386"/>
      <c r="P101" s="386"/>
      <c r="Q101" s="328"/>
      <c r="R101" s="35"/>
      <c r="S101" s="35"/>
      <c r="T101" s="36" t="s">
        <v>63</v>
      </c>
      <c r="U101" s="304">
        <v>0</v>
      </c>
      <c r="V101" s="305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185</v>
      </c>
      <c r="B102" s="55" t="s">
        <v>186</v>
      </c>
      <c r="C102" s="32">
        <v>4301051306</v>
      </c>
      <c r="D102" s="384">
        <v>4607091386264</v>
      </c>
      <c r="E102" s="328"/>
      <c r="F102" s="303">
        <v>0.5</v>
      </c>
      <c r="G102" s="33">
        <v>6</v>
      </c>
      <c r="H102" s="303">
        <v>3</v>
      </c>
      <c r="I102" s="303">
        <v>3.278</v>
      </c>
      <c r="J102" s="33">
        <v>156</v>
      </c>
      <c r="K102" s="34" t="s">
        <v>62</v>
      </c>
      <c r="L102" s="33">
        <v>31</v>
      </c>
      <c r="M102" s="43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6"/>
      <c r="O102" s="386"/>
      <c r="P102" s="386"/>
      <c r="Q102" s="328"/>
      <c r="R102" s="35"/>
      <c r="S102" s="35"/>
      <c r="T102" s="36" t="s">
        <v>63</v>
      </c>
      <c r="U102" s="304">
        <v>0</v>
      </c>
      <c r="V102" s="305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187</v>
      </c>
      <c r="B103" s="55" t="s">
        <v>188</v>
      </c>
      <c r="C103" s="32">
        <v>4301051436</v>
      </c>
      <c r="D103" s="384">
        <v>4607091385731</v>
      </c>
      <c r="E103" s="328"/>
      <c r="F103" s="303">
        <v>0.45</v>
      </c>
      <c r="G103" s="33">
        <v>6</v>
      </c>
      <c r="H103" s="303">
        <v>2.7</v>
      </c>
      <c r="I103" s="303">
        <v>2.972</v>
      </c>
      <c r="J103" s="33">
        <v>156</v>
      </c>
      <c r="K103" s="34" t="s">
        <v>124</v>
      </c>
      <c r="L103" s="33">
        <v>45</v>
      </c>
      <c r="M103" s="439" t="s">
        <v>189</v>
      </c>
      <c r="N103" s="386"/>
      <c r="O103" s="386"/>
      <c r="P103" s="386"/>
      <c r="Q103" s="328"/>
      <c r="R103" s="35"/>
      <c r="S103" s="35"/>
      <c r="T103" s="36" t="s">
        <v>63</v>
      </c>
      <c r="U103" s="304">
        <v>13.5</v>
      </c>
      <c r="V103" s="305">
        <f t="shared" si="6"/>
        <v>13.5</v>
      </c>
      <c r="W103" s="37">
        <f>IFERROR(IF(V103=0,"",ROUNDUP(V103/H103,0)*0.00753),"")</f>
        <v>3.7650000000000003E-2</v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190</v>
      </c>
      <c r="B104" s="55" t="s">
        <v>191</v>
      </c>
      <c r="C104" s="32">
        <v>4301051439</v>
      </c>
      <c r="D104" s="384">
        <v>4680115880214</v>
      </c>
      <c r="E104" s="328"/>
      <c r="F104" s="303">
        <v>0.45</v>
      </c>
      <c r="G104" s="33">
        <v>6</v>
      </c>
      <c r="H104" s="303">
        <v>2.7</v>
      </c>
      <c r="I104" s="303">
        <v>2.988</v>
      </c>
      <c r="J104" s="33">
        <v>120</v>
      </c>
      <c r="K104" s="34" t="s">
        <v>124</v>
      </c>
      <c r="L104" s="33">
        <v>45</v>
      </c>
      <c r="M104" s="440" t="s">
        <v>192</v>
      </c>
      <c r="N104" s="386"/>
      <c r="O104" s="386"/>
      <c r="P104" s="386"/>
      <c r="Q104" s="328"/>
      <c r="R104" s="35"/>
      <c r="S104" s="35"/>
      <c r="T104" s="36" t="s">
        <v>63</v>
      </c>
      <c r="U104" s="304">
        <v>0</v>
      </c>
      <c r="V104" s="305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193</v>
      </c>
      <c r="B105" s="55" t="s">
        <v>194</v>
      </c>
      <c r="C105" s="32">
        <v>4301051438</v>
      </c>
      <c r="D105" s="384">
        <v>4680115880894</v>
      </c>
      <c r="E105" s="328"/>
      <c r="F105" s="303">
        <v>0.33</v>
      </c>
      <c r="G105" s="33">
        <v>6</v>
      </c>
      <c r="H105" s="303">
        <v>1.98</v>
      </c>
      <c r="I105" s="303">
        <v>2.258</v>
      </c>
      <c r="J105" s="33">
        <v>156</v>
      </c>
      <c r="K105" s="34" t="s">
        <v>124</v>
      </c>
      <c r="L105" s="33">
        <v>45</v>
      </c>
      <c r="M105" s="441" t="s">
        <v>195</v>
      </c>
      <c r="N105" s="386"/>
      <c r="O105" s="386"/>
      <c r="P105" s="386"/>
      <c r="Q105" s="328"/>
      <c r="R105" s="35"/>
      <c r="S105" s="35"/>
      <c r="T105" s="36" t="s">
        <v>63</v>
      </c>
      <c r="U105" s="304">
        <v>3.3</v>
      </c>
      <c r="V105" s="305">
        <f t="shared" si="6"/>
        <v>3.96</v>
      </c>
      <c r="W105" s="37">
        <f>IFERROR(IF(V105=0,"",ROUNDUP(V105/H105,0)*0.00753),"")</f>
        <v>1.506E-2</v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196</v>
      </c>
      <c r="B106" s="55" t="s">
        <v>197</v>
      </c>
      <c r="C106" s="32">
        <v>4301051313</v>
      </c>
      <c r="D106" s="384">
        <v>4607091385427</v>
      </c>
      <c r="E106" s="328"/>
      <c r="F106" s="303">
        <v>0.5</v>
      </c>
      <c r="G106" s="33">
        <v>6</v>
      </c>
      <c r="H106" s="303">
        <v>3</v>
      </c>
      <c r="I106" s="303">
        <v>3.2719999999999998</v>
      </c>
      <c r="J106" s="33">
        <v>156</v>
      </c>
      <c r="K106" s="34" t="s">
        <v>62</v>
      </c>
      <c r="L106" s="33">
        <v>40</v>
      </c>
      <c r="M106" s="44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6"/>
      <c r="O106" s="386"/>
      <c r="P106" s="386"/>
      <c r="Q106" s="328"/>
      <c r="R106" s="35"/>
      <c r="S106" s="35"/>
      <c r="T106" s="36" t="s">
        <v>63</v>
      </c>
      <c r="U106" s="304">
        <v>0</v>
      </c>
      <c r="V106" s="305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x14ac:dyDescent="0.2">
      <c r="A107" s="388"/>
      <c r="B107" s="312"/>
      <c r="C107" s="312"/>
      <c r="D107" s="312"/>
      <c r="E107" s="312"/>
      <c r="F107" s="312"/>
      <c r="G107" s="312"/>
      <c r="H107" s="312"/>
      <c r="I107" s="312"/>
      <c r="J107" s="312"/>
      <c r="K107" s="312"/>
      <c r="L107" s="389"/>
      <c r="M107" s="387" t="s">
        <v>64</v>
      </c>
      <c r="N107" s="340"/>
      <c r="O107" s="340"/>
      <c r="P107" s="340"/>
      <c r="Q107" s="340"/>
      <c r="R107" s="340"/>
      <c r="S107" s="341"/>
      <c r="T107" s="38" t="s">
        <v>65</v>
      </c>
      <c r="U107" s="306">
        <f>IFERROR(U99/H99,"0")+IFERROR(U100/H100,"0")+IFERROR(U101/H101,"0")+IFERROR(U102/H102,"0")+IFERROR(U103/H103,"0")+IFERROR(U104/H104,"0")+IFERROR(U105/H105,"0")+IFERROR(U106/H106,"0")</f>
        <v>6.6666666666666661</v>
      </c>
      <c r="V107" s="306">
        <f>IFERROR(V99/H99,"0")+IFERROR(V100/H100,"0")+IFERROR(V101/H101,"0")+IFERROR(V102/H102,"0")+IFERROR(V103/H103,"0")+IFERROR(V104/H104,"0")+IFERROR(V105/H105,"0")+IFERROR(V106/H106,"0")</f>
        <v>7</v>
      </c>
      <c r="W107" s="306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>5.2710000000000007E-2</v>
      </c>
      <c r="X107" s="307"/>
      <c r="Y107" s="307"/>
    </row>
    <row r="108" spans="1:52" x14ac:dyDescent="0.2">
      <c r="A108" s="312"/>
      <c r="B108" s="312"/>
      <c r="C108" s="312"/>
      <c r="D108" s="312"/>
      <c r="E108" s="312"/>
      <c r="F108" s="312"/>
      <c r="G108" s="312"/>
      <c r="H108" s="312"/>
      <c r="I108" s="312"/>
      <c r="J108" s="312"/>
      <c r="K108" s="312"/>
      <c r="L108" s="389"/>
      <c r="M108" s="387" t="s">
        <v>64</v>
      </c>
      <c r="N108" s="340"/>
      <c r="O108" s="340"/>
      <c r="P108" s="340"/>
      <c r="Q108" s="340"/>
      <c r="R108" s="340"/>
      <c r="S108" s="341"/>
      <c r="T108" s="38" t="s">
        <v>63</v>
      </c>
      <c r="U108" s="306">
        <f>IFERROR(SUM(U99:U106),"0")</f>
        <v>16.8</v>
      </c>
      <c r="V108" s="306">
        <f>IFERROR(SUM(V99:V106),"0")</f>
        <v>17.46</v>
      </c>
      <c r="W108" s="38"/>
      <c r="X108" s="307"/>
      <c r="Y108" s="307"/>
    </row>
    <row r="109" spans="1:52" ht="14.25" customHeight="1" x14ac:dyDescent="0.25">
      <c r="A109" s="383" t="s">
        <v>198</v>
      </c>
      <c r="B109" s="312"/>
      <c r="C109" s="312"/>
      <c r="D109" s="312"/>
      <c r="E109" s="312"/>
      <c r="F109" s="312"/>
      <c r="G109" s="312"/>
      <c r="H109" s="312"/>
      <c r="I109" s="312"/>
      <c r="J109" s="312"/>
      <c r="K109" s="312"/>
      <c r="L109" s="312"/>
      <c r="M109" s="312"/>
      <c r="N109" s="312"/>
      <c r="O109" s="312"/>
      <c r="P109" s="312"/>
      <c r="Q109" s="312"/>
      <c r="R109" s="312"/>
      <c r="S109" s="312"/>
      <c r="T109" s="312"/>
      <c r="U109" s="312"/>
      <c r="V109" s="312"/>
      <c r="W109" s="312"/>
      <c r="X109" s="300"/>
      <c r="Y109" s="300"/>
    </row>
    <row r="110" spans="1:52" ht="27" customHeight="1" x14ac:dyDescent="0.25">
      <c r="A110" s="55" t="s">
        <v>199</v>
      </c>
      <c r="B110" s="55" t="s">
        <v>200</v>
      </c>
      <c r="C110" s="32">
        <v>4301060356</v>
      </c>
      <c r="D110" s="384">
        <v>4680115882652</v>
      </c>
      <c r="E110" s="328"/>
      <c r="F110" s="303">
        <v>0.33</v>
      </c>
      <c r="G110" s="33">
        <v>6</v>
      </c>
      <c r="H110" s="303">
        <v>1.98</v>
      </c>
      <c r="I110" s="303">
        <v>2.84</v>
      </c>
      <c r="J110" s="33">
        <v>156</v>
      </c>
      <c r="K110" s="34" t="s">
        <v>62</v>
      </c>
      <c r="L110" s="33">
        <v>40</v>
      </c>
      <c r="M110" s="443" t="s">
        <v>201</v>
      </c>
      <c r="N110" s="386"/>
      <c r="O110" s="386"/>
      <c r="P110" s="386"/>
      <c r="Q110" s="328"/>
      <c r="R110" s="35"/>
      <c r="S110" s="35"/>
      <c r="T110" s="36" t="s">
        <v>63</v>
      </c>
      <c r="U110" s="304">
        <v>0</v>
      </c>
      <c r="V110" s="305">
        <f>IFERROR(IF(U110="",0,CEILING((U110/$H110),1)*$H110),"")</f>
        <v>0</v>
      </c>
      <c r="W110" s="37" t="str">
        <f>IFERROR(IF(V110=0,"",ROUNDUP(V110/H110,0)*0.00753),"")</f>
        <v/>
      </c>
      <c r="X110" s="57"/>
      <c r="Y110" s="58" t="s">
        <v>179</v>
      </c>
      <c r="AC110" s="59"/>
      <c r="AZ110" s="114" t="s">
        <v>1</v>
      </c>
    </row>
    <row r="111" spans="1:52" ht="27" customHeight="1" x14ac:dyDescent="0.25">
      <c r="A111" s="55" t="s">
        <v>202</v>
      </c>
      <c r="B111" s="55" t="s">
        <v>203</v>
      </c>
      <c r="C111" s="32">
        <v>4301060296</v>
      </c>
      <c r="D111" s="384">
        <v>4607091383065</v>
      </c>
      <c r="E111" s="328"/>
      <c r="F111" s="303">
        <v>0.83</v>
      </c>
      <c r="G111" s="33">
        <v>4</v>
      </c>
      <c r="H111" s="303">
        <v>3.32</v>
      </c>
      <c r="I111" s="303">
        <v>3.5819999999999999</v>
      </c>
      <c r="J111" s="33">
        <v>120</v>
      </c>
      <c r="K111" s="34" t="s">
        <v>62</v>
      </c>
      <c r="L111" s="33">
        <v>30</v>
      </c>
      <c r="M111" s="44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86"/>
      <c r="O111" s="386"/>
      <c r="P111" s="386"/>
      <c r="Q111" s="328"/>
      <c r="R111" s="35"/>
      <c r="S111" s="35"/>
      <c r="T111" s="36" t="s">
        <v>63</v>
      </c>
      <c r="U111" s="304">
        <v>0</v>
      </c>
      <c r="V111" s="305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204</v>
      </c>
      <c r="B112" s="55" t="s">
        <v>205</v>
      </c>
      <c r="C112" s="32">
        <v>4301060350</v>
      </c>
      <c r="D112" s="384">
        <v>4680115881532</v>
      </c>
      <c r="E112" s="328"/>
      <c r="F112" s="303">
        <v>1.35</v>
      </c>
      <c r="G112" s="33">
        <v>6</v>
      </c>
      <c r="H112" s="303">
        <v>8.1</v>
      </c>
      <c r="I112" s="303">
        <v>8.58</v>
      </c>
      <c r="J112" s="33">
        <v>56</v>
      </c>
      <c r="K112" s="34" t="s">
        <v>124</v>
      </c>
      <c r="L112" s="33">
        <v>30</v>
      </c>
      <c r="M112" s="44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86"/>
      <c r="O112" s="386"/>
      <c r="P112" s="386"/>
      <c r="Q112" s="328"/>
      <c r="R112" s="35"/>
      <c r="S112" s="35"/>
      <c r="T112" s="36" t="s">
        <v>63</v>
      </c>
      <c r="U112" s="304">
        <v>0</v>
      </c>
      <c r="V112" s="305">
        <f>IFERROR(IF(U112="",0,CEILING((U112/$H112),1)*$H112),"")</f>
        <v>0</v>
      </c>
      <c r="W112" s="37" t="str">
        <f>IFERROR(IF(V112=0,"",ROUNDUP(V112/H112,0)*0.02175),"")</f>
        <v/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4301060309</v>
      </c>
      <c r="D113" s="384">
        <v>4680115880238</v>
      </c>
      <c r="E113" s="328"/>
      <c r="F113" s="303">
        <v>0.33</v>
      </c>
      <c r="G113" s="33">
        <v>6</v>
      </c>
      <c r="H113" s="303">
        <v>1.98</v>
      </c>
      <c r="I113" s="303">
        <v>2.258</v>
      </c>
      <c r="J113" s="33">
        <v>156</v>
      </c>
      <c r="K113" s="34" t="s">
        <v>62</v>
      </c>
      <c r="L113" s="33">
        <v>40</v>
      </c>
      <c r="M113" s="44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3" s="386"/>
      <c r="O113" s="386"/>
      <c r="P113" s="386"/>
      <c r="Q113" s="328"/>
      <c r="R113" s="35"/>
      <c r="S113" s="35"/>
      <c r="T113" s="36" t="s">
        <v>63</v>
      </c>
      <c r="U113" s="304">
        <v>0</v>
      </c>
      <c r="V113" s="305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27" customHeight="1" x14ac:dyDescent="0.25">
      <c r="A114" s="55" t="s">
        <v>208</v>
      </c>
      <c r="B114" s="55" t="s">
        <v>209</v>
      </c>
      <c r="C114" s="32">
        <v>4301060351</v>
      </c>
      <c r="D114" s="384">
        <v>4680115881464</v>
      </c>
      <c r="E114" s="328"/>
      <c r="F114" s="303">
        <v>0.4</v>
      </c>
      <c r="G114" s="33">
        <v>6</v>
      </c>
      <c r="H114" s="303">
        <v>2.4</v>
      </c>
      <c r="I114" s="303">
        <v>2.6</v>
      </c>
      <c r="J114" s="33">
        <v>156</v>
      </c>
      <c r="K114" s="34" t="s">
        <v>124</v>
      </c>
      <c r="L114" s="33">
        <v>30</v>
      </c>
      <c r="M114" s="447" t="s">
        <v>210</v>
      </c>
      <c r="N114" s="386"/>
      <c r="O114" s="386"/>
      <c r="P114" s="386"/>
      <c r="Q114" s="328"/>
      <c r="R114" s="35"/>
      <c r="S114" s="35"/>
      <c r="T114" s="36" t="s">
        <v>63</v>
      </c>
      <c r="U114" s="304">
        <v>0</v>
      </c>
      <c r="V114" s="305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88"/>
      <c r="B115" s="312"/>
      <c r="C115" s="312"/>
      <c r="D115" s="312"/>
      <c r="E115" s="312"/>
      <c r="F115" s="312"/>
      <c r="G115" s="312"/>
      <c r="H115" s="312"/>
      <c r="I115" s="312"/>
      <c r="J115" s="312"/>
      <c r="K115" s="312"/>
      <c r="L115" s="389"/>
      <c r="M115" s="387" t="s">
        <v>64</v>
      </c>
      <c r="N115" s="340"/>
      <c r="O115" s="340"/>
      <c r="P115" s="340"/>
      <c r="Q115" s="340"/>
      <c r="R115" s="340"/>
      <c r="S115" s="341"/>
      <c r="T115" s="38" t="s">
        <v>65</v>
      </c>
      <c r="U115" s="306">
        <f>IFERROR(U110/H110,"0")+IFERROR(U111/H111,"0")+IFERROR(U112/H112,"0")+IFERROR(U113/H113,"0")+IFERROR(U114/H114,"0")</f>
        <v>0</v>
      </c>
      <c r="V115" s="306">
        <f>IFERROR(V110/H110,"0")+IFERROR(V111/H111,"0")+IFERROR(V112/H112,"0")+IFERROR(V113/H113,"0")+IFERROR(V114/H114,"0")</f>
        <v>0</v>
      </c>
      <c r="W115" s="306">
        <f>IFERROR(IF(W110="",0,W110),"0")+IFERROR(IF(W111="",0,W111),"0")+IFERROR(IF(W112="",0,W112),"0")+IFERROR(IF(W113="",0,W113),"0")+IFERROR(IF(W114="",0,W114),"0")</f>
        <v>0</v>
      </c>
      <c r="X115" s="307"/>
      <c r="Y115" s="307"/>
    </row>
    <row r="116" spans="1:52" x14ac:dyDescent="0.2">
      <c r="A116" s="312"/>
      <c r="B116" s="312"/>
      <c r="C116" s="312"/>
      <c r="D116" s="312"/>
      <c r="E116" s="312"/>
      <c r="F116" s="312"/>
      <c r="G116" s="312"/>
      <c r="H116" s="312"/>
      <c r="I116" s="312"/>
      <c r="J116" s="312"/>
      <c r="K116" s="312"/>
      <c r="L116" s="389"/>
      <c r="M116" s="387" t="s">
        <v>64</v>
      </c>
      <c r="N116" s="340"/>
      <c r="O116" s="340"/>
      <c r="P116" s="340"/>
      <c r="Q116" s="340"/>
      <c r="R116" s="340"/>
      <c r="S116" s="341"/>
      <c r="T116" s="38" t="s">
        <v>63</v>
      </c>
      <c r="U116" s="306">
        <f>IFERROR(SUM(U110:U114),"0")</f>
        <v>0</v>
      </c>
      <c r="V116" s="306">
        <f>IFERROR(SUM(V110:V114),"0")</f>
        <v>0</v>
      </c>
      <c r="W116" s="38"/>
      <c r="X116" s="307"/>
      <c r="Y116" s="307"/>
    </row>
    <row r="117" spans="1:52" ht="16.5" customHeight="1" x14ac:dyDescent="0.25">
      <c r="A117" s="382" t="s">
        <v>211</v>
      </c>
      <c r="B117" s="312"/>
      <c r="C117" s="312"/>
      <c r="D117" s="312"/>
      <c r="E117" s="312"/>
      <c r="F117" s="312"/>
      <c r="G117" s="312"/>
      <c r="H117" s="312"/>
      <c r="I117" s="312"/>
      <c r="J117" s="312"/>
      <c r="K117" s="312"/>
      <c r="L117" s="312"/>
      <c r="M117" s="312"/>
      <c r="N117" s="312"/>
      <c r="O117" s="312"/>
      <c r="P117" s="312"/>
      <c r="Q117" s="312"/>
      <c r="R117" s="312"/>
      <c r="S117" s="312"/>
      <c r="T117" s="312"/>
      <c r="U117" s="312"/>
      <c r="V117" s="312"/>
      <c r="W117" s="312"/>
      <c r="X117" s="299"/>
      <c r="Y117" s="299"/>
    </row>
    <row r="118" spans="1:52" ht="14.25" customHeight="1" x14ac:dyDescent="0.25">
      <c r="A118" s="383" t="s">
        <v>66</v>
      </c>
      <c r="B118" s="312"/>
      <c r="C118" s="312"/>
      <c r="D118" s="312"/>
      <c r="E118" s="312"/>
      <c r="F118" s="312"/>
      <c r="G118" s="312"/>
      <c r="H118" s="312"/>
      <c r="I118" s="312"/>
      <c r="J118" s="312"/>
      <c r="K118" s="312"/>
      <c r="L118" s="312"/>
      <c r="M118" s="312"/>
      <c r="N118" s="312"/>
      <c r="O118" s="312"/>
      <c r="P118" s="312"/>
      <c r="Q118" s="312"/>
      <c r="R118" s="312"/>
      <c r="S118" s="312"/>
      <c r="T118" s="312"/>
      <c r="U118" s="312"/>
      <c r="V118" s="312"/>
      <c r="W118" s="312"/>
      <c r="X118" s="300"/>
      <c r="Y118" s="300"/>
    </row>
    <row r="119" spans="1:52" ht="27" customHeight="1" x14ac:dyDescent="0.25">
      <c r="A119" s="55" t="s">
        <v>212</v>
      </c>
      <c r="B119" s="55" t="s">
        <v>213</v>
      </c>
      <c r="C119" s="32">
        <v>4301051360</v>
      </c>
      <c r="D119" s="384">
        <v>4607091385168</v>
      </c>
      <c r="E119" s="328"/>
      <c r="F119" s="303">
        <v>1.35</v>
      </c>
      <c r="G119" s="33">
        <v>6</v>
      </c>
      <c r="H119" s="303">
        <v>8.1</v>
      </c>
      <c r="I119" s="303">
        <v>8.6579999999999995</v>
      </c>
      <c r="J119" s="33">
        <v>56</v>
      </c>
      <c r="K119" s="34" t="s">
        <v>124</v>
      </c>
      <c r="L119" s="33">
        <v>45</v>
      </c>
      <c r="M119" s="44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386"/>
      <c r="O119" s="386"/>
      <c r="P119" s="386"/>
      <c r="Q119" s="328"/>
      <c r="R119" s="35"/>
      <c r="S119" s="35"/>
      <c r="T119" s="36" t="s">
        <v>63</v>
      </c>
      <c r="U119" s="304">
        <v>0</v>
      </c>
      <c r="V119" s="305">
        <f>IFERROR(IF(U119="",0,CEILING((U119/$H119),1)*$H119),"")</f>
        <v>0</v>
      </c>
      <c r="W119" s="37" t="str">
        <f>IFERROR(IF(V119=0,"",ROUNDUP(V119/H119,0)*0.02175),"")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214</v>
      </c>
      <c r="B120" s="55" t="s">
        <v>215</v>
      </c>
      <c r="C120" s="32">
        <v>4301051362</v>
      </c>
      <c r="D120" s="384">
        <v>4607091383256</v>
      </c>
      <c r="E120" s="328"/>
      <c r="F120" s="303">
        <v>0.33</v>
      </c>
      <c r="G120" s="33">
        <v>6</v>
      </c>
      <c r="H120" s="303">
        <v>1.98</v>
      </c>
      <c r="I120" s="303">
        <v>2.246</v>
      </c>
      <c r="J120" s="33">
        <v>156</v>
      </c>
      <c r="K120" s="34" t="s">
        <v>124</v>
      </c>
      <c r="L120" s="33">
        <v>45</v>
      </c>
      <c r="M120" s="44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386"/>
      <c r="O120" s="386"/>
      <c r="P120" s="386"/>
      <c r="Q120" s="328"/>
      <c r="R120" s="35"/>
      <c r="S120" s="35"/>
      <c r="T120" s="36" t="s">
        <v>63</v>
      </c>
      <c r="U120" s="304">
        <v>0</v>
      </c>
      <c r="V120" s="305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216</v>
      </c>
      <c r="B121" s="55" t="s">
        <v>217</v>
      </c>
      <c r="C121" s="32">
        <v>4301051358</v>
      </c>
      <c r="D121" s="384">
        <v>4607091385748</v>
      </c>
      <c r="E121" s="328"/>
      <c r="F121" s="303">
        <v>0.45</v>
      </c>
      <c r="G121" s="33">
        <v>6</v>
      </c>
      <c r="H121" s="303">
        <v>2.7</v>
      </c>
      <c r="I121" s="303">
        <v>2.972</v>
      </c>
      <c r="J121" s="33">
        <v>156</v>
      </c>
      <c r="K121" s="34" t="s">
        <v>124</v>
      </c>
      <c r="L121" s="33">
        <v>45</v>
      </c>
      <c r="M121" s="45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386"/>
      <c r="O121" s="386"/>
      <c r="P121" s="386"/>
      <c r="Q121" s="328"/>
      <c r="R121" s="35"/>
      <c r="S121" s="35"/>
      <c r="T121" s="36" t="s">
        <v>63</v>
      </c>
      <c r="U121" s="304">
        <v>2.25</v>
      </c>
      <c r="V121" s="305">
        <f>IFERROR(IF(U121="",0,CEILING((U121/$H121),1)*$H121),"")</f>
        <v>2.7</v>
      </c>
      <c r="W121" s="37">
        <f>IFERROR(IF(V121=0,"",ROUNDUP(V121/H121,0)*0.00753),"")</f>
        <v>7.5300000000000002E-3</v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218</v>
      </c>
      <c r="B122" s="55" t="s">
        <v>219</v>
      </c>
      <c r="C122" s="32">
        <v>4301051364</v>
      </c>
      <c r="D122" s="384">
        <v>4607091384581</v>
      </c>
      <c r="E122" s="328"/>
      <c r="F122" s="303">
        <v>0.67</v>
      </c>
      <c r="G122" s="33">
        <v>4</v>
      </c>
      <c r="H122" s="303">
        <v>2.68</v>
      </c>
      <c r="I122" s="303">
        <v>2.9420000000000002</v>
      </c>
      <c r="J122" s="33">
        <v>120</v>
      </c>
      <c r="K122" s="34" t="s">
        <v>124</v>
      </c>
      <c r="L122" s="33">
        <v>45</v>
      </c>
      <c r="M122" s="45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386"/>
      <c r="O122" s="386"/>
      <c r="P122" s="386"/>
      <c r="Q122" s="328"/>
      <c r="R122" s="35"/>
      <c r="S122" s="35"/>
      <c r="T122" s="36" t="s">
        <v>63</v>
      </c>
      <c r="U122" s="304">
        <v>0</v>
      </c>
      <c r="V122" s="305">
        <f>IFERROR(IF(U122="",0,CEILING((U122/$H122),1)*$H122),"")</f>
        <v>0</v>
      </c>
      <c r="W122" s="37" t="str">
        <f>IFERROR(IF(V122=0,"",ROUNDUP(V122/H122,0)*0.00937),"")</f>
        <v/>
      </c>
      <c r="X122" s="57"/>
      <c r="Y122" s="58"/>
      <c r="AC122" s="59"/>
      <c r="AZ122" s="122" t="s">
        <v>1</v>
      </c>
    </row>
    <row r="123" spans="1:52" x14ac:dyDescent="0.2">
      <c r="A123" s="388"/>
      <c r="B123" s="312"/>
      <c r="C123" s="312"/>
      <c r="D123" s="312"/>
      <c r="E123" s="312"/>
      <c r="F123" s="312"/>
      <c r="G123" s="312"/>
      <c r="H123" s="312"/>
      <c r="I123" s="312"/>
      <c r="J123" s="312"/>
      <c r="K123" s="312"/>
      <c r="L123" s="389"/>
      <c r="M123" s="387" t="s">
        <v>64</v>
      </c>
      <c r="N123" s="340"/>
      <c r="O123" s="340"/>
      <c r="P123" s="340"/>
      <c r="Q123" s="340"/>
      <c r="R123" s="340"/>
      <c r="S123" s="341"/>
      <c r="T123" s="38" t="s">
        <v>65</v>
      </c>
      <c r="U123" s="306">
        <f>IFERROR(U119/H119,"0")+IFERROR(U120/H120,"0")+IFERROR(U121/H121,"0")+IFERROR(U122/H122,"0")</f>
        <v>0.83333333333333326</v>
      </c>
      <c r="V123" s="306">
        <f>IFERROR(V119/H119,"0")+IFERROR(V120/H120,"0")+IFERROR(V121/H121,"0")+IFERROR(V122/H122,"0")</f>
        <v>1</v>
      </c>
      <c r="W123" s="306">
        <f>IFERROR(IF(W119="",0,W119),"0")+IFERROR(IF(W120="",0,W120),"0")+IFERROR(IF(W121="",0,W121),"0")+IFERROR(IF(W122="",0,W122),"0")</f>
        <v>7.5300000000000002E-3</v>
      </c>
      <c r="X123" s="307"/>
      <c r="Y123" s="307"/>
    </row>
    <row r="124" spans="1:52" x14ac:dyDescent="0.2">
      <c r="A124" s="312"/>
      <c r="B124" s="312"/>
      <c r="C124" s="312"/>
      <c r="D124" s="312"/>
      <c r="E124" s="312"/>
      <c r="F124" s="312"/>
      <c r="G124" s="312"/>
      <c r="H124" s="312"/>
      <c r="I124" s="312"/>
      <c r="J124" s="312"/>
      <c r="K124" s="312"/>
      <c r="L124" s="389"/>
      <c r="M124" s="387" t="s">
        <v>64</v>
      </c>
      <c r="N124" s="340"/>
      <c r="O124" s="340"/>
      <c r="P124" s="340"/>
      <c r="Q124" s="340"/>
      <c r="R124" s="340"/>
      <c r="S124" s="341"/>
      <c r="T124" s="38" t="s">
        <v>63</v>
      </c>
      <c r="U124" s="306">
        <f>IFERROR(SUM(U119:U122),"0")</f>
        <v>2.25</v>
      </c>
      <c r="V124" s="306">
        <f>IFERROR(SUM(V119:V122),"0")</f>
        <v>2.7</v>
      </c>
      <c r="W124" s="38"/>
      <c r="X124" s="307"/>
      <c r="Y124" s="307"/>
    </row>
    <row r="125" spans="1:52" ht="27.75" customHeight="1" x14ac:dyDescent="0.2">
      <c r="A125" s="380" t="s">
        <v>220</v>
      </c>
      <c r="B125" s="381"/>
      <c r="C125" s="381"/>
      <c r="D125" s="381"/>
      <c r="E125" s="381"/>
      <c r="F125" s="381"/>
      <c r="G125" s="381"/>
      <c r="H125" s="381"/>
      <c r="I125" s="381"/>
      <c r="J125" s="381"/>
      <c r="K125" s="381"/>
      <c r="L125" s="381"/>
      <c r="M125" s="381"/>
      <c r="N125" s="381"/>
      <c r="O125" s="381"/>
      <c r="P125" s="381"/>
      <c r="Q125" s="381"/>
      <c r="R125" s="381"/>
      <c r="S125" s="381"/>
      <c r="T125" s="381"/>
      <c r="U125" s="381"/>
      <c r="V125" s="381"/>
      <c r="W125" s="381"/>
      <c r="X125" s="49"/>
      <c r="Y125" s="49"/>
    </row>
    <row r="126" spans="1:52" ht="16.5" customHeight="1" x14ac:dyDescent="0.25">
      <c r="A126" s="382" t="s">
        <v>221</v>
      </c>
      <c r="B126" s="312"/>
      <c r="C126" s="312"/>
      <c r="D126" s="312"/>
      <c r="E126" s="312"/>
      <c r="F126" s="312"/>
      <c r="G126" s="312"/>
      <c r="H126" s="312"/>
      <c r="I126" s="312"/>
      <c r="J126" s="312"/>
      <c r="K126" s="312"/>
      <c r="L126" s="312"/>
      <c r="M126" s="312"/>
      <c r="N126" s="312"/>
      <c r="O126" s="312"/>
      <c r="P126" s="312"/>
      <c r="Q126" s="312"/>
      <c r="R126" s="312"/>
      <c r="S126" s="312"/>
      <c r="T126" s="312"/>
      <c r="U126" s="312"/>
      <c r="V126" s="312"/>
      <c r="W126" s="312"/>
      <c r="X126" s="299"/>
      <c r="Y126" s="299"/>
    </row>
    <row r="127" spans="1:52" ht="14.25" customHeight="1" x14ac:dyDescent="0.25">
      <c r="A127" s="383" t="s">
        <v>100</v>
      </c>
      <c r="B127" s="312"/>
      <c r="C127" s="312"/>
      <c r="D127" s="312"/>
      <c r="E127" s="312"/>
      <c r="F127" s="312"/>
      <c r="G127" s="312"/>
      <c r="H127" s="312"/>
      <c r="I127" s="312"/>
      <c r="J127" s="312"/>
      <c r="K127" s="312"/>
      <c r="L127" s="312"/>
      <c r="M127" s="312"/>
      <c r="N127" s="312"/>
      <c r="O127" s="312"/>
      <c r="P127" s="312"/>
      <c r="Q127" s="312"/>
      <c r="R127" s="312"/>
      <c r="S127" s="312"/>
      <c r="T127" s="312"/>
      <c r="U127" s="312"/>
      <c r="V127" s="312"/>
      <c r="W127" s="312"/>
      <c r="X127" s="300"/>
      <c r="Y127" s="300"/>
    </row>
    <row r="128" spans="1:52" ht="27" customHeight="1" x14ac:dyDescent="0.25">
      <c r="A128" s="55" t="s">
        <v>222</v>
      </c>
      <c r="B128" s="55" t="s">
        <v>223</v>
      </c>
      <c r="C128" s="32">
        <v>4301011223</v>
      </c>
      <c r="D128" s="384">
        <v>4607091383423</v>
      </c>
      <c r="E128" s="328"/>
      <c r="F128" s="303">
        <v>1.35</v>
      </c>
      <c r="G128" s="33">
        <v>8</v>
      </c>
      <c r="H128" s="303">
        <v>10.8</v>
      </c>
      <c r="I128" s="303">
        <v>11.375999999999999</v>
      </c>
      <c r="J128" s="33">
        <v>56</v>
      </c>
      <c r="K128" s="34" t="s">
        <v>124</v>
      </c>
      <c r="L128" s="33">
        <v>35</v>
      </c>
      <c r="M128" s="4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386"/>
      <c r="O128" s="386"/>
      <c r="P128" s="386"/>
      <c r="Q128" s="328"/>
      <c r="R128" s="35"/>
      <c r="S128" s="35"/>
      <c r="T128" s="36" t="s">
        <v>63</v>
      </c>
      <c r="U128" s="304">
        <v>0</v>
      </c>
      <c r="V128" s="305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224</v>
      </c>
      <c r="B129" s="55" t="s">
        <v>225</v>
      </c>
      <c r="C129" s="32">
        <v>4301011338</v>
      </c>
      <c r="D129" s="384">
        <v>4607091381405</v>
      </c>
      <c r="E129" s="328"/>
      <c r="F129" s="303">
        <v>1.35</v>
      </c>
      <c r="G129" s="33">
        <v>8</v>
      </c>
      <c r="H129" s="303">
        <v>10.8</v>
      </c>
      <c r="I129" s="303">
        <v>11.375999999999999</v>
      </c>
      <c r="J129" s="33">
        <v>56</v>
      </c>
      <c r="K129" s="34" t="s">
        <v>62</v>
      </c>
      <c r="L129" s="33">
        <v>35</v>
      </c>
      <c r="M129" s="45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386"/>
      <c r="O129" s="386"/>
      <c r="P129" s="386"/>
      <c r="Q129" s="328"/>
      <c r="R129" s="35"/>
      <c r="S129" s="35"/>
      <c r="T129" s="36" t="s">
        <v>63</v>
      </c>
      <c r="U129" s="304">
        <v>0</v>
      </c>
      <c r="V129" s="305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226</v>
      </c>
      <c r="B130" s="55" t="s">
        <v>227</v>
      </c>
      <c r="C130" s="32">
        <v>4301011333</v>
      </c>
      <c r="D130" s="384">
        <v>4607091386516</v>
      </c>
      <c r="E130" s="328"/>
      <c r="F130" s="303">
        <v>1.4</v>
      </c>
      <c r="G130" s="33">
        <v>8</v>
      </c>
      <c r="H130" s="303">
        <v>11.2</v>
      </c>
      <c r="I130" s="303">
        <v>11.776</v>
      </c>
      <c r="J130" s="33">
        <v>56</v>
      </c>
      <c r="K130" s="34" t="s">
        <v>62</v>
      </c>
      <c r="L130" s="33">
        <v>30</v>
      </c>
      <c r="M130" s="4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386"/>
      <c r="O130" s="386"/>
      <c r="P130" s="386"/>
      <c r="Q130" s="328"/>
      <c r="R130" s="35"/>
      <c r="S130" s="35"/>
      <c r="T130" s="36" t="s">
        <v>63</v>
      </c>
      <c r="U130" s="304">
        <v>0</v>
      </c>
      <c r="V130" s="305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x14ac:dyDescent="0.2">
      <c r="A131" s="388"/>
      <c r="B131" s="312"/>
      <c r="C131" s="312"/>
      <c r="D131" s="312"/>
      <c r="E131" s="312"/>
      <c r="F131" s="312"/>
      <c r="G131" s="312"/>
      <c r="H131" s="312"/>
      <c r="I131" s="312"/>
      <c r="J131" s="312"/>
      <c r="K131" s="312"/>
      <c r="L131" s="389"/>
      <c r="M131" s="387" t="s">
        <v>64</v>
      </c>
      <c r="N131" s="340"/>
      <c r="O131" s="340"/>
      <c r="P131" s="340"/>
      <c r="Q131" s="340"/>
      <c r="R131" s="340"/>
      <c r="S131" s="341"/>
      <c r="T131" s="38" t="s">
        <v>65</v>
      </c>
      <c r="U131" s="306">
        <f>IFERROR(U128/H128,"0")+IFERROR(U129/H129,"0")+IFERROR(U130/H130,"0")</f>
        <v>0</v>
      </c>
      <c r="V131" s="306">
        <f>IFERROR(V128/H128,"0")+IFERROR(V129/H129,"0")+IFERROR(V130/H130,"0")</f>
        <v>0</v>
      </c>
      <c r="W131" s="306">
        <f>IFERROR(IF(W128="",0,W128),"0")+IFERROR(IF(W129="",0,W129),"0")+IFERROR(IF(W130="",0,W130),"0")</f>
        <v>0</v>
      </c>
      <c r="X131" s="307"/>
      <c r="Y131" s="307"/>
    </row>
    <row r="132" spans="1:52" x14ac:dyDescent="0.2">
      <c r="A132" s="312"/>
      <c r="B132" s="312"/>
      <c r="C132" s="312"/>
      <c r="D132" s="312"/>
      <c r="E132" s="312"/>
      <c r="F132" s="312"/>
      <c r="G132" s="312"/>
      <c r="H132" s="312"/>
      <c r="I132" s="312"/>
      <c r="J132" s="312"/>
      <c r="K132" s="312"/>
      <c r="L132" s="389"/>
      <c r="M132" s="387" t="s">
        <v>64</v>
      </c>
      <c r="N132" s="340"/>
      <c r="O132" s="340"/>
      <c r="P132" s="340"/>
      <c r="Q132" s="340"/>
      <c r="R132" s="340"/>
      <c r="S132" s="341"/>
      <c r="T132" s="38" t="s">
        <v>63</v>
      </c>
      <c r="U132" s="306">
        <f>IFERROR(SUM(U128:U130),"0")</f>
        <v>0</v>
      </c>
      <c r="V132" s="306">
        <f>IFERROR(SUM(V128:V130),"0")</f>
        <v>0</v>
      </c>
      <c r="W132" s="38"/>
      <c r="X132" s="307"/>
      <c r="Y132" s="307"/>
    </row>
    <row r="133" spans="1:52" ht="16.5" customHeight="1" x14ac:dyDescent="0.25">
      <c r="A133" s="382" t="s">
        <v>228</v>
      </c>
      <c r="B133" s="312"/>
      <c r="C133" s="312"/>
      <c r="D133" s="312"/>
      <c r="E133" s="312"/>
      <c r="F133" s="312"/>
      <c r="G133" s="312"/>
      <c r="H133" s="312"/>
      <c r="I133" s="312"/>
      <c r="J133" s="312"/>
      <c r="K133" s="312"/>
      <c r="L133" s="312"/>
      <c r="M133" s="312"/>
      <c r="N133" s="312"/>
      <c r="O133" s="312"/>
      <c r="P133" s="312"/>
      <c r="Q133" s="312"/>
      <c r="R133" s="312"/>
      <c r="S133" s="312"/>
      <c r="T133" s="312"/>
      <c r="U133" s="312"/>
      <c r="V133" s="312"/>
      <c r="W133" s="312"/>
      <c r="X133" s="299"/>
      <c r="Y133" s="299"/>
    </row>
    <row r="134" spans="1:52" ht="14.25" customHeight="1" x14ac:dyDescent="0.25">
      <c r="A134" s="383" t="s">
        <v>59</v>
      </c>
      <c r="B134" s="312"/>
      <c r="C134" s="312"/>
      <c r="D134" s="312"/>
      <c r="E134" s="312"/>
      <c r="F134" s="312"/>
      <c r="G134" s="312"/>
      <c r="H134" s="312"/>
      <c r="I134" s="312"/>
      <c r="J134" s="312"/>
      <c r="K134" s="312"/>
      <c r="L134" s="312"/>
      <c r="M134" s="312"/>
      <c r="N134" s="312"/>
      <c r="O134" s="312"/>
      <c r="P134" s="312"/>
      <c r="Q134" s="312"/>
      <c r="R134" s="312"/>
      <c r="S134" s="312"/>
      <c r="T134" s="312"/>
      <c r="U134" s="312"/>
      <c r="V134" s="312"/>
      <c r="W134" s="312"/>
      <c r="X134" s="300"/>
      <c r="Y134" s="300"/>
    </row>
    <row r="135" spans="1:52" ht="27" customHeight="1" x14ac:dyDescent="0.25">
      <c r="A135" s="55" t="s">
        <v>229</v>
      </c>
      <c r="B135" s="55" t="s">
        <v>230</v>
      </c>
      <c r="C135" s="32">
        <v>4301031191</v>
      </c>
      <c r="D135" s="384">
        <v>4680115880993</v>
      </c>
      <c r="E135" s="328"/>
      <c r="F135" s="303">
        <v>0.7</v>
      </c>
      <c r="G135" s="33">
        <v>6</v>
      </c>
      <c r="H135" s="303">
        <v>4.2</v>
      </c>
      <c r="I135" s="303">
        <v>4.46</v>
      </c>
      <c r="J135" s="33">
        <v>156</v>
      </c>
      <c r="K135" s="34" t="s">
        <v>62</v>
      </c>
      <c r="L135" s="33">
        <v>40</v>
      </c>
      <c r="M135" s="4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5" s="386"/>
      <c r="O135" s="386"/>
      <c r="P135" s="386"/>
      <c r="Q135" s="328"/>
      <c r="R135" s="35"/>
      <c r="S135" s="35"/>
      <c r="T135" s="36" t="s">
        <v>63</v>
      </c>
      <c r="U135" s="304">
        <v>0</v>
      </c>
      <c r="V135" s="305">
        <f t="shared" ref="V135:V142" si="7">IFERROR(IF(U135="",0,CEILING((U135/$H135),1)*$H135),"")</f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231</v>
      </c>
      <c r="B136" s="55" t="s">
        <v>232</v>
      </c>
      <c r="C136" s="32">
        <v>4301031204</v>
      </c>
      <c r="D136" s="384">
        <v>4680115881761</v>
      </c>
      <c r="E136" s="328"/>
      <c r="F136" s="303">
        <v>0.7</v>
      </c>
      <c r="G136" s="33">
        <v>6</v>
      </c>
      <c r="H136" s="303">
        <v>4.2</v>
      </c>
      <c r="I136" s="303">
        <v>4.46</v>
      </c>
      <c r="J136" s="33">
        <v>156</v>
      </c>
      <c r="K136" s="34" t="s">
        <v>62</v>
      </c>
      <c r="L136" s="33">
        <v>40</v>
      </c>
      <c r="M136" s="4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6" s="386"/>
      <c r="O136" s="386"/>
      <c r="P136" s="386"/>
      <c r="Q136" s="328"/>
      <c r="R136" s="35"/>
      <c r="S136" s="35"/>
      <c r="T136" s="36" t="s">
        <v>63</v>
      </c>
      <c r="U136" s="304">
        <v>0</v>
      </c>
      <c r="V136" s="305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233</v>
      </c>
      <c r="B137" s="55" t="s">
        <v>234</v>
      </c>
      <c r="C137" s="32">
        <v>4301031201</v>
      </c>
      <c r="D137" s="384">
        <v>4680115881563</v>
      </c>
      <c r="E137" s="328"/>
      <c r="F137" s="303">
        <v>0.7</v>
      </c>
      <c r="G137" s="33">
        <v>6</v>
      </c>
      <c r="H137" s="303">
        <v>4.2</v>
      </c>
      <c r="I137" s="303">
        <v>4.4000000000000004</v>
      </c>
      <c r="J137" s="33">
        <v>156</v>
      </c>
      <c r="K137" s="34" t="s">
        <v>62</v>
      </c>
      <c r="L137" s="33">
        <v>40</v>
      </c>
      <c r="M137" s="45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7" s="386"/>
      <c r="O137" s="386"/>
      <c r="P137" s="386"/>
      <c r="Q137" s="328"/>
      <c r="R137" s="35"/>
      <c r="S137" s="35"/>
      <c r="T137" s="36" t="s">
        <v>63</v>
      </c>
      <c r="U137" s="304">
        <v>0</v>
      </c>
      <c r="V137" s="305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235</v>
      </c>
      <c r="B138" s="55" t="s">
        <v>236</v>
      </c>
      <c r="C138" s="32">
        <v>4301031199</v>
      </c>
      <c r="D138" s="384">
        <v>4680115880986</v>
      </c>
      <c r="E138" s="328"/>
      <c r="F138" s="303">
        <v>0.35</v>
      </c>
      <c r="G138" s="33">
        <v>6</v>
      </c>
      <c r="H138" s="303">
        <v>2.1</v>
      </c>
      <c r="I138" s="303">
        <v>2.23</v>
      </c>
      <c r="J138" s="33">
        <v>234</v>
      </c>
      <c r="K138" s="34" t="s">
        <v>62</v>
      </c>
      <c r="L138" s="33">
        <v>40</v>
      </c>
      <c r="M138" s="4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8" s="386"/>
      <c r="O138" s="386"/>
      <c r="P138" s="386"/>
      <c r="Q138" s="328"/>
      <c r="R138" s="35"/>
      <c r="S138" s="35"/>
      <c r="T138" s="36" t="s">
        <v>63</v>
      </c>
      <c r="U138" s="304">
        <v>5.25</v>
      </c>
      <c r="V138" s="305">
        <f t="shared" si="7"/>
        <v>6.3000000000000007</v>
      </c>
      <c r="W138" s="37">
        <f>IFERROR(IF(V138=0,"",ROUNDUP(V138/H138,0)*0.00502),"")</f>
        <v>1.506E-2</v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237</v>
      </c>
      <c r="B139" s="55" t="s">
        <v>238</v>
      </c>
      <c r="C139" s="32">
        <v>4301031190</v>
      </c>
      <c r="D139" s="384">
        <v>4680115880207</v>
      </c>
      <c r="E139" s="328"/>
      <c r="F139" s="303">
        <v>0.4</v>
      </c>
      <c r="G139" s="33">
        <v>6</v>
      </c>
      <c r="H139" s="303">
        <v>2.4</v>
      </c>
      <c r="I139" s="303">
        <v>2.63</v>
      </c>
      <c r="J139" s="33">
        <v>156</v>
      </c>
      <c r="K139" s="34" t="s">
        <v>62</v>
      </c>
      <c r="L139" s="33">
        <v>40</v>
      </c>
      <c r="M139" s="45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9" s="386"/>
      <c r="O139" s="386"/>
      <c r="P139" s="386"/>
      <c r="Q139" s="328"/>
      <c r="R139" s="35"/>
      <c r="S139" s="35"/>
      <c r="T139" s="36" t="s">
        <v>63</v>
      </c>
      <c r="U139" s="304">
        <v>0</v>
      </c>
      <c r="V139" s="305">
        <f t="shared" si="7"/>
        <v>0</v>
      </c>
      <c r="W139" s="37" t="str">
        <f>IFERROR(IF(V139=0,"",ROUNDUP(V139/H139,0)*0.00753),"")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239</v>
      </c>
      <c r="B140" s="55" t="s">
        <v>240</v>
      </c>
      <c r="C140" s="32">
        <v>4301031205</v>
      </c>
      <c r="D140" s="384">
        <v>4680115881785</v>
      </c>
      <c r="E140" s="328"/>
      <c r="F140" s="303">
        <v>0.35</v>
      </c>
      <c r="G140" s="33">
        <v>6</v>
      </c>
      <c r="H140" s="303">
        <v>2.1</v>
      </c>
      <c r="I140" s="303">
        <v>2.23</v>
      </c>
      <c r="J140" s="33">
        <v>234</v>
      </c>
      <c r="K140" s="34" t="s">
        <v>62</v>
      </c>
      <c r="L140" s="33">
        <v>40</v>
      </c>
      <c r="M140" s="4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0" s="386"/>
      <c r="O140" s="386"/>
      <c r="P140" s="386"/>
      <c r="Q140" s="328"/>
      <c r="R140" s="35"/>
      <c r="S140" s="35"/>
      <c r="T140" s="36" t="s">
        <v>63</v>
      </c>
      <c r="U140" s="304">
        <v>0</v>
      </c>
      <c r="V140" s="305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241</v>
      </c>
      <c r="B141" s="55" t="s">
        <v>242</v>
      </c>
      <c r="C141" s="32">
        <v>4301031202</v>
      </c>
      <c r="D141" s="384">
        <v>4680115881679</v>
      </c>
      <c r="E141" s="328"/>
      <c r="F141" s="303">
        <v>0.35</v>
      </c>
      <c r="G141" s="33">
        <v>6</v>
      </c>
      <c r="H141" s="303">
        <v>2.1</v>
      </c>
      <c r="I141" s="303">
        <v>2.2000000000000002</v>
      </c>
      <c r="J141" s="33">
        <v>234</v>
      </c>
      <c r="K141" s="34" t="s">
        <v>62</v>
      </c>
      <c r="L141" s="33">
        <v>40</v>
      </c>
      <c r="M141" s="4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1" s="386"/>
      <c r="O141" s="386"/>
      <c r="P141" s="386"/>
      <c r="Q141" s="328"/>
      <c r="R141" s="35"/>
      <c r="S141" s="35"/>
      <c r="T141" s="36" t="s">
        <v>63</v>
      </c>
      <c r="U141" s="304">
        <v>0</v>
      </c>
      <c r="V141" s="305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243</v>
      </c>
      <c r="B142" s="55" t="s">
        <v>244</v>
      </c>
      <c r="C142" s="32">
        <v>4301031158</v>
      </c>
      <c r="D142" s="384">
        <v>4680115880191</v>
      </c>
      <c r="E142" s="328"/>
      <c r="F142" s="303">
        <v>0.4</v>
      </c>
      <c r="G142" s="33">
        <v>6</v>
      </c>
      <c r="H142" s="303">
        <v>2.4</v>
      </c>
      <c r="I142" s="303">
        <v>2.6</v>
      </c>
      <c r="J142" s="33">
        <v>156</v>
      </c>
      <c r="K142" s="34" t="s">
        <v>62</v>
      </c>
      <c r="L142" s="33">
        <v>40</v>
      </c>
      <c r="M142" s="46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2" s="386"/>
      <c r="O142" s="386"/>
      <c r="P142" s="386"/>
      <c r="Q142" s="328"/>
      <c r="R142" s="35"/>
      <c r="S142" s="35"/>
      <c r="T142" s="36" t="s">
        <v>63</v>
      </c>
      <c r="U142" s="304">
        <v>0</v>
      </c>
      <c r="V142" s="305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3" t="s">
        <v>1</v>
      </c>
    </row>
    <row r="143" spans="1:52" x14ac:dyDescent="0.2">
      <c r="A143" s="388"/>
      <c r="B143" s="312"/>
      <c r="C143" s="312"/>
      <c r="D143" s="312"/>
      <c r="E143" s="312"/>
      <c r="F143" s="312"/>
      <c r="G143" s="312"/>
      <c r="H143" s="312"/>
      <c r="I143" s="312"/>
      <c r="J143" s="312"/>
      <c r="K143" s="312"/>
      <c r="L143" s="389"/>
      <c r="M143" s="387" t="s">
        <v>64</v>
      </c>
      <c r="N143" s="340"/>
      <c r="O143" s="340"/>
      <c r="P143" s="340"/>
      <c r="Q143" s="340"/>
      <c r="R143" s="340"/>
      <c r="S143" s="341"/>
      <c r="T143" s="38" t="s">
        <v>65</v>
      </c>
      <c r="U143" s="306">
        <f>IFERROR(U135/H135,"0")+IFERROR(U136/H136,"0")+IFERROR(U137/H137,"0")+IFERROR(U138/H138,"0")+IFERROR(U139/H139,"0")+IFERROR(U140/H140,"0")+IFERROR(U141/H141,"0")+IFERROR(U142/H142,"0")</f>
        <v>2.5</v>
      </c>
      <c r="V143" s="306">
        <f>IFERROR(V135/H135,"0")+IFERROR(V136/H136,"0")+IFERROR(V137/H137,"0")+IFERROR(V138/H138,"0")+IFERROR(V139/H139,"0")+IFERROR(V140/H140,"0")+IFERROR(V141/H141,"0")+IFERROR(V142/H142,"0")</f>
        <v>3</v>
      </c>
      <c r="W143" s="306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>1.506E-2</v>
      </c>
      <c r="X143" s="307"/>
      <c r="Y143" s="307"/>
    </row>
    <row r="144" spans="1:52" x14ac:dyDescent="0.2">
      <c r="A144" s="312"/>
      <c r="B144" s="312"/>
      <c r="C144" s="312"/>
      <c r="D144" s="312"/>
      <c r="E144" s="312"/>
      <c r="F144" s="312"/>
      <c r="G144" s="312"/>
      <c r="H144" s="312"/>
      <c r="I144" s="312"/>
      <c r="J144" s="312"/>
      <c r="K144" s="312"/>
      <c r="L144" s="389"/>
      <c r="M144" s="387" t="s">
        <v>64</v>
      </c>
      <c r="N144" s="340"/>
      <c r="O144" s="340"/>
      <c r="P144" s="340"/>
      <c r="Q144" s="340"/>
      <c r="R144" s="340"/>
      <c r="S144" s="341"/>
      <c r="T144" s="38" t="s">
        <v>63</v>
      </c>
      <c r="U144" s="306">
        <f>IFERROR(SUM(U135:U142),"0")</f>
        <v>5.25</v>
      </c>
      <c r="V144" s="306">
        <f>IFERROR(SUM(V135:V142),"0")</f>
        <v>6.3000000000000007</v>
      </c>
      <c r="W144" s="38"/>
      <c r="X144" s="307"/>
      <c r="Y144" s="307"/>
    </row>
    <row r="145" spans="1:52" ht="16.5" customHeight="1" x14ac:dyDescent="0.25">
      <c r="A145" s="382" t="s">
        <v>245</v>
      </c>
      <c r="B145" s="312"/>
      <c r="C145" s="312"/>
      <c r="D145" s="312"/>
      <c r="E145" s="312"/>
      <c r="F145" s="312"/>
      <c r="G145" s="312"/>
      <c r="H145" s="312"/>
      <c r="I145" s="312"/>
      <c r="J145" s="312"/>
      <c r="K145" s="312"/>
      <c r="L145" s="312"/>
      <c r="M145" s="312"/>
      <c r="N145" s="312"/>
      <c r="O145" s="312"/>
      <c r="P145" s="312"/>
      <c r="Q145" s="312"/>
      <c r="R145" s="312"/>
      <c r="S145" s="312"/>
      <c r="T145" s="312"/>
      <c r="U145" s="312"/>
      <c r="V145" s="312"/>
      <c r="W145" s="312"/>
      <c r="X145" s="299"/>
      <c r="Y145" s="299"/>
    </row>
    <row r="146" spans="1:52" ht="14.25" customHeight="1" x14ac:dyDescent="0.25">
      <c r="A146" s="383" t="s">
        <v>100</v>
      </c>
      <c r="B146" s="312"/>
      <c r="C146" s="312"/>
      <c r="D146" s="312"/>
      <c r="E146" s="312"/>
      <c r="F146" s="312"/>
      <c r="G146" s="312"/>
      <c r="H146" s="312"/>
      <c r="I146" s="312"/>
      <c r="J146" s="312"/>
      <c r="K146" s="312"/>
      <c r="L146" s="312"/>
      <c r="M146" s="312"/>
      <c r="N146" s="312"/>
      <c r="O146" s="312"/>
      <c r="P146" s="312"/>
      <c r="Q146" s="312"/>
      <c r="R146" s="312"/>
      <c r="S146" s="312"/>
      <c r="T146" s="312"/>
      <c r="U146" s="312"/>
      <c r="V146" s="312"/>
      <c r="W146" s="312"/>
      <c r="X146" s="300"/>
      <c r="Y146" s="300"/>
    </row>
    <row r="147" spans="1:52" ht="16.5" customHeight="1" x14ac:dyDescent="0.25">
      <c r="A147" s="55" t="s">
        <v>246</v>
      </c>
      <c r="B147" s="55" t="s">
        <v>247</v>
      </c>
      <c r="C147" s="32">
        <v>4301011450</v>
      </c>
      <c r="D147" s="384">
        <v>4680115881402</v>
      </c>
      <c r="E147" s="328"/>
      <c r="F147" s="303">
        <v>1.35</v>
      </c>
      <c r="G147" s="33">
        <v>8</v>
      </c>
      <c r="H147" s="303">
        <v>10.8</v>
      </c>
      <c r="I147" s="303">
        <v>11.28</v>
      </c>
      <c r="J147" s="33">
        <v>56</v>
      </c>
      <c r="K147" s="34" t="s">
        <v>96</v>
      </c>
      <c r="L147" s="33">
        <v>55</v>
      </c>
      <c r="M147" s="4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7" s="386"/>
      <c r="O147" s="386"/>
      <c r="P147" s="386"/>
      <c r="Q147" s="328"/>
      <c r="R147" s="35"/>
      <c r="S147" s="35"/>
      <c r="T147" s="36" t="s">
        <v>63</v>
      </c>
      <c r="U147" s="304">
        <v>0</v>
      </c>
      <c r="V147" s="305">
        <f>IFERROR(IF(U147="",0,CEILING((U147/$H147),1)*$H147),"")</f>
        <v>0</v>
      </c>
      <c r="W147" s="37" t="str">
        <f>IFERROR(IF(V147=0,"",ROUNDUP(V147/H147,0)*0.02175),"")</f>
        <v/>
      </c>
      <c r="X147" s="57"/>
      <c r="Y147" s="58"/>
      <c r="AC147" s="59"/>
      <c r="AZ147" s="134" t="s">
        <v>1</v>
      </c>
    </row>
    <row r="148" spans="1:52" ht="27" customHeight="1" x14ac:dyDescent="0.25">
      <c r="A148" s="55" t="s">
        <v>248</v>
      </c>
      <c r="B148" s="55" t="s">
        <v>249</v>
      </c>
      <c r="C148" s="32">
        <v>4301011454</v>
      </c>
      <c r="D148" s="384">
        <v>4680115881396</v>
      </c>
      <c r="E148" s="328"/>
      <c r="F148" s="303">
        <v>0.45</v>
      </c>
      <c r="G148" s="33">
        <v>6</v>
      </c>
      <c r="H148" s="303">
        <v>2.7</v>
      </c>
      <c r="I148" s="303">
        <v>2.9</v>
      </c>
      <c r="J148" s="33">
        <v>156</v>
      </c>
      <c r="K148" s="34" t="s">
        <v>62</v>
      </c>
      <c r="L148" s="33">
        <v>55</v>
      </c>
      <c r="M148" s="4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8" s="386"/>
      <c r="O148" s="386"/>
      <c r="P148" s="386"/>
      <c r="Q148" s="328"/>
      <c r="R148" s="35"/>
      <c r="S148" s="35"/>
      <c r="T148" s="36" t="s">
        <v>63</v>
      </c>
      <c r="U148" s="304">
        <v>0</v>
      </c>
      <c r="V148" s="305">
        <f>IFERROR(IF(U148="",0,CEILING((U148/$H148),1)*$H148),"")</f>
        <v>0</v>
      </c>
      <c r="W148" s="37" t="str">
        <f>IFERROR(IF(V148=0,"",ROUNDUP(V148/H148,0)*0.00753),"")</f>
        <v/>
      </c>
      <c r="X148" s="57"/>
      <c r="Y148" s="58"/>
      <c r="AC148" s="59"/>
      <c r="AZ148" s="135" t="s">
        <v>1</v>
      </c>
    </row>
    <row r="149" spans="1:52" x14ac:dyDescent="0.2">
      <c r="A149" s="388"/>
      <c r="B149" s="312"/>
      <c r="C149" s="312"/>
      <c r="D149" s="312"/>
      <c r="E149" s="312"/>
      <c r="F149" s="312"/>
      <c r="G149" s="312"/>
      <c r="H149" s="312"/>
      <c r="I149" s="312"/>
      <c r="J149" s="312"/>
      <c r="K149" s="312"/>
      <c r="L149" s="389"/>
      <c r="M149" s="387" t="s">
        <v>64</v>
      </c>
      <c r="N149" s="340"/>
      <c r="O149" s="340"/>
      <c r="P149" s="340"/>
      <c r="Q149" s="340"/>
      <c r="R149" s="340"/>
      <c r="S149" s="341"/>
      <c r="T149" s="38" t="s">
        <v>65</v>
      </c>
      <c r="U149" s="306">
        <f>IFERROR(U147/H147,"0")+IFERROR(U148/H148,"0")</f>
        <v>0</v>
      </c>
      <c r="V149" s="306">
        <f>IFERROR(V147/H147,"0")+IFERROR(V148/H148,"0")</f>
        <v>0</v>
      </c>
      <c r="W149" s="306">
        <f>IFERROR(IF(W147="",0,W147),"0")+IFERROR(IF(W148="",0,W148),"0")</f>
        <v>0</v>
      </c>
      <c r="X149" s="307"/>
      <c r="Y149" s="307"/>
    </row>
    <row r="150" spans="1:52" x14ac:dyDescent="0.2">
      <c r="A150" s="312"/>
      <c r="B150" s="312"/>
      <c r="C150" s="312"/>
      <c r="D150" s="312"/>
      <c r="E150" s="312"/>
      <c r="F150" s="312"/>
      <c r="G150" s="312"/>
      <c r="H150" s="312"/>
      <c r="I150" s="312"/>
      <c r="J150" s="312"/>
      <c r="K150" s="312"/>
      <c r="L150" s="389"/>
      <c r="M150" s="387" t="s">
        <v>64</v>
      </c>
      <c r="N150" s="340"/>
      <c r="O150" s="340"/>
      <c r="P150" s="340"/>
      <c r="Q150" s="340"/>
      <c r="R150" s="340"/>
      <c r="S150" s="341"/>
      <c r="T150" s="38" t="s">
        <v>63</v>
      </c>
      <c r="U150" s="306">
        <f>IFERROR(SUM(U147:U148),"0")</f>
        <v>0</v>
      </c>
      <c r="V150" s="306">
        <f>IFERROR(SUM(V147:V148),"0")</f>
        <v>0</v>
      </c>
      <c r="W150" s="38"/>
      <c r="X150" s="307"/>
      <c r="Y150" s="307"/>
    </row>
    <row r="151" spans="1:52" ht="14.25" customHeight="1" x14ac:dyDescent="0.25">
      <c r="A151" s="383" t="s">
        <v>93</v>
      </c>
      <c r="B151" s="312"/>
      <c r="C151" s="312"/>
      <c r="D151" s="312"/>
      <c r="E151" s="312"/>
      <c r="F151" s="312"/>
      <c r="G151" s="312"/>
      <c r="H151" s="312"/>
      <c r="I151" s="312"/>
      <c r="J151" s="312"/>
      <c r="K151" s="312"/>
      <c r="L151" s="312"/>
      <c r="M151" s="312"/>
      <c r="N151" s="312"/>
      <c r="O151" s="312"/>
      <c r="P151" s="312"/>
      <c r="Q151" s="312"/>
      <c r="R151" s="312"/>
      <c r="S151" s="312"/>
      <c r="T151" s="312"/>
      <c r="U151" s="312"/>
      <c r="V151" s="312"/>
      <c r="W151" s="312"/>
      <c r="X151" s="300"/>
      <c r="Y151" s="300"/>
    </row>
    <row r="152" spans="1:52" ht="16.5" customHeight="1" x14ac:dyDescent="0.25">
      <c r="A152" s="55" t="s">
        <v>250</v>
      </c>
      <c r="B152" s="55" t="s">
        <v>251</v>
      </c>
      <c r="C152" s="32">
        <v>4301020262</v>
      </c>
      <c r="D152" s="384">
        <v>4680115882935</v>
      </c>
      <c r="E152" s="328"/>
      <c r="F152" s="303">
        <v>1.35</v>
      </c>
      <c r="G152" s="33">
        <v>8</v>
      </c>
      <c r="H152" s="303">
        <v>10.8</v>
      </c>
      <c r="I152" s="303">
        <v>11.28</v>
      </c>
      <c r="J152" s="33">
        <v>56</v>
      </c>
      <c r="K152" s="34" t="s">
        <v>124</v>
      </c>
      <c r="L152" s="33">
        <v>50</v>
      </c>
      <c r="M152" s="465" t="s">
        <v>252</v>
      </c>
      <c r="N152" s="386"/>
      <c r="O152" s="386"/>
      <c r="P152" s="386"/>
      <c r="Q152" s="328"/>
      <c r="R152" s="35"/>
      <c r="S152" s="35"/>
      <c r="T152" s="36" t="s">
        <v>63</v>
      </c>
      <c r="U152" s="304">
        <v>0</v>
      </c>
      <c r="V152" s="305">
        <f>IFERROR(IF(U152="",0,CEILING((U152/$H152),1)*$H152),"")</f>
        <v>0</v>
      </c>
      <c r="W152" s="37" t="str">
        <f>IFERROR(IF(V152=0,"",ROUNDUP(V152/H152,0)*0.02175),"")</f>
        <v/>
      </c>
      <c r="X152" s="57"/>
      <c r="Y152" s="58"/>
      <c r="AC152" s="59"/>
      <c r="AZ152" s="136" t="s">
        <v>1</v>
      </c>
    </row>
    <row r="153" spans="1:52" ht="16.5" customHeight="1" x14ac:dyDescent="0.25">
      <c r="A153" s="55" t="s">
        <v>253</v>
      </c>
      <c r="B153" s="55" t="s">
        <v>254</v>
      </c>
      <c r="C153" s="32">
        <v>4301020220</v>
      </c>
      <c r="D153" s="384">
        <v>4680115880764</v>
      </c>
      <c r="E153" s="328"/>
      <c r="F153" s="303">
        <v>0.35</v>
      </c>
      <c r="G153" s="33">
        <v>6</v>
      </c>
      <c r="H153" s="303">
        <v>2.1</v>
      </c>
      <c r="I153" s="303">
        <v>2.2999999999999998</v>
      </c>
      <c r="J153" s="33">
        <v>156</v>
      </c>
      <c r="K153" s="34" t="s">
        <v>96</v>
      </c>
      <c r="L153" s="33">
        <v>50</v>
      </c>
      <c r="M153" s="4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3" s="386"/>
      <c r="O153" s="386"/>
      <c r="P153" s="386"/>
      <c r="Q153" s="328"/>
      <c r="R153" s="35"/>
      <c r="S153" s="35"/>
      <c r="T153" s="36" t="s">
        <v>63</v>
      </c>
      <c r="U153" s="304">
        <v>0</v>
      </c>
      <c r="V153" s="305">
        <f>IFERROR(IF(U153="",0,CEILING((U153/$H153),1)*$H153),"")</f>
        <v>0</v>
      </c>
      <c r="W153" s="37" t="str">
        <f>IFERROR(IF(V153=0,"",ROUNDUP(V153/H153,0)*0.00753),"")</f>
        <v/>
      </c>
      <c r="X153" s="57"/>
      <c r="Y153" s="58"/>
      <c r="AC153" s="59"/>
      <c r="AZ153" s="137" t="s">
        <v>1</v>
      </c>
    </row>
    <row r="154" spans="1:52" x14ac:dyDescent="0.2">
      <c r="A154" s="388"/>
      <c r="B154" s="312"/>
      <c r="C154" s="312"/>
      <c r="D154" s="312"/>
      <c r="E154" s="312"/>
      <c r="F154" s="312"/>
      <c r="G154" s="312"/>
      <c r="H154" s="312"/>
      <c r="I154" s="312"/>
      <c r="J154" s="312"/>
      <c r="K154" s="312"/>
      <c r="L154" s="389"/>
      <c r="M154" s="387" t="s">
        <v>64</v>
      </c>
      <c r="N154" s="340"/>
      <c r="O154" s="340"/>
      <c r="P154" s="340"/>
      <c r="Q154" s="340"/>
      <c r="R154" s="340"/>
      <c r="S154" s="341"/>
      <c r="T154" s="38" t="s">
        <v>65</v>
      </c>
      <c r="U154" s="306">
        <f>IFERROR(U152/H152,"0")+IFERROR(U153/H153,"0")</f>
        <v>0</v>
      </c>
      <c r="V154" s="306">
        <f>IFERROR(V152/H152,"0")+IFERROR(V153/H153,"0")</f>
        <v>0</v>
      </c>
      <c r="W154" s="306">
        <f>IFERROR(IF(W152="",0,W152),"0")+IFERROR(IF(W153="",0,W153),"0")</f>
        <v>0</v>
      </c>
      <c r="X154" s="307"/>
      <c r="Y154" s="307"/>
    </row>
    <row r="155" spans="1:52" x14ac:dyDescent="0.2">
      <c r="A155" s="312"/>
      <c r="B155" s="312"/>
      <c r="C155" s="312"/>
      <c r="D155" s="312"/>
      <c r="E155" s="312"/>
      <c r="F155" s="312"/>
      <c r="G155" s="312"/>
      <c r="H155" s="312"/>
      <c r="I155" s="312"/>
      <c r="J155" s="312"/>
      <c r="K155" s="312"/>
      <c r="L155" s="389"/>
      <c r="M155" s="387" t="s">
        <v>64</v>
      </c>
      <c r="N155" s="340"/>
      <c r="O155" s="340"/>
      <c r="P155" s="340"/>
      <c r="Q155" s="340"/>
      <c r="R155" s="340"/>
      <c r="S155" s="341"/>
      <c r="T155" s="38" t="s">
        <v>63</v>
      </c>
      <c r="U155" s="306">
        <f>IFERROR(SUM(U152:U153),"0")</f>
        <v>0</v>
      </c>
      <c r="V155" s="306">
        <f>IFERROR(SUM(V152:V153),"0")</f>
        <v>0</v>
      </c>
      <c r="W155" s="38"/>
      <c r="X155" s="307"/>
      <c r="Y155" s="307"/>
    </row>
    <row r="156" spans="1:52" ht="14.25" customHeight="1" x14ac:dyDescent="0.25">
      <c r="A156" s="383" t="s">
        <v>59</v>
      </c>
      <c r="B156" s="312"/>
      <c r="C156" s="312"/>
      <c r="D156" s="312"/>
      <c r="E156" s="312"/>
      <c r="F156" s="312"/>
      <c r="G156" s="312"/>
      <c r="H156" s="312"/>
      <c r="I156" s="312"/>
      <c r="J156" s="312"/>
      <c r="K156" s="312"/>
      <c r="L156" s="312"/>
      <c r="M156" s="312"/>
      <c r="N156" s="312"/>
      <c r="O156" s="312"/>
      <c r="P156" s="312"/>
      <c r="Q156" s="312"/>
      <c r="R156" s="312"/>
      <c r="S156" s="312"/>
      <c r="T156" s="312"/>
      <c r="U156" s="312"/>
      <c r="V156" s="312"/>
      <c r="W156" s="312"/>
      <c r="X156" s="300"/>
      <c r="Y156" s="300"/>
    </row>
    <row r="157" spans="1:52" ht="27" customHeight="1" x14ac:dyDescent="0.25">
      <c r="A157" s="55" t="s">
        <v>255</v>
      </c>
      <c r="B157" s="55" t="s">
        <v>256</v>
      </c>
      <c r="C157" s="32">
        <v>4301031224</v>
      </c>
      <c r="D157" s="384">
        <v>4680115882683</v>
      </c>
      <c r="E157" s="328"/>
      <c r="F157" s="303">
        <v>0.9</v>
      </c>
      <c r="G157" s="33">
        <v>6</v>
      </c>
      <c r="H157" s="303">
        <v>5.4</v>
      </c>
      <c r="I157" s="303">
        <v>5.61</v>
      </c>
      <c r="J157" s="33">
        <v>120</v>
      </c>
      <c r="K157" s="34" t="s">
        <v>62</v>
      </c>
      <c r="L157" s="33">
        <v>40</v>
      </c>
      <c r="M157" s="4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7" s="386"/>
      <c r="O157" s="386"/>
      <c r="P157" s="386"/>
      <c r="Q157" s="328"/>
      <c r="R157" s="35"/>
      <c r="S157" s="35"/>
      <c r="T157" s="36" t="s">
        <v>63</v>
      </c>
      <c r="U157" s="304">
        <v>0</v>
      </c>
      <c r="V157" s="305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257</v>
      </c>
      <c r="B158" s="55" t="s">
        <v>258</v>
      </c>
      <c r="C158" s="32">
        <v>4301031230</v>
      </c>
      <c r="D158" s="384">
        <v>4680115882690</v>
      </c>
      <c r="E158" s="328"/>
      <c r="F158" s="303">
        <v>0.9</v>
      </c>
      <c r="G158" s="33">
        <v>6</v>
      </c>
      <c r="H158" s="303">
        <v>5.4</v>
      </c>
      <c r="I158" s="303">
        <v>5.61</v>
      </c>
      <c r="J158" s="33">
        <v>120</v>
      </c>
      <c r="K158" s="34" t="s">
        <v>62</v>
      </c>
      <c r="L158" s="33">
        <v>40</v>
      </c>
      <c r="M158" s="4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8" s="386"/>
      <c r="O158" s="386"/>
      <c r="P158" s="386"/>
      <c r="Q158" s="328"/>
      <c r="R158" s="35"/>
      <c r="S158" s="35"/>
      <c r="T158" s="36" t="s">
        <v>63</v>
      </c>
      <c r="U158" s="304">
        <v>0</v>
      </c>
      <c r="V158" s="305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259</v>
      </c>
      <c r="B159" s="55" t="s">
        <v>260</v>
      </c>
      <c r="C159" s="32">
        <v>4301031220</v>
      </c>
      <c r="D159" s="384">
        <v>4680115882669</v>
      </c>
      <c r="E159" s="328"/>
      <c r="F159" s="303">
        <v>0.9</v>
      </c>
      <c r="G159" s="33">
        <v>6</v>
      </c>
      <c r="H159" s="303">
        <v>5.4</v>
      </c>
      <c r="I159" s="303">
        <v>5.61</v>
      </c>
      <c r="J159" s="33">
        <v>120</v>
      </c>
      <c r="K159" s="34" t="s">
        <v>62</v>
      </c>
      <c r="L159" s="33">
        <v>40</v>
      </c>
      <c r="M159" s="4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9" s="386"/>
      <c r="O159" s="386"/>
      <c r="P159" s="386"/>
      <c r="Q159" s="328"/>
      <c r="R159" s="35"/>
      <c r="S159" s="35"/>
      <c r="T159" s="36" t="s">
        <v>63</v>
      </c>
      <c r="U159" s="304">
        <v>0</v>
      </c>
      <c r="V159" s="305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261</v>
      </c>
      <c r="B160" s="55" t="s">
        <v>262</v>
      </c>
      <c r="C160" s="32">
        <v>4301031221</v>
      </c>
      <c r="D160" s="384">
        <v>4680115882676</v>
      </c>
      <c r="E160" s="328"/>
      <c r="F160" s="303">
        <v>0.9</v>
      </c>
      <c r="G160" s="33">
        <v>6</v>
      </c>
      <c r="H160" s="303">
        <v>5.4</v>
      </c>
      <c r="I160" s="303">
        <v>5.61</v>
      </c>
      <c r="J160" s="33">
        <v>120</v>
      </c>
      <c r="K160" s="34" t="s">
        <v>62</v>
      </c>
      <c r="L160" s="33">
        <v>40</v>
      </c>
      <c r="M160" s="47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0" s="386"/>
      <c r="O160" s="386"/>
      <c r="P160" s="386"/>
      <c r="Q160" s="328"/>
      <c r="R160" s="35"/>
      <c r="S160" s="35"/>
      <c r="T160" s="36" t="s">
        <v>63</v>
      </c>
      <c r="U160" s="304">
        <v>0</v>
      </c>
      <c r="V160" s="305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41" t="s">
        <v>1</v>
      </c>
    </row>
    <row r="161" spans="1:52" x14ac:dyDescent="0.2">
      <c r="A161" s="388"/>
      <c r="B161" s="312"/>
      <c r="C161" s="312"/>
      <c r="D161" s="312"/>
      <c r="E161" s="312"/>
      <c r="F161" s="312"/>
      <c r="G161" s="312"/>
      <c r="H161" s="312"/>
      <c r="I161" s="312"/>
      <c r="J161" s="312"/>
      <c r="K161" s="312"/>
      <c r="L161" s="389"/>
      <c r="M161" s="387" t="s">
        <v>64</v>
      </c>
      <c r="N161" s="340"/>
      <c r="O161" s="340"/>
      <c r="P161" s="340"/>
      <c r="Q161" s="340"/>
      <c r="R161" s="340"/>
      <c r="S161" s="341"/>
      <c r="T161" s="38" t="s">
        <v>65</v>
      </c>
      <c r="U161" s="306">
        <f>IFERROR(U157/H157,"0")+IFERROR(U158/H158,"0")+IFERROR(U159/H159,"0")+IFERROR(U160/H160,"0")</f>
        <v>0</v>
      </c>
      <c r="V161" s="306">
        <f>IFERROR(V157/H157,"0")+IFERROR(V158/H158,"0")+IFERROR(V159/H159,"0")+IFERROR(V160/H160,"0")</f>
        <v>0</v>
      </c>
      <c r="W161" s="306">
        <f>IFERROR(IF(W157="",0,W157),"0")+IFERROR(IF(W158="",0,W158),"0")+IFERROR(IF(W159="",0,W159),"0")+IFERROR(IF(W160="",0,W160),"0")</f>
        <v>0</v>
      </c>
      <c r="X161" s="307"/>
      <c r="Y161" s="307"/>
    </row>
    <row r="162" spans="1:52" x14ac:dyDescent="0.2">
      <c r="A162" s="312"/>
      <c r="B162" s="312"/>
      <c r="C162" s="312"/>
      <c r="D162" s="312"/>
      <c r="E162" s="312"/>
      <c r="F162" s="312"/>
      <c r="G162" s="312"/>
      <c r="H162" s="312"/>
      <c r="I162" s="312"/>
      <c r="J162" s="312"/>
      <c r="K162" s="312"/>
      <c r="L162" s="389"/>
      <c r="M162" s="387" t="s">
        <v>64</v>
      </c>
      <c r="N162" s="340"/>
      <c r="O162" s="340"/>
      <c r="P162" s="340"/>
      <c r="Q162" s="340"/>
      <c r="R162" s="340"/>
      <c r="S162" s="341"/>
      <c r="T162" s="38" t="s">
        <v>63</v>
      </c>
      <c r="U162" s="306">
        <f>IFERROR(SUM(U157:U160),"0")</f>
        <v>0</v>
      </c>
      <c r="V162" s="306">
        <f>IFERROR(SUM(V157:V160),"0")</f>
        <v>0</v>
      </c>
      <c r="W162" s="38"/>
      <c r="X162" s="307"/>
      <c r="Y162" s="307"/>
    </row>
    <row r="163" spans="1:52" ht="14.25" customHeight="1" x14ac:dyDescent="0.25">
      <c r="A163" s="383" t="s">
        <v>66</v>
      </c>
      <c r="B163" s="312"/>
      <c r="C163" s="312"/>
      <c r="D163" s="312"/>
      <c r="E163" s="312"/>
      <c r="F163" s="312"/>
      <c r="G163" s="312"/>
      <c r="H163" s="312"/>
      <c r="I163" s="312"/>
      <c r="J163" s="312"/>
      <c r="K163" s="312"/>
      <c r="L163" s="312"/>
      <c r="M163" s="312"/>
      <c r="N163" s="312"/>
      <c r="O163" s="312"/>
      <c r="P163" s="312"/>
      <c r="Q163" s="312"/>
      <c r="R163" s="312"/>
      <c r="S163" s="312"/>
      <c r="T163" s="312"/>
      <c r="U163" s="312"/>
      <c r="V163" s="312"/>
      <c r="W163" s="312"/>
      <c r="X163" s="300"/>
      <c r="Y163" s="300"/>
    </row>
    <row r="164" spans="1:52" ht="27" customHeight="1" x14ac:dyDescent="0.25">
      <c r="A164" s="55" t="s">
        <v>263</v>
      </c>
      <c r="B164" s="55" t="s">
        <v>264</v>
      </c>
      <c r="C164" s="32">
        <v>4301051409</v>
      </c>
      <c r="D164" s="384">
        <v>4680115881556</v>
      </c>
      <c r="E164" s="328"/>
      <c r="F164" s="303">
        <v>1</v>
      </c>
      <c r="G164" s="33">
        <v>4</v>
      </c>
      <c r="H164" s="303">
        <v>4</v>
      </c>
      <c r="I164" s="303">
        <v>4.4080000000000004</v>
      </c>
      <c r="J164" s="33">
        <v>104</v>
      </c>
      <c r="K164" s="34" t="s">
        <v>124</v>
      </c>
      <c r="L164" s="33">
        <v>45</v>
      </c>
      <c r="M164" s="4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4" s="386"/>
      <c r="O164" s="386"/>
      <c r="P164" s="386"/>
      <c r="Q164" s="328"/>
      <c r="R164" s="35"/>
      <c r="S164" s="35"/>
      <c r="T164" s="36" t="s">
        <v>63</v>
      </c>
      <c r="U164" s="304">
        <v>0</v>
      </c>
      <c r="V164" s="305">
        <f t="shared" ref="V164:V180" si="8">IFERROR(IF(U164="",0,CEILING((U164/$H164),1)*$H164),"")</f>
        <v>0</v>
      </c>
      <c r="W164" s="37" t="str">
        <f>IFERROR(IF(V164=0,"",ROUNDUP(V164/H164,0)*0.01196),"")</f>
        <v/>
      </c>
      <c r="X164" s="57"/>
      <c r="Y164" s="58"/>
      <c r="AC164" s="59"/>
      <c r="AZ164" s="142" t="s">
        <v>1</v>
      </c>
    </row>
    <row r="165" spans="1:52" ht="16.5" customHeight="1" x14ac:dyDescent="0.25">
      <c r="A165" s="55" t="s">
        <v>265</v>
      </c>
      <c r="B165" s="55" t="s">
        <v>266</v>
      </c>
      <c r="C165" s="32">
        <v>4301051538</v>
      </c>
      <c r="D165" s="384">
        <v>4680115880573</v>
      </c>
      <c r="E165" s="328"/>
      <c r="F165" s="303">
        <v>1.45</v>
      </c>
      <c r="G165" s="33">
        <v>6</v>
      </c>
      <c r="H165" s="303">
        <v>8.6999999999999993</v>
      </c>
      <c r="I165" s="303">
        <v>9.2639999999999993</v>
      </c>
      <c r="J165" s="33">
        <v>56</v>
      </c>
      <c r="K165" s="34" t="s">
        <v>62</v>
      </c>
      <c r="L165" s="33">
        <v>45</v>
      </c>
      <c r="M165" s="472" t="s">
        <v>267</v>
      </c>
      <c r="N165" s="386"/>
      <c r="O165" s="386"/>
      <c r="P165" s="386"/>
      <c r="Q165" s="328"/>
      <c r="R165" s="35"/>
      <c r="S165" s="35"/>
      <c r="T165" s="36" t="s">
        <v>63</v>
      </c>
      <c r="U165" s="304">
        <v>130</v>
      </c>
      <c r="V165" s="305">
        <f t="shared" si="8"/>
        <v>130.5</v>
      </c>
      <c r="W165" s="37">
        <f>IFERROR(IF(V165=0,"",ROUNDUP(V165/H165,0)*0.02175),"")</f>
        <v>0.32624999999999998</v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268</v>
      </c>
      <c r="B166" s="55" t="s">
        <v>269</v>
      </c>
      <c r="C166" s="32">
        <v>4301051408</v>
      </c>
      <c r="D166" s="384">
        <v>4680115881594</v>
      </c>
      <c r="E166" s="328"/>
      <c r="F166" s="303">
        <v>1.35</v>
      </c>
      <c r="G166" s="33">
        <v>6</v>
      </c>
      <c r="H166" s="303">
        <v>8.1</v>
      </c>
      <c r="I166" s="303">
        <v>8.6639999999999997</v>
      </c>
      <c r="J166" s="33">
        <v>56</v>
      </c>
      <c r="K166" s="34" t="s">
        <v>124</v>
      </c>
      <c r="L166" s="33">
        <v>40</v>
      </c>
      <c r="M166" s="4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86"/>
      <c r="O166" s="386"/>
      <c r="P166" s="386"/>
      <c r="Q166" s="328"/>
      <c r="R166" s="35"/>
      <c r="S166" s="35"/>
      <c r="T166" s="36" t="s">
        <v>63</v>
      </c>
      <c r="U166" s="304">
        <v>0</v>
      </c>
      <c r="V166" s="305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270</v>
      </c>
      <c r="B167" s="55" t="s">
        <v>271</v>
      </c>
      <c r="C167" s="32">
        <v>4301051433</v>
      </c>
      <c r="D167" s="384">
        <v>4680115881587</v>
      </c>
      <c r="E167" s="328"/>
      <c r="F167" s="303">
        <v>1</v>
      </c>
      <c r="G167" s="33">
        <v>4</v>
      </c>
      <c r="H167" s="303">
        <v>4</v>
      </c>
      <c r="I167" s="303">
        <v>4.4080000000000004</v>
      </c>
      <c r="J167" s="33">
        <v>104</v>
      </c>
      <c r="K167" s="34" t="s">
        <v>62</v>
      </c>
      <c r="L167" s="33">
        <v>35</v>
      </c>
      <c r="M167" s="47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86"/>
      <c r="O167" s="386"/>
      <c r="P167" s="386"/>
      <c r="Q167" s="328"/>
      <c r="R167" s="35"/>
      <c r="S167" s="35"/>
      <c r="T167" s="36" t="s">
        <v>63</v>
      </c>
      <c r="U167" s="304">
        <v>0</v>
      </c>
      <c r="V167" s="305">
        <f t="shared" si="8"/>
        <v>0</v>
      </c>
      <c r="W167" s="37" t="str">
        <f>IFERROR(IF(V167=0,"",ROUNDUP(V167/H167,0)*0.01196),"")</f>
        <v/>
      </c>
      <c r="X167" s="57"/>
      <c r="Y167" s="58"/>
      <c r="AC167" s="59"/>
      <c r="AZ167" s="145" t="s">
        <v>1</v>
      </c>
    </row>
    <row r="168" spans="1:52" ht="16.5" customHeight="1" x14ac:dyDescent="0.25">
      <c r="A168" s="55" t="s">
        <v>272</v>
      </c>
      <c r="B168" s="55" t="s">
        <v>273</v>
      </c>
      <c r="C168" s="32">
        <v>4301051380</v>
      </c>
      <c r="D168" s="384">
        <v>4680115880962</v>
      </c>
      <c r="E168" s="328"/>
      <c r="F168" s="303">
        <v>1.3</v>
      </c>
      <c r="G168" s="33">
        <v>6</v>
      </c>
      <c r="H168" s="303">
        <v>7.8</v>
      </c>
      <c r="I168" s="303">
        <v>8.3640000000000008</v>
      </c>
      <c r="J168" s="33">
        <v>56</v>
      </c>
      <c r="K168" s="34" t="s">
        <v>62</v>
      </c>
      <c r="L168" s="33">
        <v>40</v>
      </c>
      <c r="M168" s="47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86"/>
      <c r="O168" s="386"/>
      <c r="P168" s="386"/>
      <c r="Q168" s="328"/>
      <c r="R168" s="35"/>
      <c r="S168" s="35"/>
      <c r="T168" s="36" t="s">
        <v>63</v>
      </c>
      <c r="U168" s="304">
        <v>0</v>
      </c>
      <c r="V168" s="305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274</v>
      </c>
      <c r="B169" s="55" t="s">
        <v>275</v>
      </c>
      <c r="C169" s="32">
        <v>4301051411</v>
      </c>
      <c r="D169" s="384">
        <v>4680115881617</v>
      </c>
      <c r="E169" s="328"/>
      <c r="F169" s="303">
        <v>1.35</v>
      </c>
      <c r="G169" s="33">
        <v>6</v>
      </c>
      <c r="H169" s="303">
        <v>8.1</v>
      </c>
      <c r="I169" s="303">
        <v>8.6460000000000008</v>
      </c>
      <c r="J169" s="33">
        <v>56</v>
      </c>
      <c r="K169" s="34" t="s">
        <v>124</v>
      </c>
      <c r="L169" s="33">
        <v>40</v>
      </c>
      <c r="M169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86"/>
      <c r="O169" s="386"/>
      <c r="P169" s="386"/>
      <c r="Q169" s="328"/>
      <c r="R169" s="35"/>
      <c r="S169" s="35"/>
      <c r="T169" s="36" t="s">
        <v>63</v>
      </c>
      <c r="U169" s="304">
        <v>0</v>
      </c>
      <c r="V169" s="305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276</v>
      </c>
      <c r="B170" s="55" t="s">
        <v>277</v>
      </c>
      <c r="C170" s="32">
        <v>4301051377</v>
      </c>
      <c r="D170" s="384">
        <v>4680115881228</v>
      </c>
      <c r="E170" s="328"/>
      <c r="F170" s="303">
        <v>0.4</v>
      </c>
      <c r="G170" s="33">
        <v>6</v>
      </c>
      <c r="H170" s="303">
        <v>2.4</v>
      </c>
      <c r="I170" s="303">
        <v>2.6</v>
      </c>
      <c r="J170" s="33">
        <v>156</v>
      </c>
      <c r="K170" s="34" t="s">
        <v>62</v>
      </c>
      <c r="L170" s="33">
        <v>35</v>
      </c>
      <c r="M170" s="47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86"/>
      <c r="O170" s="386"/>
      <c r="P170" s="386"/>
      <c r="Q170" s="328"/>
      <c r="R170" s="35"/>
      <c r="S170" s="35"/>
      <c r="T170" s="36" t="s">
        <v>63</v>
      </c>
      <c r="U170" s="304">
        <v>0</v>
      </c>
      <c r="V170" s="305">
        <f t="shared" si="8"/>
        <v>0</v>
      </c>
      <c r="W170" s="37" t="str">
        <f>IFERROR(IF(V170=0,"",ROUNDUP(V170/H170,0)*0.00753),"")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278</v>
      </c>
      <c r="B171" s="55" t="s">
        <v>279</v>
      </c>
      <c r="C171" s="32">
        <v>4301051432</v>
      </c>
      <c r="D171" s="384">
        <v>4680115881037</v>
      </c>
      <c r="E171" s="328"/>
      <c r="F171" s="303">
        <v>0.84</v>
      </c>
      <c r="G171" s="33">
        <v>4</v>
      </c>
      <c r="H171" s="303">
        <v>3.36</v>
      </c>
      <c r="I171" s="303">
        <v>3.6179999999999999</v>
      </c>
      <c r="J171" s="33">
        <v>120</v>
      </c>
      <c r="K171" s="34" t="s">
        <v>62</v>
      </c>
      <c r="L171" s="33">
        <v>35</v>
      </c>
      <c r="M171" s="47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86"/>
      <c r="O171" s="386"/>
      <c r="P171" s="386"/>
      <c r="Q171" s="328"/>
      <c r="R171" s="35"/>
      <c r="S171" s="35"/>
      <c r="T171" s="36" t="s">
        <v>63</v>
      </c>
      <c r="U171" s="304">
        <v>0</v>
      </c>
      <c r="V171" s="305">
        <f t="shared" si="8"/>
        <v>0</v>
      </c>
      <c r="W171" s="37" t="str">
        <f>IFERROR(IF(V171=0,"",ROUNDUP(V171/H171,0)*0.00937),"")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280</v>
      </c>
      <c r="B172" s="55" t="s">
        <v>281</v>
      </c>
      <c r="C172" s="32">
        <v>4301051384</v>
      </c>
      <c r="D172" s="384">
        <v>4680115881211</v>
      </c>
      <c r="E172" s="328"/>
      <c r="F172" s="303">
        <v>0.4</v>
      </c>
      <c r="G172" s="33">
        <v>6</v>
      </c>
      <c r="H172" s="303">
        <v>2.4</v>
      </c>
      <c r="I172" s="303">
        <v>2.6</v>
      </c>
      <c r="J172" s="33">
        <v>156</v>
      </c>
      <c r="K172" s="34" t="s">
        <v>62</v>
      </c>
      <c r="L172" s="33">
        <v>45</v>
      </c>
      <c r="M172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86"/>
      <c r="O172" s="386"/>
      <c r="P172" s="386"/>
      <c r="Q172" s="328"/>
      <c r="R172" s="35"/>
      <c r="S172" s="35"/>
      <c r="T172" s="36" t="s">
        <v>63</v>
      </c>
      <c r="U172" s="304">
        <v>0</v>
      </c>
      <c r="V172" s="305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282</v>
      </c>
      <c r="B173" s="55" t="s">
        <v>283</v>
      </c>
      <c r="C173" s="32">
        <v>4301051378</v>
      </c>
      <c r="D173" s="384">
        <v>4680115881020</v>
      </c>
      <c r="E173" s="328"/>
      <c r="F173" s="303">
        <v>0.84</v>
      </c>
      <c r="G173" s="33">
        <v>4</v>
      </c>
      <c r="H173" s="303">
        <v>3.36</v>
      </c>
      <c r="I173" s="303">
        <v>3.57</v>
      </c>
      <c r="J173" s="33">
        <v>120</v>
      </c>
      <c r="K173" s="34" t="s">
        <v>62</v>
      </c>
      <c r="L173" s="33">
        <v>45</v>
      </c>
      <c r="M173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86"/>
      <c r="O173" s="386"/>
      <c r="P173" s="386"/>
      <c r="Q173" s="328"/>
      <c r="R173" s="35"/>
      <c r="S173" s="35"/>
      <c r="T173" s="36" t="s">
        <v>63</v>
      </c>
      <c r="U173" s="304">
        <v>0</v>
      </c>
      <c r="V173" s="305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284</v>
      </c>
      <c r="B174" s="55" t="s">
        <v>285</v>
      </c>
      <c r="C174" s="32">
        <v>4301051407</v>
      </c>
      <c r="D174" s="384">
        <v>4680115882195</v>
      </c>
      <c r="E174" s="328"/>
      <c r="F174" s="303">
        <v>0.4</v>
      </c>
      <c r="G174" s="33">
        <v>6</v>
      </c>
      <c r="H174" s="303">
        <v>2.4</v>
      </c>
      <c r="I174" s="303">
        <v>2.69</v>
      </c>
      <c r="J174" s="33">
        <v>156</v>
      </c>
      <c r="K174" s="34" t="s">
        <v>124</v>
      </c>
      <c r="L174" s="33">
        <v>40</v>
      </c>
      <c r="M174" s="4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86"/>
      <c r="O174" s="386"/>
      <c r="P174" s="386"/>
      <c r="Q174" s="328"/>
      <c r="R174" s="35"/>
      <c r="S174" s="35"/>
      <c r="T174" s="36" t="s">
        <v>63</v>
      </c>
      <c r="U174" s="304">
        <v>0</v>
      </c>
      <c r="V174" s="305">
        <f t="shared" si="8"/>
        <v>0</v>
      </c>
      <c r="W174" s="37" t="str">
        <f t="shared" ref="W174:W180" si="9"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286</v>
      </c>
      <c r="B175" s="55" t="s">
        <v>287</v>
      </c>
      <c r="C175" s="32">
        <v>4301051479</v>
      </c>
      <c r="D175" s="384">
        <v>4680115882607</v>
      </c>
      <c r="E175" s="328"/>
      <c r="F175" s="303">
        <v>0.3</v>
      </c>
      <c r="G175" s="33">
        <v>6</v>
      </c>
      <c r="H175" s="303">
        <v>1.8</v>
      </c>
      <c r="I175" s="303">
        <v>2.0720000000000001</v>
      </c>
      <c r="J175" s="33">
        <v>156</v>
      </c>
      <c r="K175" s="34" t="s">
        <v>124</v>
      </c>
      <c r="L175" s="33">
        <v>45</v>
      </c>
      <c r="M175" s="48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5" s="386"/>
      <c r="O175" s="386"/>
      <c r="P175" s="386"/>
      <c r="Q175" s="328"/>
      <c r="R175" s="35"/>
      <c r="S175" s="35"/>
      <c r="T175" s="36" t="s">
        <v>63</v>
      </c>
      <c r="U175" s="304">
        <v>0</v>
      </c>
      <c r="V175" s="305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288</v>
      </c>
      <c r="B176" s="55" t="s">
        <v>289</v>
      </c>
      <c r="C176" s="32">
        <v>4301051468</v>
      </c>
      <c r="D176" s="384">
        <v>4680115880092</v>
      </c>
      <c r="E176" s="328"/>
      <c r="F176" s="303">
        <v>0.4</v>
      </c>
      <c r="G176" s="33">
        <v>6</v>
      </c>
      <c r="H176" s="303">
        <v>2.4</v>
      </c>
      <c r="I176" s="303">
        <v>2.6720000000000002</v>
      </c>
      <c r="J176" s="33">
        <v>156</v>
      </c>
      <c r="K176" s="34" t="s">
        <v>124</v>
      </c>
      <c r="L176" s="33">
        <v>45</v>
      </c>
      <c r="M176" s="48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6" s="386"/>
      <c r="O176" s="386"/>
      <c r="P176" s="386"/>
      <c r="Q176" s="328"/>
      <c r="R176" s="35"/>
      <c r="S176" s="35"/>
      <c r="T176" s="36" t="s">
        <v>63</v>
      </c>
      <c r="U176" s="304">
        <v>10</v>
      </c>
      <c r="V176" s="305">
        <f t="shared" si="8"/>
        <v>12</v>
      </c>
      <c r="W176" s="37">
        <f t="shared" si="9"/>
        <v>3.7650000000000003E-2</v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290</v>
      </c>
      <c r="B177" s="55" t="s">
        <v>291</v>
      </c>
      <c r="C177" s="32">
        <v>4301051469</v>
      </c>
      <c r="D177" s="384">
        <v>4680115880221</v>
      </c>
      <c r="E177" s="328"/>
      <c r="F177" s="303">
        <v>0.4</v>
      </c>
      <c r="G177" s="33">
        <v>6</v>
      </c>
      <c r="H177" s="303">
        <v>2.4</v>
      </c>
      <c r="I177" s="303">
        <v>2.6720000000000002</v>
      </c>
      <c r="J177" s="33">
        <v>156</v>
      </c>
      <c r="K177" s="34" t="s">
        <v>124</v>
      </c>
      <c r="L177" s="33">
        <v>45</v>
      </c>
      <c r="M177" s="48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7" s="386"/>
      <c r="O177" s="386"/>
      <c r="P177" s="386"/>
      <c r="Q177" s="328"/>
      <c r="R177" s="35"/>
      <c r="S177" s="35"/>
      <c r="T177" s="36" t="s">
        <v>63</v>
      </c>
      <c r="U177" s="304">
        <v>0</v>
      </c>
      <c r="V177" s="305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292</v>
      </c>
      <c r="B178" s="55" t="s">
        <v>293</v>
      </c>
      <c r="C178" s="32">
        <v>4301051523</v>
      </c>
      <c r="D178" s="384">
        <v>4680115882942</v>
      </c>
      <c r="E178" s="328"/>
      <c r="F178" s="303">
        <v>0.3</v>
      </c>
      <c r="G178" s="33">
        <v>6</v>
      </c>
      <c r="H178" s="303">
        <v>1.8</v>
      </c>
      <c r="I178" s="303">
        <v>2.0720000000000001</v>
      </c>
      <c r="J178" s="33">
        <v>156</v>
      </c>
      <c r="K178" s="34" t="s">
        <v>62</v>
      </c>
      <c r="L178" s="33">
        <v>40</v>
      </c>
      <c r="M178" s="48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8" s="386"/>
      <c r="O178" s="386"/>
      <c r="P178" s="386"/>
      <c r="Q178" s="328"/>
      <c r="R178" s="35"/>
      <c r="S178" s="35"/>
      <c r="T178" s="36" t="s">
        <v>63</v>
      </c>
      <c r="U178" s="304">
        <v>0</v>
      </c>
      <c r="V178" s="305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294</v>
      </c>
      <c r="B179" s="55" t="s">
        <v>295</v>
      </c>
      <c r="C179" s="32">
        <v>4301051326</v>
      </c>
      <c r="D179" s="384">
        <v>4680115880504</v>
      </c>
      <c r="E179" s="328"/>
      <c r="F179" s="303">
        <v>0.4</v>
      </c>
      <c r="G179" s="33">
        <v>6</v>
      </c>
      <c r="H179" s="303">
        <v>2.4</v>
      </c>
      <c r="I179" s="303">
        <v>2.6720000000000002</v>
      </c>
      <c r="J179" s="33">
        <v>156</v>
      </c>
      <c r="K179" s="34" t="s">
        <v>62</v>
      </c>
      <c r="L179" s="33">
        <v>40</v>
      </c>
      <c r="M179" s="48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9" s="386"/>
      <c r="O179" s="386"/>
      <c r="P179" s="386"/>
      <c r="Q179" s="328"/>
      <c r="R179" s="35"/>
      <c r="S179" s="35"/>
      <c r="T179" s="36" t="s">
        <v>63</v>
      </c>
      <c r="U179" s="304">
        <v>2</v>
      </c>
      <c r="V179" s="305">
        <f t="shared" si="8"/>
        <v>2.4</v>
      </c>
      <c r="W179" s="37">
        <f t="shared" si="9"/>
        <v>7.5300000000000002E-3</v>
      </c>
      <c r="X179" s="57"/>
      <c r="Y179" s="58"/>
      <c r="AC179" s="59"/>
      <c r="AZ179" s="157" t="s">
        <v>1</v>
      </c>
    </row>
    <row r="180" spans="1:52" ht="27" customHeight="1" x14ac:dyDescent="0.25">
      <c r="A180" s="55" t="s">
        <v>296</v>
      </c>
      <c r="B180" s="55" t="s">
        <v>297</v>
      </c>
      <c r="C180" s="32">
        <v>4301051410</v>
      </c>
      <c r="D180" s="384">
        <v>4680115882164</v>
      </c>
      <c r="E180" s="328"/>
      <c r="F180" s="303">
        <v>0.4</v>
      </c>
      <c r="G180" s="33">
        <v>6</v>
      </c>
      <c r="H180" s="303">
        <v>2.4</v>
      </c>
      <c r="I180" s="303">
        <v>2.6779999999999999</v>
      </c>
      <c r="J180" s="33">
        <v>156</v>
      </c>
      <c r="K180" s="34" t="s">
        <v>124</v>
      </c>
      <c r="L180" s="33">
        <v>40</v>
      </c>
      <c r="M180" s="48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0" s="386"/>
      <c r="O180" s="386"/>
      <c r="P180" s="386"/>
      <c r="Q180" s="328"/>
      <c r="R180" s="35"/>
      <c r="S180" s="35"/>
      <c r="T180" s="36" t="s">
        <v>63</v>
      </c>
      <c r="U180" s="304">
        <v>0</v>
      </c>
      <c r="V180" s="305">
        <f t="shared" si="8"/>
        <v>0</v>
      </c>
      <c r="W180" s="37" t="str">
        <f t="shared" si="9"/>
        <v/>
      </c>
      <c r="X180" s="57"/>
      <c r="Y180" s="58"/>
      <c r="AC180" s="59"/>
      <c r="AZ180" s="158" t="s">
        <v>1</v>
      </c>
    </row>
    <row r="181" spans="1:52" x14ac:dyDescent="0.2">
      <c r="A181" s="388"/>
      <c r="B181" s="312"/>
      <c r="C181" s="312"/>
      <c r="D181" s="312"/>
      <c r="E181" s="312"/>
      <c r="F181" s="312"/>
      <c r="G181" s="312"/>
      <c r="H181" s="312"/>
      <c r="I181" s="312"/>
      <c r="J181" s="312"/>
      <c r="K181" s="312"/>
      <c r="L181" s="389"/>
      <c r="M181" s="387" t="s">
        <v>64</v>
      </c>
      <c r="N181" s="340"/>
      <c r="O181" s="340"/>
      <c r="P181" s="340"/>
      <c r="Q181" s="340"/>
      <c r="R181" s="340"/>
      <c r="S181" s="341"/>
      <c r="T181" s="38" t="s">
        <v>65</v>
      </c>
      <c r="U181" s="306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>19.942528735632184</v>
      </c>
      <c r="V181" s="306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>21</v>
      </c>
      <c r="W181" s="306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>0.37142999999999998</v>
      </c>
      <c r="X181" s="307"/>
      <c r="Y181" s="307"/>
    </row>
    <row r="182" spans="1:52" x14ac:dyDescent="0.2">
      <c r="A182" s="312"/>
      <c r="B182" s="312"/>
      <c r="C182" s="312"/>
      <c r="D182" s="312"/>
      <c r="E182" s="312"/>
      <c r="F182" s="312"/>
      <c r="G182" s="312"/>
      <c r="H182" s="312"/>
      <c r="I182" s="312"/>
      <c r="J182" s="312"/>
      <c r="K182" s="312"/>
      <c r="L182" s="389"/>
      <c r="M182" s="387" t="s">
        <v>64</v>
      </c>
      <c r="N182" s="340"/>
      <c r="O182" s="340"/>
      <c r="P182" s="340"/>
      <c r="Q182" s="340"/>
      <c r="R182" s="340"/>
      <c r="S182" s="341"/>
      <c r="T182" s="38" t="s">
        <v>63</v>
      </c>
      <c r="U182" s="306">
        <f>IFERROR(SUM(U164:U180),"0")</f>
        <v>142</v>
      </c>
      <c r="V182" s="306">
        <f>IFERROR(SUM(V164:V180),"0")</f>
        <v>144.9</v>
      </c>
      <c r="W182" s="38"/>
      <c r="X182" s="307"/>
      <c r="Y182" s="307"/>
    </row>
    <row r="183" spans="1:52" ht="14.25" customHeight="1" x14ac:dyDescent="0.25">
      <c r="A183" s="383" t="s">
        <v>198</v>
      </c>
      <c r="B183" s="312"/>
      <c r="C183" s="312"/>
      <c r="D183" s="312"/>
      <c r="E183" s="312"/>
      <c r="F183" s="312"/>
      <c r="G183" s="312"/>
      <c r="H183" s="312"/>
      <c r="I183" s="312"/>
      <c r="J183" s="312"/>
      <c r="K183" s="312"/>
      <c r="L183" s="312"/>
      <c r="M183" s="312"/>
      <c r="N183" s="312"/>
      <c r="O183" s="312"/>
      <c r="P183" s="312"/>
      <c r="Q183" s="312"/>
      <c r="R183" s="312"/>
      <c r="S183" s="312"/>
      <c r="T183" s="312"/>
      <c r="U183" s="312"/>
      <c r="V183" s="312"/>
      <c r="W183" s="312"/>
      <c r="X183" s="300"/>
      <c r="Y183" s="300"/>
    </row>
    <row r="184" spans="1:52" ht="16.5" customHeight="1" x14ac:dyDescent="0.25">
      <c r="A184" s="55" t="s">
        <v>298</v>
      </c>
      <c r="B184" s="55" t="s">
        <v>299</v>
      </c>
      <c r="C184" s="32">
        <v>4301060338</v>
      </c>
      <c r="D184" s="384">
        <v>4680115880801</v>
      </c>
      <c r="E184" s="328"/>
      <c r="F184" s="303">
        <v>0.4</v>
      </c>
      <c r="G184" s="33">
        <v>6</v>
      </c>
      <c r="H184" s="303">
        <v>2.4</v>
      </c>
      <c r="I184" s="303">
        <v>2.6720000000000002</v>
      </c>
      <c r="J184" s="33">
        <v>156</v>
      </c>
      <c r="K184" s="34" t="s">
        <v>62</v>
      </c>
      <c r="L184" s="33">
        <v>40</v>
      </c>
      <c r="M184" s="48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4" s="386"/>
      <c r="O184" s="386"/>
      <c r="P184" s="386"/>
      <c r="Q184" s="328"/>
      <c r="R184" s="35"/>
      <c r="S184" s="35"/>
      <c r="T184" s="36" t="s">
        <v>63</v>
      </c>
      <c r="U184" s="304">
        <v>0</v>
      </c>
      <c r="V184" s="305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300</v>
      </c>
      <c r="B185" s="55" t="s">
        <v>301</v>
      </c>
      <c r="C185" s="32">
        <v>4301060339</v>
      </c>
      <c r="D185" s="384">
        <v>4680115880818</v>
      </c>
      <c r="E185" s="328"/>
      <c r="F185" s="303">
        <v>0.4</v>
      </c>
      <c r="G185" s="33">
        <v>6</v>
      </c>
      <c r="H185" s="303">
        <v>2.4</v>
      </c>
      <c r="I185" s="303">
        <v>2.6720000000000002</v>
      </c>
      <c r="J185" s="33">
        <v>156</v>
      </c>
      <c r="K185" s="34" t="s">
        <v>62</v>
      </c>
      <c r="L185" s="33">
        <v>40</v>
      </c>
      <c r="M185" s="48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5" s="386"/>
      <c r="O185" s="386"/>
      <c r="P185" s="386"/>
      <c r="Q185" s="328"/>
      <c r="R185" s="35"/>
      <c r="S185" s="35"/>
      <c r="T185" s="36" t="s">
        <v>63</v>
      </c>
      <c r="U185" s="304">
        <v>0</v>
      </c>
      <c r="V185" s="305">
        <f>IFERROR(IF(U185="",0,CEILING((U185/$H185),1)*$H185),"")</f>
        <v>0</v>
      </c>
      <c r="W185" s="37" t="str">
        <f>IFERROR(IF(V185=0,"",ROUNDUP(V185/H185,0)*0.00753),"")</f>
        <v/>
      </c>
      <c r="X185" s="57"/>
      <c r="Y185" s="58"/>
      <c r="AC185" s="59"/>
      <c r="AZ185" s="160" t="s">
        <v>1</v>
      </c>
    </row>
    <row r="186" spans="1:52" x14ac:dyDescent="0.2">
      <c r="A186" s="388"/>
      <c r="B186" s="312"/>
      <c r="C186" s="312"/>
      <c r="D186" s="312"/>
      <c r="E186" s="312"/>
      <c r="F186" s="312"/>
      <c r="G186" s="312"/>
      <c r="H186" s="312"/>
      <c r="I186" s="312"/>
      <c r="J186" s="312"/>
      <c r="K186" s="312"/>
      <c r="L186" s="389"/>
      <c r="M186" s="387" t="s">
        <v>64</v>
      </c>
      <c r="N186" s="340"/>
      <c r="O186" s="340"/>
      <c r="P186" s="340"/>
      <c r="Q186" s="340"/>
      <c r="R186" s="340"/>
      <c r="S186" s="341"/>
      <c r="T186" s="38" t="s">
        <v>65</v>
      </c>
      <c r="U186" s="306">
        <f>IFERROR(U184/H184,"0")+IFERROR(U185/H185,"0")</f>
        <v>0</v>
      </c>
      <c r="V186" s="306">
        <f>IFERROR(V184/H184,"0")+IFERROR(V185/H185,"0")</f>
        <v>0</v>
      </c>
      <c r="W186" s="306">
        <f>IFERROR(IF(W184="",0,W184),"0")+IFERROR(IF(W185="",0,W185),"0")</f>
        <v>0</v>
      </c>
      <c r="X186" s="307"/>
      <c r="Y186" s="307"/>
    </row>
    <row r="187" spans="1:52" x14ac:dyDescent="0.2">
      <c r="A187" s="312"/>
      <c r="B187" s="312"/>
      <c r="C187" s="312"/>
      <c r="D187" s="312"/>
      <c r="E187" s="312"/>
      <c r="F187" s="312"/>
      <c r="G187" s="312"/>
      <c r="H187" s="312"/>
      <c r="I187" s="312"/>
      <c r="J187" s="312"/>
      <c r="K187" s="312"/>
      <c r="L187" s="389"/>
      <c r="M187" s="387" t="s">
        <v>64</v>
      </c>
      <c r="N187" s="340"/>
      <c r="O187" s="340"/>
      <c r="P187" s="340"/>
      <c r="Q187" s="340"/>
      <c r="R187" s="340"/>
      <c r="S187" s="341"/>
      <c r="T187" s="38" t="s">
        <v>63</v>
      </c>
      <c r="U187" s="306">
        <f>IFERROR(SUM(U184:U185),"0")</f>
        <v>0</v>
      </c>
      <c r="V187" s="306">
        <f>IFERROR(SUM(V184:V185),"0")</f>
        <v>0</v>
      </c>
      <c r="W187" s="38"/>
      <c r="X187" s="307"/>
      <c r="Y187" s="307"/>
    </row>
    <row r="188" spans="1:52" ht="16.5" customHeight="1" x14ac:dyDescent="0.25">
      <c r="A188" s="382" t="s">
        <v>302</v>
      </c>
      <c r="B188" s="312"/>
      <c r="C188" s="312"/>
      <c r="D188" s="312"/>
      <c r="E188" s="312"/>
      <c r="F188" s="312"/>
      <c r="G188" s="312"/>
      <c r="H188" s="312"/>
      <c r="I188" s="312"/>
      <c r="J188" s="312"/>
      <c r="K188" s="312"/>
      <c r="L188" s="312"/>
      <c r="M188" s="312"/>
      <c r="N188" s="312"/>
      <c r="O188" s="312"/>
      <c r="P188" s="312"/>
      <c r="Q188" s="312"/>
      <c r="R188" s="312"/>
      <c r="S188" s="312"/>
      <c r="T188" s="312"/>
      <c r="U188" s="312"/>
      <c r="V188" s="312"/>
      <c r="W188" s="312"/>
      <c r="X188" s="299"/>
      <c r="Y188" s="299"/>
    </row>
    <row r="189" spans="1:52" ht="14.25" customHeight="1" x14ac:dyDescent="0.25">
      <c r="A189" s="383" t="s">
        <v>100</v>
      </c>
      <c r="B189" s="312"/>
      <c r="C189" s="312"/>
      <c r="D189" s="312"/>
      <c r="E189" s="312"/>
      <c r="F189" s="312"/>
      <c r="G189" s="312"/>
      <c r="H189" s="312"/>
      <c r="I189" s="312"/>
      <c r="J189" s="312"/>
      <c r="K189" s="312"/>
      <c r="L189" s="312"/>
      <c r="M189" s="312"/>
      <c r="N189" s="312"/>
      <c r="O189" s="312"/>
      <c r="P189" s="312"/>
      <c r="Q189" s="312"/>
      <c r="R189" s="312"/>
      <c r="S189" s="312"/>
      <c r="T189" s="312"/>
      <c r="U189" s="312"/>
      <c r="V189" s="312"/>
      <c r="W189" s="312"/>
      <c r="X189" s="300"/>
      <c r="Y189" s="300"/>
    </row>
    <row r="190" spans="1:52" ht="27" customHeight="1" x14ac:dyDescent="0.25">
      <c r="A190" s="55" t="s">
        <v>303</v>
      </c>
      <c r="B190" s="55" t="s">
        <v>304</v>
      </c>
      <c r="C190" s="32">
        <v>4301011346</v>
      </c>
      <c r="D190" s="384">
        <v>4607091387445</v>
      </c>
      <c r="E190" s="328"/>
      <c r="F190" s="303">
        <v>0.9</v>
      </c>
      <c r="G190" s="33">
        <v>10</v>
      </c>
      <c r="H190" s="303">
        <v>9</v>
      </c>
      <c r="I190" s="303">
        <v>9.6300000000000008</v>
      </c>
      <c r="J190" s="33">
        <v>56</v>
      </c>
      <c r="K190" s="34" t="s">
        <v>96</v>
      </c>
      <c r="L190" s="33">
        <v>31</v>
      </c>
      <c r="M190" s="49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0" s="386"/>
      <c r="O190" s="386"/>
      <c r="P190" s="386"/>
      <c r="Q190" s="328"/>
      <c r="R190" s="35"/>
      <c r="S190" s="35"/>
      <c r="T190" s="36" t="s">
        <v>63</v>
      </c>
      <c r="U190" s="304">
        <v>0</v>
      </c>
      <c r="V190" s="305">
        <f t="shared" ref="V190:V204" si="10">IFERROR(IF(U190="",0,CEILING((U190/$H190),1)*$H190),"")</f>
        <v>0</v>
      </c>
      <c r="W190" s="37" t="str">
        <f>IFERROR(IF(V190=0,"",ROUNDUP(V190/H190,0)*0.02175),"")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305</v>
      </c>
      <c r="B191" s="55" t="s">
        <v>306</v>
      </c>
      <c r="C191" s="32">
        <v>4301011362</v>
      </c>
      <c r="D191" s="384">
        <v>4607091386004</v>
      </c>
      <c r="E191" s="328"/>
      <c r="F191" s="303">
        <v>1.35</v>
      </c>
      <c r="G191" s="33">
        <v>8</v>
      </c>
      <c r="H191" s="303">
        <v>10.8</v>
      </c>
      <c r="I191" s="303">
        <v>11.28</v>
      </c>
      <c r="J191" s="33">
        <v>48</v>
      </c>
      <c r="K191" s="34" t="s">
        <v>307</v>
      </c>
      <c r="L191" s="33">
        <v>55</v>
      </c>
      <c r="M191" s="49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86"/>
      <c r="O191" s="386"/>
      <c r="P191" s="386"/>
      <c r="Q191" s="328"/>
      <c r="R191" s="35"/>
      <c r="S191" s="35"/>
      <c r="T191" s="36" t="s">
        <v>63</v>
      </c>
      <c r="U191" s="304">
        <v>0</v>
      </c>
      <c r="V191" s="305">
        <f t="shared" si="10"/>
        <v>0</v>
      </c>
      <c r="W191" s="37" t="str">
        <f>IFERROR(IF(V191=0,"",ROUNDUP(V191/H191,0)*0.02039),"")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305</v>
      </c>
      <c r="B192" s="55" t="s">
        <v>308</v>
      </c>
      <c r="C192" s="32">
        <v>4301011308</v>
      </c>
      <c r="D192" s="384">
        <v>4607091386004</v>
      </c>
      <c r="E192" s="328"/>
      <c r="F192" s="303">
        <v>1.35</v>
      </c>
      <c r="G192" s="33">
        <v>8</v>
      </c>
      <c r="H192" s="303">
        <v>10.8</v>
      </c>
      <c r="I192" s="303">
        <v>11.28</v>
      </c>
      <c r="J192" s="33">
        <v>56</v>
      </c>
      <c r="K192" s="34" t="s">
        <v>96</v>
      </c>
      <c r="L192" s="33">
        <v>55</v>
      </c>
      <c r="M192" s="49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86"/>
      <c r="O192" s="386"/>
      <c r="P192" s="386"/>
      <c r="Q192" s="328"/>
      <c r="R192" s="35"/>
      <c r="S192" s="35"/>
      <c r="T192" s="36" t="s">
        <v>63</v>
      </c>
      <c r="U192" s="304">
        <v>120</v>
      </c>
      <c r="V192" s="305">
        <f t="shared" si="10"/>
        <v>129.60000000000002</v>
      </c>
      <c r="W192" s="37">
        <f>IFERROR(IF(V192=0,"",ROUNDUP(V192/H192,0)*0.02175),"")</f>
        <v>0.26100000000000001</v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309</v>
      </c>
      <c r="B193" s="55" t="s">
        <v>310</v>
      </c>
      <c r="C193" s="32">
        <v>4301011347</v>
      </c>
      <c r="D193" s="384">
        <v>4607091386073</v>
      </c>
      <c r="E193" s="328"/>
      <c r="F193" s="303">
        <v>0.9</v>
      </c>
      <c r="G193" s="33">
        <v>10</v>
      </c>
      <c r="H193" s="303">
        <v>9</v>
      </c>
      <c r="I193" s="303">
        <v>9.6300000000000008</v>
      </c>
      <c r="J193" s="33">
        <v>56</v>
      </c>
      <c r="K193" s="34" t="s">
        <v>96</v>
      </c>
      <c r="L193" s="33">
        <v>31</v>
      </c>
      <c r="M193" s="49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3" s="386"/>
      <c r="O193" s="386"/>
      <c r="P193" s="386"/>
      <c r="Q193" s="328"/>
      <c r="R193" s="35"/>
      <c r="S193" s="35"/>
      <c r="T193" s="36" t="s">
        <v>63</v>
      </c>
      <c r="U193" s="304">
        <v>0</v>
      </c>
      <c r="V193" s="305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311</v>
      </c>
      <c r="B194" s="55" t="s">
        <v>312</v>
      </c>
      <c r="C194" s="32">
        <v>4301011395</v>
      </c>
      <c r="D194" s="384">
        <v>4607091387322</v>
      </c>
      <c r="E194" s="328"/>
      <c r="F194" s="303">
        <v>1.35</v>
      </c>
      <c r="G194" s="33">
        <v>8</v>
      </c>
      <c r="H194" s="303">
        <v>10.8</v>
      </c>
      <c r="I194" s="303">
        <v>11.28</v>
      </c>
      <c r="J194" s="33">
        <v>48</v>
      </c>
      <c r="K194" s="34" t="s">
        <v>307</v>
      </c>
      <c r="L194" s="33">
        <v>55</v>
      </c>
      <c r="M194" s="49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86"/>
      <c r="O194" s="386"/>
      <c r="P194" s="386"/>
      <c r="Q194" s="328"/>
      <c r="R194" s="35"/>
      <c r="S194" s="35"/>
      <c r="T194" s="36" t="s">
        <v>63</v>
      </c>
      <c r="U194" s="304">
        <v>0</v>
      </c>
      <c r="V194" s="305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311</v>
      </c>
      <c r="B195" s="55" t="s">
        <v>313</v>
      </c>
      <c r="C195" s="32">
        <v>4301010928</v>
      </c>
      <c r="D195" s="384">
        <v>4607091387322</v>
      </c>
      <c r="E195" s="328"/>
      <c r="F195" s="303">
        <v>1.35</v>
      </c>
      <c r="G195" s="33">
        <v>8</v>
      </c>
      <c r="H195" s="303">
        <v>10.8</v>
      </c>
      <c r="I195" s="303">
        <v>11.28</v>
      </c>
      <c r="J195" s="33">
        <v>56</v>
      </c>
      <c r="K195" s="34" t="s">
        <v>96</v>
      </c>
      <c r="L195" s="33">
        <v>55</v>
      </c>
      <c r="M195" s="49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86"/>
      <c r="O195" s="386"/>
      <c r="P195" s="386"/>
      <c r="Q195" s="328"/>
      <c r="R195" s="35"/>
      <c r="S195" s="35"/>
      <c r="T195" s="36" t="s">
        <v>63</v>
      </c>
      <c r="U195" s="304">
        <v>0</v>
      </c>
      <c r="V195" s="305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314</v>
      </c>
      <c r="B196" s="55" t="s">
        <v>315</v>
      </c>
      <c r="C196" s="32">
        <v>4301011311</v>
      </c>
      <c r="D196" s="384">
        <v>4607091387377</v>
      </c>
      <c r="E196" s="328"/>
      <c r="F196" s="303">
        <v>1.35</v>
      </c>
      <c r="G196" s="33">
        <v>8</v>
      </c>
      <c r="H196" s="303">
        <v>10.8</v>
      </c>
      <c r="I196" s="303">
        <v>11.28</v>
      </c>
      <c r="J196" s="33">
        <v>56</v>
      </c>
      <c r="K196" s="34" t="s">
        <v>96</v>
      </c>
      <c r="L196" s="33">
        <v>55</v>
      </c>
      <c r="M196" s="49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6" s="386"/>
      <c r="O196" s="386"/>
      <c r="P196" s="386"/>
      <c r="Q196" s="328"/>
      <c r="R196" s="35"/>
      <c r="S196" s="35"/>
      <c r="T196" s="36" t="s">
        <v>63</v>
      </c>
      <c r="U196" s="304">
        <v>0</v>
      </c>
      <c r="V196" s="305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316</v>
      </c>
      <c r="B197" s="55" t="s">
        <v>317</v>
      </c>
      <c r="C197" s="32">
        <v>4301010945</v>
      </c>
      <c r="D197" s="384">
        <v>4607091387353</v>
      </c>
      <c r="E197" s="328"/>
      <c r="F197" s="303">
        <v>1.35</v>
      </c>
      <c r="G197" s="33">
        <v>8</v>
      </c>
      <c r="H197" s="303">
        <v>10.8</v>
      </c>
      <c r="I197" s="303">
        <v>11.28</v>
      </c>
      <c r="J197" s="33">
        <v>56</v>
      </c>
      <c r="K197" s="34" t="s">
        <v>96</v>
      </c>
      <c r="L197" s="33">
        <v>55</v>
      </c>
      <c r="M197" s="49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7" s="386"/>
      <c r="O197" s="386"/>
      <c r="P197" s="386"/>
      <c r="Q197" s="328"/>
      <c r="R197" s="35"/>
      <c r="S197" s="35"/>
      <c r="T197" s="36" t="s">
        <v>63</v>
      </c>
      <c r="U197" s="304">
        <v>0</v>
      </c>
      <c r="V197" s="305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318</v>
      </c>
      <c r="B198" s="55" t="s">
        <v>319</v>
      </c>
      <c r="C198" s="32">
        <v>4301011328</v>
      </c>
      <c r="D198" s="384">
        <v>4607091386011</v>
      </c>
      <c r="E198" s="328"/>
      <c r="F198" s="303">
        <v>0.5</v>
      </c>
      <c r="G198" s="33">
        <v>10</v>
      </c>
      <c r="H198" s="303">
        <v>5</v>
      </c>
      <c r="I198" s="303">
        <v>5.21</v>
      </c>
      <c r="J198" s="33">
        <v>120</v>
      </c>
      <c r="K198" s="34" t="s">
        <v>62</v>
      </c>
      <c r="L198" s="33">
        <v>55</v>
      </c>
      <c r="M198" s="49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8" s="386"/>
      <c r="O198" s="386"/>
      <c r="P198" s="386"/>
      <c r="Q198" s="328"/>
      <c r="R198" s="35"/>
      <c r="S198" s="35"/>
      <c r="T198" s="36" t="s">
        <v>63</v>
      </c>
      <c r="U198" s="304">
        <v>37.5</v>
      </c>
      <c r="V198" s="305">
        <f t="shared" si="10"/>
        <v>40</v>
      </c>
      <c r="W198" s="37">
        <f t="shared" ref="W198:W204" si="11">IFERROR(IF(V198=0,"",ROUNDUP(V198/H198,0)*0.00937),"")</f>
        <v>7.4959999999999999E-2</v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320</v>
      </c>
      <c r="B199" s="55" t="s">
        <v>321</v>
      </c>
      <c r="C199" s="32">
        <v>4301011329</v>
      </c>
      <c r="D199" s="384">
        <v>4607091387308</v>
      </c>
      <c r="E199" s="328"/>
      <c r="F199" s="303">
        <v>0.5</v>
      </c>
      <c r="G199" s="33">
        <v>10</v>
      </c>
      <c r="H199" s="303">
        <v>5</v>
      </c>
      <c r="I199" s="303">
        <v>5.21</v>
      </c>
      <c r="J199" s="33">
        <v>120</v>
      </c>
      <c r="K199" s="34" t="s">
        <v>62</v>
      </c>
      <c r="L199" s="33">
        <v>55</v>
      </c>
      <c r="M199" s="49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9" s="386"/>
      <c r="O199" s="386"/>
      <c r="P199" s="386"/>
      <c r="Q199" s="328"/>
      <c r="R199" s="35"/>
      <c r="S199" s="35"/>
      <c r="T199" s="36" t="s">
        <v>63</v>
      </c>
      <c r="U199" s="304">
        <v>0</v>
      </c>
      <c r="V199" s="305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322</v>
      </c>
      <c r="B200" s="55" t="s">
        <v>323</v>
      </c>
      <c r="C200" s="32">
        <v>4301011049</v>
      </c>
      <c r="D200" s="384">
        <v>4607091387339</v>
      </c>
      <c r="E200" s="328"/>
      <c r="F200" s="303">
        <v>0.5</v>
      </c>
      <c r="G200" s="33">
        <v>10</v>
      </c>
      <c r="H200" s="303">
        <v>5</v>
      </c>
      <c r="I200" s="303">
        <v>5.24</v>
      </c>
      <c r="J200" s="33">
        <v>120</v>
      </c>
      <c r="K200" s="34" t="s">
        <v>96</v>
      </c>
      <c r="L200" s="33">
        <v>55</v>
      </c>
      <c r="M200" s="5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0" s="386"/>
      <c r="O200" s="386"/>
      <c r="P200" s="386"/>
      <c r="Q200" s="328"/>
      <c r="R200" s="35"/>
      <c r="S200" s="35"/>
      <c r="T200" s="36" t="s">
        <v>63</v>
      </c>
      <c r="U200" s="304">
        <v>2.5</v>
      </c>
      <c r="V200" s="305">
        <f t="shared" si="10"/>
        <v>5</v>
      </c>
      <c r="W200" s="37">
        <f t="shared" si="11"/>
        <v>9.3699999999999999E-3</v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324</v>
      </c>
      <c r="B201" s="55" t="s">
        <v>325</v>
      </c>
      <c r="C201" s="32">
        <v>4301011433</v>
      </c>
      <c r="D201" s="384">
        <v>4680115882638</v>
      </c>
      <c r="E201" s="328"/>
      <c r="F201" s="303">
        <v>0.4</v>
      </c>
      <c r="G201" s="33">
        <v>10</v>
      </c>
      <c r="H201" s="303">
        <v>4</v>
      </c>
      <c r="I201" s="303">
        <v>4.24</v>
      </c>
      <c r="J201" s="33">
        <v>120</v>
      </c>
      <c r="K201" s="34" t="s">
        <v>96</v>
      </c>
      <c r="L201" s="33">
        <v>90</v>
      </c>
      <c r="M201" s="50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1" s="386"/>
      <c r="O201" s="386"/>
      <c r="P201" s="386"/>
      <c r="Q201" s="328"/>
      <c r="R201" s="35"/>
      <c r="S201" s="35"/>
      <c r="T201" s="36" t="s">
        <v>63</v>
      </c>
      <c r="U201" s="304">
        <v>0</v>
      </c>
      <c r="V201" s="305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326</v>
      </c>
      <c r="B202" s="55" t="s">
        <v>327</v>
      </c>
      <c r="C202" s="32">
        <v>4301011573</v>
      </c>
      <c r="D202" s="384">
        <v>4680115881938</v>
      </c>
      <c r="E202" s="328"/>
      <c r="F202" s="303">
        <v>0.4</v>
      </c>
      <c r="G202" s="33">
        <v>10</v>
      </c>
      <c r="H202" s="303">
        <v>4</v>
      </c>
      <c r="I202" s="303">
        <v>4.24</v>
      </c>
      <c r="J202" s="33">
        <v>120</v>
      </c>
      <c r="K202" s="34" t="s">
        <v>96</v>
      </c>
      <c r="L202" s="33">
        <v>90</v>
      </c>
      <c r="M202" s="5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2" s="386"/>
      <c r="O202" s="386"/>
      <c r="P202" s="386"/>
      <c r="Q202" s="328"/>
      <c r="R202" s="35"/>
      <c r="S202" s="35"/>
      <c r="T202" s="36" t="s">
        <v>63</v>
      </c>
      <c r="U202" s="304">
        <v>0</v>
      </c>
      <c r="V202" s="305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328</v>
      </c>
      <c r="B203" s="55" t="s">
        <v>329</v>
      </c>
      <c r="C203" s="32">
        <v>4301010944</v>
      </c>
      <c r="D203" s="384">
        <v>4607091387346</v>
      </c>
      <c r="E203" s="328"/>
      <c r="F203" s="303">
        <v>0.4</v>
      </c>
      <c r="G203" s="33">
        <v>10</v>
      </c>
      <c r="H203" s="303">
        <v>4</v>
      </c>
      <c r="I203" s="303">
        <v>4.24</v>
      </c>
      <c r="J203" s="33">
        <v>120</v>
      </c>
      <c r="K203" s="34" t="s">
        <v>96</v>
      </c>
      <c r="L203" s="33">
        <v>55</v>
      </c>
      <c r="M203" s="50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3" s="386"/>
      <c r="O203" s="386"/>
      <c r="P203" s="386"/>
      <c r="Q203" s="328"/>
      <c r="R203" s="35"/>
      <c r="S203" s="35"/>
      <c r="T203" s="36" t="s">
        <v>63</v>
      </c>
      <c r="U203" s="304">
        <v>0</v>
      </c>
      <c r="V203" s="305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330</v>
      </c>
      <c r="B204" s="55" t="s">
        <v>331</v>
      </c>
      <c r="C204" s="32">
        <v>4301011353</v>
      </c>
      <c r="D204" s="384">
        <v>4607091389807</v>
      </c>
      <c r="E204" s="328"/>
      <c r="F204" s="303">
        <v>0.4</v>
      </c>
      <c r="G204" s="33">
        <v>10</v>
      </c>
      <c r="H204" s="303">
        <v>4</v>
      </c>
      <c r="I204" s="303">
        <v>4.24</v>
      </c>
      <c r="J204" s="33">
        <v>120</v>
      </c>
      <c r="K204" s="34" t="s">
        <v>96</v>
      </c>
      <c r="L204" s="33">
        <v>55</v>
      </c>
      <c r="M204" s="50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4" s="386"/>
      <c r="O204" s="386"/>
      <c r="P204" s="386"/>
      <c r="Q204" s="328"/>
      <c r="R204" s="35"/>
      <c r="S204" s="35"/>
      <c r="T204" s="36" t="s">
        <v>63</v>
      </c>
      <c r="U204" s="304">
        <v>0</v>
      </c>
      <c r="V204" s="305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x14ac:dyDescent="0.2">
      <c r="A205" s="388"/>
      <c r="B205" s="312"/>
      <c r="C205" s="312"/>
      <c r="D205" s="312"/>
      <c r="E205" s="312"/>
      <c r="F205" s="312"/>
      <c r="G205" s="312"/>
      <c r="H205" s="312"/>
      <c r="I205" s="312"/>
      <c r="J205" s="312"/>
      <c r="K205" s="312"/>
      <c r="L205" s="389"/>
      <c r="M205" s="387" t="s">
        <v>64</v>
      </c>
      <c r="N205" s="340"/>
      <c r="O205" s="340"/>
      <c r="P205" s="340"/>
      <c r="Q205" s="340"/>
      <c r="R205" s="340"/>
      <c r="S205" s="341"/>
      <c r="T205" s="38" t="s">
        <v>65</v>
      </c>
      <c r="U205" s="306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>19.111111111111111</v>
      </c>
      <c r="V205" s="306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>21</v>
      </c>
      <c r="W205" s="306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>0.34533000000000003</v>
      </c>
      <c r="X205" s="307"/>
      <c r="Y205" s="307"/>
    </row>
    <row r="206" spans="1:52" x14ac:dyDescent="0.2">
      <c r="A206" s="312"/>
      <c r="B206" s="312"/>
      <c r="C206" s="312"/>
      <c r="D206" s="312"/>
      <c r="E206" s="312"/>
      <c r="F206" s="312"/>
      <c r="G206" s="312"/>
      <c r="H206" s="312"/>
      <c r="I206" s="312"/>
      <c r="J206" s="312"/>
      <c r="K206" s="312"/>
      <c r="L206" s="389"/>
      <c r="M206" s="387" t="s">
        <v>64</v>
      </c>
      <c r="N206" s="340"/>
      <c r="O206" s="340"/>
      <c r="P206" s="340"/>
      <c r="Q206" s="340"/>
      <c r="R206" s="340"/>
      <c r="S206" s="341"/>
      <c r="T206" s="38" t="s">
        <v>63</v>
      </c>
      <c r="U206" s="306">
        <f>IFERROR(SUM(U190:U204),"0")</f>
        <v>160</v>
      </c>
      <c r="V206" s="306">
        <f>IFERROR(SUM(V190:V204),"0")</f>
        <v>174.60000000000002</v>
      </c>
      <c r="W206" s="38"/>
      <c r="X206" s="307"/>
      <c r="Y206" s="307"/>
    </row>
    <row r="207" spans="1:52" ht="14.25" customHeight="1" x14ac:dyDescent="0.25">
      <c r="A207" s="383" t="s">
        <v>93</v>
      </c>
      <c r="B207" s="312"/>
      <c r="C207" s="312"/>
      <c r="D207" s="312"/>
      <c r="E207" s="312"/>
      <c r="F207" s="312"/>
      <c r="G207" s="312"/>
      <c r="H207" s="312"/>
      <c r="I207" s="312"/>
      <c r="J207" s="312"/>
      <c r="K207" s="312"/>
      <c r="L207" s="312"/>
      <c r="M207" s="312"/>
      <c r="N207" s="312"/>
      <c r="O207" s="312"/>
      <c r="P207" s="312"/>
      <c r="Q207" s="312"/>
      <c r="R207" s="312"/>
      <c r="S207" s="312"/>
      <c r="T207" s="312"/>
      <c r="U207" s="312"/>
      <c r="V207" s="312"/>
      <c r="W207" s="312"/>
      <c r="X207" s="300"/>
      <c r="Y207" s="300"/>
    </row>
    <row r="208" spans="1:52" ht="27" customHeight="1" x14ac:dyDescent="0.25">
      <c r="A208" s="55" t="s">
        <v>332</v>
      </c>
      <c r="B208" s="55" t="s">
        <v>333</v>
      </c>
      <c r="C208" s="32">
        <v>4301020254</v>
      </c>
      <c r="D208" s="384">
        <v>4680115881914</v>
      </c>
      <c r="E208" s="328"/>
      <c r="F208" s="303">
        <v>0.4</v>
      </c>
      <c r="G208" s="33">
        <v>10</v>
      </c>
      <c r="H208" s="303">
        <v>4</v>
      </c>
      <c r="I208" s="303">
        <v>4.24</v>
      </c>
      <c r="J208" s="33">
        <v>120</v>
      </c>
      <c r="K208" s="34" t="s">
        <v>96</v>
      </c>
      <c r="L208" s="33">
        <v>90</v>
      </c>
      <c r="M208" s="50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8" s="386"/>
      <c r="O208" s="386"/>
      <c r="P208" s="386"/>
      <c r="Q208" s="328"/>
      <c r="R208" s="35"/>
      <c r="S208" s="35"/>
      <c r="T208" s="36" t="s">
        <v>63</v>
      </c>
      <c r="U208" s="304">
        <v>0</v>
      </c>
      <c r="V208" s="305">
        <f>IFERROR(IF(U208="",0,CEILING((U208/$H208),1)*$H208),"")</f>
        <v>0</v>
      </c>
      <c r="W208" s="37" t="str">
        <f>IFERROR(IF(V208=0,"",ROUNDUP(V208/H208,0)*0.00937),"")</f>
        <v/>
      </c>
      <c r="X208" s="57"/>
      <c r="Y208" s="58"/>
      <c r="AC208" s="59"/>
      <c r="AZ208" s="176" t="s">
        <v>1</v>
      </c>
    </row>
    <row r="209" spans="1:52" x14ac:dyDescent="0.2">
      <c r="A209" s="388"/>
      <c r="B209" s="312"/>
      <c r="C209" s="312"/>
      <c r="D209" s="312"/>
      <c r="E209" s="312"/>
      <c r="F209" s="312"/>
      <c r="G209" s="312"/>
      <c r="H209" s="312"/>
      <c r="I209" s="312"/>
      <c r="J209" s="312"/>
      <c r="K209" s="312"/>
      <c r="L209" s="389"/>
      <c r="M209" s="387" t="s">
        <v>64</v>
      </c>
      <c r="N209" s="340"/>
      <c r="O209" s="340"/>
      <c r="P209" s="340"/>
      <c r="Q209" s="340"/>
      <c r="R209" s="340"/>
      <c r="S209" s="341"/>
      <c r="T209" s="38" t="s">
        <v>65</v>
      </c>
      <c r="U209" s="306">
        <f>IFERROR(U208/H208,"0")</f>
        <v>0</v>
      </c>
      <c r="V209" s="306">
        <f>IFERROR(V208/H208,"0")</f>
        <v>0</v>
      </c>
      <c r="W209" s="306">
        <f>IFERROR(IF(W208="",0,W208),"0")</f>
        <v>0</v>
      </c>
      <c r="X209" s="307"/>
      <c r="Y209" s="307"/>
    </row>
    <row r="210" spans="1:52" x14ac:dyDescent="0.2">
      <c r="A210" s="312"/>
      <c r="B210" s="312"/>
      <c r="C210" s="312"/>
      <c r="D210" s="312"/>
      <c r="E210" s="312"/>
      <c r="F210" s="312"/>
      <c r="G210" s="312"/>
      <c r="H210" s="312"/>
      <c r="I210" s="312"/>
      <c r="J210" s="312"/>
      <c r="K210" s="312"/>
      <c r="L210" s="389"/>
      <c r="M210" s="387" t="s">
        <v>64</v>
      </c>
      <c r="N210" s="340"/>
      <c r="O210" s="340"/>
      <c r="P210" s="340"/>
      <c r="Q210" s="340"/>
      <c r="R210" s="340"/>
      <c r="S210" s="341"/>
      <c r="T210" s="38" t="s">
        <v>63</v>
      </c>
      <c r="U210" s="306">
        <f>IFERROR(SUM(U208:U208),"0")</f>
        <v>0</v>
      </c>
      <c r="V210" s="306">
        <f>IFERROR(SUM(V208:V208),"0")</f>
        <v>0</v>
      </c>
      <c r="W210" s="38"/>
      <c r="X210" s="307"/>
      <c r="Y210" s="307"/>
    </row>
    <row r="211" spans="1:52" ht="14.25" customHeight="1" x14ac:dyDescent="0.25">
      <c r="A211" s="383" t="s">
        <v>59</v>
      </c>
      <c r="B211" s="312"/>
      <c r="C211" s="312"/>
      <c r="D211" s="312"/>
      <c r="E211" s="312"/>
      <c r="F211" s="312"/>
      <c r="G211" s="312"/>
      <c r="H211" s="312"/>
      <c r="I211" s="312"/>
      <c r="J211" s="312"/>
      <c r="K211" s="312"/>
      <c r="L211" s="312"/>
      <c r="M211" s="312"/>
      <c r="N211" s="312"/>
      <c r="O211" s="312"/>
      <c r="P211" s="312"/>
      <c r="Q211" s="312"/>
      <c r="R211" s="312"/>
      <c r="S211" s="312"/>
      <c r="T211" s="312"/>
      <c r="U211" s="312"/>
      <c r="V211" s="312"/>
      <c r="W211" s="312"/>
      <c r="X211" s="300"/>
      <c r="Y211" s="300"/>
    </row>
    <row r="212" spans="1:52" ht="27" customHeight="1" x14ac:dyDescent="0.25">
      <c r="A212" s="55" t="s">
        <v>334</v>
      </c>
      <c r="B212" s="55" t="s">
        <v>335</v>
      </c>
      <c r="C212" s="32">
        <v>4301030878</v>
      </c>
      <c r="D212" s="384">
        <v>4607091387193</v>
      </c>
      <c r="E212" s="328"/>
      <c r="F212" s="303">
        <v>0.7</v>
      </c>
      <c r="G212" s="33">
        <v>6</v>
      </c>
      <c r="H212" s="303">
        <v>4.2</v>
      </c>
      <c r="I212" s="303">
        <v>4.46</v>
      </c>
      <c r="J212" s="33">
        <v>156</v>
      </c>
      <c r="K212" s="34" t="s">
        <v>62</v>
      </c>
      <c r="L212" s="33">
        <v>35</v>
      </c>
      <c r="M212" s="50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2" s="386"/>
      <c r="O212" s="386"/>
      <c r="P212" s="386"/>
      <c r="Q212" s="328"/>
      <c r="R212" s="35"/>
      <c r="S212" s="35"/>
      <c r="T212" s="36" t="s">
        <v>63</v>
      </c>
      <c r="U212" s="304">
        <v>0</v>
      </c>
      <c r="V212" s="305">
        <f>IFERROR(IF(U212="",0,CEILING((U212/$H212),1)*$H212),"")</f>
        <v>0</v>
      </c>
      <c r="W212" s="37" t="str">
        <f>IFERROR(IF(V212=0,"",ROUNDUP(V212/H212,0)*0.00753),"")</f>
        <v/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336</v>
      </c>
      <c r="B213" s="55" t="s">
        <v>337</v>
      </c>
      <c r="C213" s="32">
        <v>4301031153</v>
      </c>
      <c r="D213" s="384">
        <v>4607091387230</v>
      </c>
      <c r="E213" s="328"/>
      <c r="F213" s="303">
        <v>0.7</v>
      </c>
      <c r="G213" s="33">
        <v>6</v>
      </c>
      <c r="H213" s="303">
        <v>4.2</v>
      </c>
      <c r="I213" s="303">
        <v>4.46</v>
      </c>
      <c r="J213" s="33">
        <v>156</v>
      </c>
      <c r="K213" s="34" t="s">
        <v>62</v>
      </c>
      <c r="L213" s="33">
        <v>40</v>
      </c>
      <c r="M213" s="5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3" s="386"/>
      <c r="O213" s="386"/>
      <c r="P213" s="386"/>
      <c r="Q213" s="328"/>
      <c r="R213" s="35"/>
      <c r="S213" s="35"/>
      <c r="T213" s="36" t="s">
        <v>63</v>
      </c>
      <c r="U213" s="304">
        <v>80</v>
      </c>
      <c r="V213" s="305">
        <f>IFERROR(IF(U213="",0,CEILING((U213/$H213),1)*$H213),"")</f>
        <v>84</v>
      </c>
      <c r="W213" s="37">
        <f>IFERROR(IF(V213=0,"",ROUNDUP(V213/H213,0)*0.00753),"")</f>
        <v>0.15060000000000001</v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338</v>
      </c>
      <c r="B214" s="55" t="s">
        <v>339</v>
      </c>
      <c r="C214" s="32">
        <v>4301031152</v>
      </c>
      <c r="D214" s="384">
        <v>4607091387285</v>
      </c>
      <c r="E214" s="328"/>
      <c r="F214" s="303">
        <v>0.35</v>
      </c>
      <c r="G214" s="33">
        <v>6</v>
      </c>
      <c r="H214" s="303">
        <v>2.1</v>
      </c>
      <c r="I214" s="303">
        <v>2.23</v>
      </c>
      <c r="J214" s="33">
        <v>234</v>
      </c>
      <c r="K214" s="34" t="s">
        <v>62</v>
      </c>
      <c r="L214" s="33">
        <v>40</v>
      </c>
      <c r="M214" s="5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4" s="386"/>
      <c r="O214" s="386"/>
      <c r="P214" s="386"/>
      <c r="Q214" s="328"/>
      <c r="R214" s="35"/>
      <c r="S214" s="35"/>
      <c r="T214" s="36" t="s">
        <v>63</v>
      </c>
      <c r="U214" s="304">
        <v>3.5</v>
      </c>
      <c r="V214" s="305">
        <f>IFERROR(IF(U214="",0,CEILING((U214/$H214),1)*$H214),"")</f>
        <v>4.2</v>
      </c>
      <c r="W214" s="37">
        <f>IFERROR(IF(V214=0,"",ROUNDUP(V214/H214,0)*0.00502),"")</f>
        <v>1.004E-2</v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340</v>
      </c>
      <c r="B215" s="55" t="s">
        <v>341</v>
      </c>
      <c r="C215" s="32">
        <v>4301031151</v>
      </c>
      <c r="D215" s="384">
        <v>4607091389845</v>
      </c>
      <c r="E215" s="328"/>
      <c r="F215" s="303">
        <v>0.35</v>
      </c>
      <c r="G215" s="33">
        <v>6</v>
      </c>
      <c r="H215" s="303">
        <v>2.1</v>
      </c>
      <c r="I215" s="303">
        <v>2.2000000000000002</v>
      </c>
      <c r="J215" s="33">
        <v>234</v>
      </c>
      <c r="K215" s="34" t="s">
        <v>62</v>
      </c>
      <c r="L215" s="33">
        <v>40</v>
      </c>
      <c r="M215" s="50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5" s="386"/>
      <c r="O215" s="386"/>
      <c r="P215" s="386"/>
      <c r="Q215" s="328"/>
      <c r="R215" s="35"/>
      <c r="S215" s="35"/>
      <c r="T215" s="36" t="s">
        <v>63</v>
      </c>
      <c r="U215" s="304">
        <v>1.75</v>
      </c>
      <c r="V215" s="305">
        <f>IFERROR(IF(U215="",0,CEILING((U215/$H215),1)*$H215),"")</f>
        <v>2.1</v>
      </c>
      <c r="W215" s="37">
        <f>IFERROR(IF(V215=0,"",ROUNDUP(V215/H215,0)*0.00502),"")</f>
        <v>5.0200000000000002E-3</v>
      </c>
      <c r="X215" s="57"/>
      <c r="Y215" s="58"/>
      <c r="AC215" s="59"/>
      <c r="AZ215" s="180" t="s">
        <v>1</v>
      </c>
    </row>
    <row r="216" spans="1:52" x14ac:dyDescent="0.2">
      <c r="A216" s="388"/>
      <c r="B216" s="312"/>
      <c r="C216" s="312"/>
      <c r="D216" s="312"/>
      <c r="E216" s="312"/>
      <c r="F216" s="312"/>
      <c r="G216" s="312"/>
      <c r="H216" s="312"/>
      <c r="I216" s="312"/>
      <c r="J216" s="312"/>
      <c r="K216" s="312"/>
      <c r="L216" s="389"/>
      <c r="M216" s="387" t="s">
        <v>64</v>
      </c>
      <c r="N216" s="340"/>
      <c r="O216" s="340"/>
      <c r="P216" s="340"/>
      <c r="Q216" s="340"/>
      <c r="R216" s="340"/>
      <c r="S216" s="341"/>
      <c r="T216" s="38" t="s">
        <v>65</v>
      </c>
      <c r="U216" s="306">
        <f>IFERROR(U212/H212,"0")+IFERROR(U213/H213,"0")+IFERROR(U214/H214,"0")+IFERROR(U215/H215,"0")</f>
        <v>21.547619047619047</v>
      </c>
      <c r="V216" s="306">
        <f>IFERROR(V212/H212,"0")+IFERROR(V213/H213,"0")+IFERROR(V214/H214,"0")+IFERROR(V215/H215,"0")</f>
        <v>23</v>
      </c>
      <c r="W216" s="306">
        <f>IFERROR(IF(W212="",0,W212),"0")+IFERROR(IF(W213="",0,W213),"0")+IFERROR(IF(W214="",0,W214),"0")+IFERROR(IF(W215="",0,W215),"0")</f>
        <v>0.16566</v>
      </c>
      <c r="X216" s="307"/>
      <c r="Y216" s="307"/>
    </row>
    <row r="217" spans="1:52" x14ac:dyDescent="0.2">
      <c r="A217" s="312"/>
      <c r="B217" s="312"/>
      <c r="C217" s="312"/>
      <c r="D217" s="312"/>
      <c r="E217" s="312"/>
      <c r="F217" s="312"/>
      <c r="G217" s="312"/>
      <c r="H217" s="312"/>
      <c r="I217" s="312"/>
      <c r="J217" s="312"/>
      <c r="K217" s="312"/>
      <c r="L217" s="389"/>
      <c r="M217" s="387" t="s">
        <v>64</v>
      </c>
      <c r="N217" s="340"/>
      <c r="O217" s="340"/>
      <c r="P217" s="340"/>
      <c r="Q217" s="340"/>
      <c r="R217" s="340"/>
      <c r="S217" s="341"/>
      <c r="T217" s="38" t="s">
        <v>63</v>
      </c>
      <c r="U217" s="306">
        <f>IFERROR(SUM(U212:U215),"0")</f>
        <v>85.25</v>
      </c>
      <c r="V217" s="306">
        <f>IFERROR(SUM(V212:V215),"0")</f>
        <v>90.3</v>
      </c>
      <c r="W217" s="38"/>
      <c r="X217" s="307"/>
      <c r="Y217" s="307"/>
    </row>
    <row r="218" spans="1:52" ht="14.25" customHeight="1" x14ac:dyDescent="0.25">
      <c r="A218" s="383" t="s">
        <v>66</v>
      </c>
      <c r="B218" s="312"/>
      <c r="C218" s="312"/>
      <c r="D218" s="312"/>
      <c r="E218" s="312"/>
      <c r="F218" s="312"/>
      <c r="G218" s="312"/>
      <c r="H218" s="312"/>
      <c r="I218" s="312"/>
      <c r="J218" s="312"/>
      <c r="K218" s="312"/>
      <c r="L218" s="312"/>
      <c r="M218" s="312"/>
      <c r="N218" s="312"/>
      <c r="O218" s="312"/>
      <c r="P218" s="312"/>
      <c r="Q218" s="312"/>
      <c r="R218" s="312"/>
      <c r="S218" s="312"/>
      <c r="T218" s="312"/>
      <c r="U218" s="312"/>
      <c r="V218" s="312"/>
      <c r="W218" s="312"/>
      <c r="X218" s="300"/>
      <c r="Y218" s="300"/>
    </row>
    <row r="219" spans="1:52" ht="16.5" customHeight="1" x14ac:dyDescent="0.25">
      <c r="A219" s="55" t="s">
        <v>342</v>
      </c>
      <c r="B219" s="55" t="s">
        <v>343</v>
      </c>
      <c r="C219" s="32">
        <v>4301051101</v>
      </c>
      <c r="D219" s="384">
        <v>4607091387766</v>
      </c>
      <c r="E219" s="328"/>
      <c r="F219" s="303">
        <v>1.35</v>
      </c>
      <c r="G219" s="33">
        <v>6</v>
      </c>
      <c r="H219" s="303">
        <v>8.1</v>
      </c>
      <c r="I219" s="303">
        <v>8.6579999999999995</v>
      </c>
      <c r="J219" s="33">
        <v>56</v>
      </c>
      <c r="K219" s="34" t="s">
        <v>62</v>
      </c>
      <c r="L219" s="33">
        <v>40</v>
      </c>
      <c r="M219" s="5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9" s="386"/>
      <c r="O219" s="386"/>
      <c r="P219" s="386"/>
      <c r="Q219" s="328"/>
      <c r="R219" s="35"/>
      <c r="S219" s="35"/>
      <c r="T219" s="36" t="s">
        <v>63</v>
      </c>
      <c r="U219" s="304">
        <v>0</v>
      </c>
      <c r="V219" s="305">
        <f t="shared" ref="V219:V224" si="12">IFERROR(IF(U219="",0,CEILING((U219/$H219),1)*$H219),"")</f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344</v>
      </c>
      <c r="B220" s="55" t="s">
        <v>345</v>
      </c>
      <c r="C220" s="32">
        <v>4301051116</v>
      </c>
      <c r="D220" s="384">
        <v>4607091387957</v>
      </c>
      <c r="E220" s="328"/>
      <c r="F220" s="303">
        <v>1.3</v>
      </c>
      <c r="G220" s="33">
        <v>6</v>
      </c>
      <c r="H220" s="303">
        <v>7.8</v>
      </c>
      <c r="I220" s="303">
        <v>8.3640000000000008</v>
      </c>
      <c r="J220" s="33">
        <v>56</v>
      </c>
      <c r="K220" s="34" t="s">
        <v>62</v>
      </c>
      <c r="L220" s="33">
        <v>40</v>
      </c>
      <c r="M220" s="51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0" s="386"/>
      <c r="O220" s="386"/>
      <c r="P220" s="386"/>
      <c r="Q220" s="328"/>
      <c r="R220" s="35"/>
      <c r="S220" s="35"/>
      <c r="T220" s="36" t="s">
        <v>63</v>
      </c>
      <c r="U220" s="304">
        <v>0</v>
      </c>
      <c r="V220" s="305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346</v>
      </c>
      <c r="B221" s="55" t="s">
        <v>347</v>
      </c>
      <c r="C221" s="32">
        <v>4301051115</v>
      </c>
      <c r="D221" s="384">
        <v>4607091387964</v>
      </c>
      <c r="E221" s="328"/>
      <c r="F221" s="303">
        <v>1.35</v>
      </c>
      <c r="G221" s="33">
        <v>6</v>
      </c>
      <c r="H221" s="303">
        <v>8.1</v>
      </c>
      <c r="I221" s="303">
        <v>8.6460000000000008</v>
      </c>
      <c r="J221" s="33">
        <v>56</v>
      </c>
      <c r="K221" s="34" t="s">
        <v>62</v>
      </c>
      <c r="L221" s="33">
        <v>40</v>
      </c>
      <c r="M221" s="5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1" s="386"/>
      <c r="O221" s="386"/>
      <c r="P221" s="386"/>
      <c r="Q221" s="328"/>
      <c r="R221" s="35"/>
      <c r="S221" s="35"/>
      <c r="T221" s="36" t="s">
        <v>63</v>
      </c>
      <c r="U221" s="304">
        <v>0</v>
      </c>
      <c r="V221" s="305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16.5" customHeight="1" x14ac:dyDescent="0.25">
      <c r="A222" s="55" t="s">
        <v>348</v>
      </c>
      <c r="B222" s="55" t="s">
        <v>349</v>
      </c>
      <c r="C222" s="32">
        <v>4301051134</v>
      </c>
      <c r="D222" s="384">
        <v>4607091381672</v>
      </c>
      <c r="E222" s="328"/>
      <c r="F222" s="303">
        <v>0.6</v>
      </c>
      <c r="G222" s="33">
        <v>6</v>
      </c>
      <c r="H222" s="303">
        <v>3.6</v>
      </c>
      <c r="I222" s="303">
        <v>3.8759999999999999</v>
      </c>
      <c r="J222" s="33">
        <v>120</v>
      </c>
      <c r="K222" s="34" t="s">
        <v>62</v>
      </c>
      <c r="L222" s="33">
        <v>40</v>
      </c>
      <c r="M222" s="51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2" s="386"/>
      <c r="O222" s="386"/>
      <c r="P222" s="386"/>
      <c r="Q222" s="328"/>
      <c r="R222" s="35"/>
      <c r="S222" s="35"/>
      <c r="T222" s="36" t="s">
        <v>63</v>
      </c>
      <c r="U222" s="304">
        <v>48</v>
      </c>
      <c r="V222" s="305">
        <f t="shared" si="12"/>
        <v>50.4</v>
      </c>
      <c r="W222" s="37">
        <f>IFERROR(IF(V222=0,"",ROUNDUP(V222/H222,0)*0.00937),"")</f>
        <v>0.13117999999999999</v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350</v>
      </c>
      <c r="B223" s="55" t="s">
        <v>351</v>
      </c>
      <c r="C223" s="32">
        <v>4301051130</v>
      </c>
      <c r="D223" s="384">
        <v>4607091387537</v>
      </c>
      <c r="E223" s="328"/>
      <c r="F223" s="303">
        <v>0.45</v>
      </c>
      <c r="G223" s="33">
        <v>6</v>
      </c>
      <c r="H223" s="303">
        <v>2.7</v>
      </c>
      <c r="I223" s="303">
        <v>2.99</v>
      </c>
      <c r="J223" s="33">
        <v>156</v>
      </c>
      <c r="K223" s="34" t="s">
        <v>62</v>
      </c>
      <c r="L223" s="33">
        <v>40</v>
      </c>
      <c r="M223" s="51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3" s="386"/>
      <c r="O223" s="386"/>
      <c r="P223" s="386"/>
      <c r="Q223" s="328"/>
      <c r="R223" s="35"/>
      <c r="S223" s="35"/>
      <c r="T223" s="36" t="s">
        <v>63</v>
      </c>
      <c r="U223" s="304">
        <v>0</v>
      </c>
      <c r="V223" s="305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352</v>
      </c>
      <c r="B224" s="55" t="s">
        <v>353</v>
      </c>
      <c r="C224" s="32">
        <v>4301051132</v>
      </c>
      <c r="D224" s="384">
        <v>4607091387513</v>
      </c>
      <c r="E224" s="328"/>
      <c r="F224" s="303">
        <v>0.45</v>
      </c>
      <c r="G224" s="33">
        <v>6</v>
      </c>
      <c r="H224" s="303">
        <v>2.7</v>
      </c>
      <c r="I224" s="303">
        <v>2.9780000000000002</v>
      </c>
      <c r="J224" s="33">
        <v>156</v>
      </c>
      <c r="K224" s="34" t="s">
        <v>62</v>
      </c>
      <c r="L224" s="33">
        <v>40</v>
      </c>
      <c r="M224" s="5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4" s="386"/>
      <c r="O224" s="386"/>
      <c r="P224" s="386"/>
      <c r="Q224" s="328"/>
      <c r="R224" s="35"/>
      <c r="S224" s="35"/>
      <c r="T224" s="36" t="s">
        <v>63</v>
      </c>
      <c r="U224" s="304">
        <v>0</v>
      </c>
      <c r="V224" s="305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x14ac:dyDescent="0.2">
      <c r="A225" s="388"/>
      <c r="B225" s="312"/>
      <c r="C225" s="312"/>
      <c r="D225" s="312"/>
      <c r="E225" s="312"/>
      <c r="F225" s="312"/>
      <c r="G225" s="312"/>
      <c r="H225" s="312"/>
      <c r="I225" s="312"/>
      <c r="J225" s="312"/>
      <c r="K225" s="312"/>
      <c r="L225" s="389"/>
      <c r="M225" s="387" t="s">
        <v>64</v>
      </c>
      <c r="N225" s="340"/>
      <c r="O225" s="340"/>
      <c r="P225" s="340"/>
      <c r="Q225" s="340"/>
      <c r="R225" s="340"/>
      <c r="S225" s="341"/>
      <c r="T225" s="38" t="s">
        <v>65</v>
      </c>
      <c r="U225" s="306">
        <f>IFERROR(U219/H219,"0")+IFERROR(U220/H220,"0")+IFERROR(U221/H221,"0")+IFERROR(U222/H222,"0")+IFERROR(U223/H223,"0")+IFERROR(U224/H224,"0")</f>
        <v>13.333333333333332</v>
      </c>
      <c r="V225" s="306">
        <f>IFERROR(V219/H219,"0")+IFERROR(V220/H220,"0")+IFERROR(V221/H221,"0")+IFERROR(V222/H222,"0")+IFERROR(V223/H223,"0")+IFERROR(V224/H224,"0")</f>
        <v>14</v>
      </c>
      <c r="W225" s="306">
        <f>IFERROR(IF(W219="",0,W219),"0")+IFERROR(IF(W220="",0,W220),"0")+IFERROR(IF(W221="",0,W221),"0")+IFERROR(IF(W222="",0,W222),"0")+IFERROR(IF(W223="",0,W223),"0")+IFERROR(IF(W224="",0,W224),"0")</f>
        <v>0.13117999999999999</v>
      </c>
      <c r="X225" s="307"/>
      <c r="Y225" s="307"/>
    </row>
    <row r="226" spans="1:52" x14ac:dyDescent="0.2">
      <c r="A226" s="312"/>
      <c r="B226" s="312"/>
      <c r="C226" s="312"/>
      <c r="D226" s="312"/>
      <c r="E226" s="312"/>
      <c r="F226" s="312"/>
      <c r="G226" s="312"/>
      <c r="H226" s="312"/>
      <c r="I226" s="312"/>
      <c r="J226" s="312"/>
      <c r="K226" s="312"/>
      <c r="L226" s="389"/>
      <c r="M226" s="387" t="s">
        <v>64</v>
      </c>
      <c r="N226" s="340"/>
      <c r="O226" s="340"/>
      <c r="P226" s="340"/>
      <c r="Q226" s="340"/>
      <c r="R226" s="340"/>
      <c r="S226" s="341"/>
      <c r="T226" s="38" t="s">
        <v>63</v>
      </c>
      <c r="U226" s="306">
        <f>IFERROR(SUM(U219:U224),"0")</f>
        <v>48</v>
      </c>
      <c r="V226" s="306">
        <f>IFERROR(SUM(V219:V224),"0")</f>
        <v>50.4</v>
      </c>
      <c r="W226" s="38"/>
      <c r="X226" s="307"/>
      <c r="Y226" s="307"/>
    </row>
    <row r="227" spans="1:52" ht="14.25" customHeight="1" x14ac:dyDescent="0.25">
      <c r="A227" s="383" t="s">
        <v>198</v>
      </c>
      <c r="B227" s="312"/>
      <c r="C227" s="312"/>
      <c r="D227" s="312"/>
      <c r="E227" s="312"/>
      <c r="F227" s="312"/>
      <c r="G227" s="312"/>
      <c r="H227" s="312"/>
      <c r="I227" s="312"/>
      <c r="J227" s="312"/>
      <c r="K227" s="312"/>
      <c r="L227" s="312"/>
      <c r="M227" s="312"/>
      <c r="N227" s="312"/>
      <c r="O227" s="312"/>
      <c r="P227" s="312"/>
      <c r="Q227" s="312"/>
      <c r="R227" s="312"/>
      <c r="S227" s="312"/>
      <c r="T227" s="312"/>
      <c r="U227" s="312"/>
      <c r="V227" s="312"/>
      <c r="W227" s="312"/>
      <c r="X227" s="300"/>
      <c r="Y227" s="300"/>
    </row>
    <row r="228" spans="1:52" ht="16.5" customHeight="1" x14ac:dyDescent="0.25">
      <c r="A228" s="55" t="s">
        <v>354</v>
      </c>
      <c r="B228" s="55" t="s">
        <v>355</v>
      </c>
      <c r="C228" s="32">
        <v>4301060326</v>
      </c>
      <c r="D228" s="384">
        <v>4607091380880</v>
      </c>
      <c r="E228" s="328"/>
      <c r="F228" s="303">
        <v>1.4</v>
      </c>
      <c r="G228" s="33">
        <v>6</v>
      </c>
      <c r="H228" s="303">
        <v>8.4</v>
      </c>
      <c r="I228" s="303">
        <v>8.9640000000000004</v>
      </c>
      <c r="J228" s="33">
        <v>56</v>
      </c>
      <c r="K228" s="34" t="s">
        <v>62</v>
      </c>
      <c r="L228" s="33">
        <v>30</v>
      </c>
      <c r="M228" s="51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8" s="386"/>
      <c r="O228" s="386"/>
      <c r="P228" s="386"/>
      <c r="Q228" s="328"/>
      <c r="R228" s="35"/>
      <c r="S228" s="35"/>
      <c r="T228" s="36" t="s">
        <v>63</v>
      </c>
      <c r="U228" s="304">
        <v>0</v>
      </c>
      <c r="V228" s="305">
        <f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356</v>
      </c>
      <c r="B229" s="55" t="s">
        <v>357</v>
      </c>
      <c r="C229" s="32">
        <v>4301060308</v>
      </c>
      <c r="D229" s="384">
        <v>4607091384482</v>
      </c>
      <c r="E229" s="328"/>
      <c r="F229" s="303">
        <v>1.3</v>
      </c>
      <c r="G229" s="33">
        <v>6</v>
      </c>
      <c r="H229" s="303">
        <v>7.8</v>
      </c>
      <c r="I229" s="303">
        <v>8.3640000000000008</v>
      </c>
      <c r="J229" s="33">
        <v>56</v>
      </c>
      <c r="K229" s="34" t="s">
        <v>62</v>
      </c>
      <c r="L229" s="33">
        <v>30</v>
      </c>
      <c r="M229" s="51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9" s="386"/>
      <c r="O229" s="386"/>
      <c r="P229" s="386"/>
      <c r="Q229" s="328"/>
      <c r="R229" s="35"/>
      <c r="S229" s="35"/>
      <c r="T229" s="36" t="s">
        <v>63</v>
      </c>
      <c r="U229" s="304">
        <v>0</v>
      </c>
      <c r="V229" s="305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358</v>
      </c>
      <c r="B230" s="55" t="s">
        <v>359</v>
      </c>
      <c r="C230" s="32">
        <v>4301060325</v>
      </c>
      <c r="D230" s="384">
        <v>4607091380897</v>
      </c>
      <c r="E230" s="328"/>
      <c r="F230" s="303">
        <v>1.4</v>
      </c>
      <c r="G230" s="33">
        <v>6</v>
      </c>
      <c r="H230" s="303">
        <v>8.4</v>
      </c>
      <c r="I230" s="303">
        <v>8.9640000000000004</v>
      </c>
      <c r="J230" s="33">
        <v>56</v>
      </c>
      <c r="K230" s="34" t="s">
        <v>62</v>
      </c>
      <c r="L230" s="33">
        <v>30</v>
      </c>
      <c r="M230" s="5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0" s="386"/>
      <c r="O230" s="386"/>
      <c r="P230" s="386"/>
      <c r="Q230" s="328"/>
      <c r="R230" s="35"/>
      <c r="S230" s="35"/>
      <c r="T230" s="36" t="s">
        <v>63</v>
      </c>
      <c r="U230" s="304">
        <v>5</v>
      </c>
      <c r="V230" s="305">
        <f>IFERROR(IF(U230="",0,CEILING((U230/$H230),1)*$H230),"")</f>
        <v>8.4</v>
      </c>
      <c r="W230" s="37">
        <f>IFERROR(IF(V230=0,"",ROUNDUP(V230/H230,0)*0.02175),"")</f>
        <v>2.1749999999999999E-2</v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360</v>
      </c>
      <c r="B231" s="55" t="s">
        <v>361</v>
      </c>
      <c r="C231" s="32">
        <v>4301060337</v>
      </c>
      <c r="D231" s="384">
        <v>4680115880368</v>
      </c>
      <c r="E231" s="328"/>
      <c r="F231" s="303">
        <v>1</v>
      </c>
      <c r="G231" s="33">
        <v>4</v>
      </c>
      <c r="H231" s="303">
        <v>4</v>
      </c>
      <c r="I231" s="303">
        <v>4.3600000000000003</v>
      </c>
      <c r="J231" s="33">
        <v>104</v>
      </c>
      <c r="K231" s="34" t="s">
        <v>124</v>
      </c>
      <c r="L231" s="33">
        <v>40</v>
      </c>
      <c r="M231" s="519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1" s="386"/>
      <c r="O231" s="386"/>
      <c r="P231" s="386"/>
      <c r="Q231" s="328"/>
      <c r="R231" s="35"/>
      <c r="S231" s="35"/>
      <c r="T231" s="36" t="s">
        <v>63</v>
      </c>
      <c r="U231" s="304">
        <v>0</v>
      </c>
      <c r="V231" s="305">
        <f>IFERROR(IF(U231="",0,CEILING((U231/$H231),1)*$H231),"")</f>
        <v>0</v>
      </c>
      <c r="W231" s="37" t="str">
        <f>IFERROR(IF(V231=0,"",ROUNDUP(V231/H231,0)*0.01196),"")</f>
        <v/>
      </c>
      <c r="X231" s="57"/>
      <c r="Y231" s="58"/>
      <c r="AC231" s="59"/>
      <c r="AZ231" s="190" t="s">
        <v>1</v>
      </c>
    </row>
    <row r="232" spans="1:52" x14ac:dyDescent="0.2">
      <c r="A232" s="388"/>
      <c r="B232" s="312"/>
      <c r="C232" s="312"/>
      <c r="D232" s="312"/>
      <c r="E232" s="312"/>
      <c r="F232" s="312"/>
      <c r="G232" s="312"/>
      <c r="H232" s="312"/>
      <c r="I232" s="312"/>
      <c r="J232" s="312"/>
      <c r="K232" s="312"/>
      <c r="L232" s="389"/>
      <c r="M232" s="387" t="s">
        <v>64</v>
      </c>
      <c r="N232" s="340"/>
      <c r="O232" s="340"/>
      <c r="P232" s="340"/>
      <c r="Q232" s="340"/>
      <c r="R232" s="340"/>
      <c r="S232" s="341"/>
      <c r="T232" s="38" t="s">
        <v>65</v>
      </c>
      <c r="U232" s="306">
        <f>IFERROR(U228/H228,"0")+IFERROR(U229/H229,"0")+IFERROR(U230/H230,"0")+IFERROR(U231/H231,"0")</f>
        <v>0.59523809523809523</v>
      </c>
      <c r="V232" s="306">
        <f>IFERROR(V228/H228,"0")+IFERROR(V229/H229,"0")+IFERROR(V230/H230,"0")+IFERROR(V231/H231,"0")</f>
        <v>1</v>
      </c>
      <c r="W232" s="306">
        <f>IFERROR(IF(W228="",0,W228),"0")+IFERROR(IF(W229="",0,W229),"0")+IFERROR(IF(W230="",0,W230),"0")+IFERROR(IF(W231="",0,W231),"0")</f>
        <v>2.1749999999999999E-2</v>
      </c>
      <c r="X232" s="307"/>
      <c r="Y232" s="307"/>
    </row>
    <row r="233" spans="1:52" x14ac:dyDescent="0.2">
      <c r="A233" s="312"/>
      <c r="B233" s="312"/>
      <c r="C233" s="312"/>
      <c r="D233" s="312"/>
      <c r="E233" s="312"/>
      <c r="F233" s="312"/>
      <c r="G233" s="312"/>
      <c r="H233" s="312"/>
      <c r="I233" s="312"/>
      <c r="J233" s="312"/>
      <c r="K233" s="312"/>
      <c r="L233" s="389"/>
      <c r="M233" s="387" t="s">
        <v>64</v>
      </c>
      <c r="N233" s="340"/>
      <c r="O233" s="340"/>
      <c r="P233" s="340"/>
      <c r="Q233" s="340"/>
      <c r="R233" s="340"/>
      <c r="S233" s="341"/>
      <c r="T233" s="38" t="s">
        <v>63</v>
      </c>
      <c r="U233" s="306">
        <f>IFERROR(SUM(U228:U231),"0")</f>
        <v>5</v>
      </c>
      <c r="V233" s="306">
        <f>IFERROR(SUM(V228:V231),"0")</f>
        <v>8.4</v>
      </c>
      <c r="W233" s="38"/>
      <c r="X233" s="307"/>
      <c r="Y233" s="307"/>
    </row>
    <row r="234" spans="1:52" ht="14.25" customHeight="1" x14ac:dyDescent="0.25">
      <c r="A234" s="383" t="s">
        <v>79</v>
      </c>
      <c r="B234" s="312"/>
      <c r="C234" s="312"/>
      <c r="D234" s="312"/>
      <c r="E234" s="312"/>
      <c r="F234" s="312"/>
      <c r="G234" s="312"/>
      <c r="H234" s="312"/>
      <c r="I234" s="312"/>
      <c r="J234" s="312"/>
      <c r="K234" s="312"/>
      <c r="L234" s="312"/>
      <c r="M234" s="312"/>
      <c r="N234" s="312"/>
      <c r="O234" s="312"/>
      <c r="P234" s="312"/>
      <c r="Q234" s="312"/>
      <c r="R234" s="312"/>
      <c r="S234" s="312"/>
      <c r="T234" s="312"/>
      <c r="U234" s="312"/>
      <c r="V234" s="312"/>
      <c r="W234" s="312"/>
      <c r="X234" s="300"/>
      <c r="Y234" s="300"/>
    </row>
    <row r="235" spans="1:52" ht="16.5" customHeight="1" x14ac:dyDescent="0.25">
      <c r="A235" s="55" t="s">
        <v>362</v>
      </c>
      <c r="B235" s="55" t="s">
        <v>363</v>
      </c>
      <c r="C235" s="32">
        <v>4301030232</v>
      </c>
      <c r="D235" s="384">
        <v>4607091388374</v>
      </c>
      <c r="E235" s="328"/>
      <c r="F235" s="303">
        <v>0.38</v>
      </c>
      <c r="G235" s="33">
        <v>8</v>
      </c>
      <c r="H235" s="303">
        <v>3.04</v>
      </c>
      <c r="I235" s="303">
        <v>3.28</v>
      </c>
      <c r="J235" s="33">
        <v>156</v>
      </c>
      <c r="K235" s="34" t="s">
        <v>82</v>
      </c>
      <c r="L235" s="33">
        <v>180</v>
      </c>
      <c r="M235" s="520" t="s">
        <v>364</v>
      </c>
      <c r="N235" s="386"/>
      <c r="O235" s="386"/>
      <c r="P235" s="386"/>
      <c r="Q235" s="328"/>
      <c r="R235" s="35"/>
      <c r="S235" s="35"/>
      <c r="T235" s="36" t="s">
        <v>63</v>
      </c>
      <c r="U235" s="304">
        <v>0</v>
      </c>
      <c r="V235" s="305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365</v>
      </c>
      <c r="B236" s="55" t="s">
        <v>366</v>
      </c>
      <c r="C236" s="32">
        <v>4301030235</v>
      </c>
      <c r="D236" s="384">
        <v>4607091388381</v>
      </c>
      <c r="E236" s="328"/>
      <c r="F236" s="303">
        <v>0.38</v>
      </c>
      <c r="G236" s="33">
        <v>8</v>
      </c>
      <c r="H236" s="303">
        <v>3.04</v>
      </c>
      <c r="I236" s="303">
        <v>3.32</v>
      </c>
      <c r="J236" s="33">
        <v>156</v>
      </c>
      <c r="K236" s="34" t="s">
        <v>82</v>
      </c>
      <c r="L236" s="33">
        <v>180</v>
      </c>
      <c r="M236" s="521" t="s">
        <v>367</v>
      </c>
      <c r="N236" s="386"/>
      <c r="O236" s="386"/>
      <c r="P236" s="386"/>
      <c r="Q236" s="328"/>
      <c r="R236" s="35"/>
      <c r="S236" s="35"/>
      <c r="T236" s="36" t="s">
        <v>63</v>
      </c>
      <c r="U236" s="304">
        <v>0</v>
      </c>
      <c r="V236" s="305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368</v>
      </c>
      <c r="B237" s="55" t="s">
        <v>369</v>
      </c>
      <c r="C237" s="32">
        <v>4301030233</v>
      </c>
      <c r="D237" s="384">
        <v>4607091388404</v>
      </c>
      <c r="E237" s="328"/>
      <c r="F237" s="303">
        <v>0.17</v>
      </c>
      <c r="G237" s="33">
        <v>15</v>
      </c>
      <c r="H237" s="303">
        <v>2.5499999999999998</v>
      </c>
      <c r="I237" s="303">
        <v>2.9</v>
      </c>
      <c r="J237" s="33">
        <v>156</v>
      </c>
      <c r="K237" s="34" t="s">
        <v>82</v>
      </c>
      <c r="L237" s="33">
        <v>180</v>
      </c>
      <c r="M237" s="5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7" s="386"/>
      <c r="O237" s="386"/>
      <c r="P237" s="386"/>
      <c r="Q237" s="328"/>
      <c r="R237" s="35"/>
      <c r="S237" s="35"/>
      <c r="T237" s="36" t="s">
        <v>63</v>
      </c>
      <c r="U237" s="304">
        <v>0</v>
      </c>
      <c r="V237" s="305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59"/>
      <c r="AZ237" s="193" t="s">
        <v>1</v>
      </c>
    </row>
    <row r="238" spans="1:52" x14ac:dyDescent="0.2">
      <c r="A238" s="388"/>
      <c r="B238" s="312"/>
      <c r="C238" s="312"/>
      <c r="D238" s="312"/>
      <c r="E238" s="312"/>
      <c r="F238" s="312"/>
      <c r="G238" s="312"/>
      <c r="H238" s="312"/>
      <c r="I238" s="312"/>
      <c r="J238" s="312"/>
      <c r="K238" s="312"/>
      <c r="L238" s="389"/>
      <c r="M238" s="387" t="s">
        <v>64</v>
      </c>
      <c r="N238" s="340"/>
      <c r="O238" s="340"/>
      <c r="P238" s="340"/>
      <c r="Q238" s="340"/>
      <c r="R238" s="340"/>
      <c r="S238" s="341"/>
      <c r="T238" s="38" t="s">
        <v>65</v>
      </c>
      <c r="U238" s="306">
        <f>IFERROR(U235/H235,"0")+IFERROR(U236/H236,"0")+IFERROR(U237/H237,"0")</f>
        <v>0</v>
      </c>
      <c r="V238" s="306">
        <f>IFERROR(V235/H235,"0")+IFERROR(V236/H236,"0")+IFERROR(V237/H237,"0")</f>
        <v>0</v>
      </c>
      <c r="W238" s="306">
        <f>IFERROR(IF(W235="",0,W235),"0")+IFERROR(IF(W236="",0,W236),"0")+IFERROR(IF(W237="",0,W237),"0")</f>
        <v>0</v>
      </c>
      <c r="X238" s="307"/>
      <c r="Y238" s="307"/>
    </row>
    <row r="239" spans="1:52" x14ac:dyDescent="0.2">
      <c r="A239" s="312"/>
      <c r="B239" s="312"/>
      <c r="C239" s="312"/>
      <c r="D239" s="312"/>
      <c r="E239" s="312"/>
      <c r="F239" s="312"/>
      <c r="G239" s="312"/>
      <c r="H239" s="312"/>
      <c r="I239" s="312"/>
      <c r="J239" s="312"/>
      <c r="K239" s="312"/>
      <c r="L239" s="389"/>
      <c r="M239" s="387" t="s">
        <v>64</v>
      </c>
      <c r="N239" s="340"/>
      <c r="O239" s="340"/>
      <c r="P239" s="340"/>
      <c r="Q239" s="340"/>
      <c r="R239" s="340"/>
      <c r="S239" s="341"/>
      <c r="T239" s="38" t="s">
        <v>63</v>
      </c>
      <c r="U239" s="306">
        <f>IFERROR(SUM(U235:U237),"0")</f>
        <v>0</v>
      </c>
      <c r="V239" s="306">
        <f>IFERROR(SUM(V235:V237),"0")</f>
        <v>0</v>
      </c>
      <c r="W239" s="38"/>
      <c r="X239" s="307"/>
      <c r="Y239" s="307"/>
    </row>
    <row r="240" spans="1:52" ht="14.25" customHeight="1" x14ac:dyDescent="0.25">
      <c r="A240" s="383" t="s">
        <v>370</v>
      </c>
      <c r="B240" s="312"/>
      <c r="C240" s="312"/>
      <c r="D240" s="312"/>
      <c r="E240" s="312"/>
      <c r="F240" s="312"/>
      <c r="G240" s="312"/>
      <c r="H240" s="312"/>
      <c r="I240" s="312"/>
      <c r="J240" s="312"/>
      <c r="K240" s="312"/>
      <c r="L240" s="312"/>
      <c r="M240" s="312"/>
      <c r="N240" s="312"/>
      <c r="O240" s="312"/>
      <c r="P240" s="312"/>
      <c r="Q240" s="312"/>
      <c r="R240" s="312"/>
      <c r="S240" s="312"/>
      <c r="T240" s="312"/>
      <c r="U240" s="312"/>
      <c r="V240" s="312"/>
      <c r="W240" s="312"/>
      <c r="X240" s="300"/>
      <c r="Y240" s="300"/>
    </row>
    <row r="241" spans="1:52" ht="16.5" customHeight="1" x14ac:dyDescent="0.25">
      <c r="A241" s="55" t="s">
        <v>371</v>
      </c>
      <c r="B241" s="55" t="s">
        <v>372</v>
      </c>
      <c r="C241" s="32">
        <v>4301180007</v>
      </c>
      <c r="D241" s="384">
        <v>4680115881808</v>
      </c>
      <c r="E241" s="328"/>
      <c r="F241" s="303">
        <v>0.1</v>
      </c>
      <c r="G241" s="33">
        <v>20</v>
      </c>
      <c r="H241" s="303">
        <v>2</v>
      </c>
      <c r="I241" s="303">
        <v>2.2400000000000002</v>
      </c>
      <c r="J241" s="33">
        <v>238</v>
      </c>
      <c r="K241" s="34" t="s">
        <v>373</v>
      </c>
      <c r="L241" s="33">
        <v>730</v>
      </c>
      <c r="M241" s="5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1" s="386"/>
      <c r="O241" s="386"/>
      <c r="P241" s="386"/>
      <c r="Q241" s="328"/>
      <c r="R241" s="35"/>
      <c r="S241" s="35"/>
      <c r="T241" s="36" t="s">
        <v>63</v>
      </c>
      <c r="U241" s="304">
        <v>0</v>
      </c>
      <c r="V241" s="305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374</v>
      </c>
      <c r="B242" s="55" t="s">
        <v>375</v>
      </c>
      <c r="C242" s="32">
        <v>4301180006</v>
      </c>
      <c r="D242" s="384">
        <v>4680115881822</v>
      </c>
      <c r="E242" s="328"/>
      <c r="F242" s="303">
        <v>0.1</v>
      </c>
      <c r="G242" s="33">
        <v>20</v>
      </c>
      <c r="H242" s="303">
        <v>2</v>
      </c>
      <c r="I242" s="303">
        <v>2.2400000000000002</v>
      </c>
      <c r="J242" s="33">
        <v>238</v>
      </c>
      <c r="K242" s="34" t="s">
        <v>373</v>
      </c>
      <c r="L242" s="33">
        <v>730</v>
      </c>
      <c r="M242" s="5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2" s="386"/>
      <c r="O242" s="386"/>
      <c r="P242" s="386"/>
      <c r="Q242" s="328"/>
      <c r="R242" s="35"/>
      <c r="S242" s="35"/>
      <c r="T242" s="36" t="s">
        <v>63</v>
      </c>
      <c r="U242" s="304">
        <v>0</v>
      </c>
      <c r="V242" s="305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376</v>
      </c>
      <c r="B243" s="55" t="s">
        <v>377</v>
      </c>
      <c r="C243" s="32">
        <v>4301180001</v>
      </c>
      <c r="D243" s="384">
        <v>4680115880016</v>
      </c>
      <c r="E243" s="328"/>
      <c r="F243" s="303">
        <v>0.1</v>
      </c>
      <c r="G243" s="33">
        <v>20</v>
      </c>
      <c r="H243" s="303">
        <v>2</v>
      </c>
      <c r="I243" s="303">
        <v>2.2400000000000002</v>
      </c>
      <c r="J243" s="33">
        <v>238</v>
      </c>
      <c r="K243" s="34" t="s">
        <v>373</v>
      </c>
      <c r="L243" s="33">
        <v>730</v>
      </c>
      <c r="M243" s="5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3" s="386"/>
      <c r="O243" s="386"/>
      <c r="P243" s="386"/>
      <c r="Q243" s="328"/>
      <c r="R243" s="35"/>
      <c r="S243" s="35"/>
      <c r="T243" s="36" t="s">
        <v>63</v>
      </c>
      <c r="U243" s="304">
        <v>0</v>
      </c>
      <c r="V243" s="305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x14ac:dyDescent="0.2">
      <c r="A244" s="388"/>
      <c r="B244" s="312"/>
      <c r="C244" s="312"/>
      <c r="D244" s="312"/>
      <c r="E244" s="312"/>
      <c r="F244" s="312"/>
      <c r="G244" s="312"/>
      <c r="H244" s="312"/>
      <c r="I244" s="312"/>
      <c r="J244" s="312"/>
      <c r="K244" s="312"/>
      <c r="L244" s="389"/>
      <c r="M244" s="387" t="s">
        <v>64</v>
      </c>
      <c r="N244" s="340"/>
      <c r="O244" s="340"/>
      <c r="P244" s="340"/>
      <c r="Q244" s="340"/>
      <c r="R244" s="340"/>
      <c r="S244" s="341"/>
      <c r="T244" s="38" t="s">
        <v>65</v>
      </c>
      <c r="U244" s="306">
        <f>IFERROR(U241/H241,"0")+IFERROR(U242/H242,"0")+IFERROR(U243/H243,"0")</f>
        <v>0</v>
      </c>
      <c r="V244" s="306">
        <f>IFERROR(V241/H241,"0")+IFERROR(V242/H242,"0")+IFERROR(V243/H243,"0")</f>
        <v>0</v>
      </c>
      <c r="W244" s="306">
        <f>IFERROR(IF(W241="",0,W241),"0")+IFERROR(IF(W242="",0,W242),"0")+IFERROR(IF(W243="",0,W243),"0")</f>
        <v>0</v>
      </c>
      <c r="X244" s="307"/>
      <c r="Y244" s="307"/>
    </row>
    <row r="245" spans="1:52" x14ac:dyDescent="0.2">
      <c r="A245" s="312"/>
      <c r="B245" s="312"/>
      <c r="C245" s="312"/>
      <c r="D245" s="312"/>
      <c r="E245" s="312"/>
      <c r="F245" s="312"/>
      <c r="G245" s="312"/>
      <c r="H245" s="312"/>
      <c r="I245" s="312"/>
      <c r="J245" s="312"/>
      <c r="K245" s="312"/>
      <c r="L245" s="389"/>
      <c r="M245" s="387" t="s">
        <v>64</v>
      </c>
      <c r="N245" s="340"/>
      <c r="O245" s="340"/>
      <c r="P245" s="340"/>
      <c r="Q245" s="340"/>
      <c r="R245" s="340"/>
      <c r="S245" s="341"/>
      <c r="T245" s="38" t="s">
        <v>63</v>
      </c>
      <c r="U245" s="306">
        <f>IFERROR(SUM(U241:U243),"0")</f>
        <v>0</v>
      </c>
      <c r="V245" s="306">
        <f>IFERROR(SUM(V241:V243),"0")</f>
        <v>0</v>
      </c>
      <c r="W245" s="38"/>
      <c r="X245" s="307"/>
      <c r="Y245" s="307"/>
    </row>
    <row r="246" spans="1:52" ht="16.5" customHeight="1" x14ac:dyDescent="0.25">
      <c r="A246" s="382" t="s">
        <v>378</v>
      </c>
      <c r="B246" s="312"/>
      <c r="C246" s="312"/>
      <c r="D246" s="312"/>
      <c r="E246" s="312"/>
      <c r="F246" s="312"/>
      <c r="G246" s="312"/>
      <c r="H246" s="312"/>
      <c r="I246" s="312"/>
      <c r="J246" s="312"/>
      <c r="K246" s="312"/>
      <c r="L246" s="312"/>
      <c r="M246" s="312"/>
      <c r="N246" s="312"/>
      <c r="O246" s="312"/>
      <c r="P246" s="312"/>
      <c r="Q246" s="312"/>
      <c r="R246" s="312"/>
      <c r="S246" s="312"/>
      <c r="T246" s="312"/>
      <c r="U246" s="312"/>
      <c r="V246" s="312"/>
      <c r="W246" s="312"/>
      <c r="X246" s="299"/>
      <c r="Y246" s="299"/>
    </row>
    <row r="247" spans="1:52" ht="14.25" customHeight="1" x14ac:dyDescent="0.25">
      <c r="A247" s="383" t="s">
        <v>100</v>
      </c>
      <c r="B247" s="312"/>
      <c r="C247" s="312"/>
      <c r="D247" s="312"/>
      <c r="E247" s="312"/>
      <c r="F247" s="312"/>
      <c r="G247" s="312"/>
      <c r="H247" s="312"/>
      <c r="I247" s="312"/>
      <c r="J247" s="312"/>
      <c r="K247" s="312"/>
      <c r="L247" s="312"/>
      <c r="M247" s="312"/>
      <c r="N247" s="312"/>
      <c r="O247" s="312"/>
      <c r="P247" s="312"/>
      <c r="Q247" s="312"/>
      <c r="R247" s="312"/>
      <c r="S247" s="312"/>
      <c r="T247" s="312"/>
      <c r="U247" s="312"/>
      <c r="V247" s="312"/>
      <c r="W247" s="312"/>
      <c r="X247" s="300"/>
      <c r="Y247" s="300"/>
    </row>
    <row r="248" spans="1:52" ht="27" customHeight="1" x14ac:dyDescent="0.25">
      <c r="A248" s="55" t="s">
        <v>379</v>
      </c>
      <c r="B248" s="55" t="s">
        <v>380</v>
      </c>
      <c r="C248" s="32">
        <v>4301011315</v>
      </c>
      <c r="D248" s="384">
        <v>4607091387421</v>
      </c>
      <c r="E248" s="328"/>
      <c r="F248" s="303">
        <v>1.35</v>
      </c>
      <c r="G248" s="33">
        <v>8</v>
      </c>
      <c r="H248" s="303">
        <v>10.8</v>
      </c>
      <c r="I248" s="303">
        <v>11.28</v>
      </c>
      <c r="J248" s="33">
        <v>56</v>
      </c>
      <c r="K248" s="34" t="s">
        <v>96</v>
      </c>
      <c r="L248" s="33">
        <v>55</v>
      </c>
      <c r="M248" s="5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86"/>
      <c r="O248" s="386"/>
      <c r="P248" s="386"/>
      <c r="Q248" s="328"/>
      <c r="R248" s="35"/>
      <c r="S248" s="35"/>
      <c r="T248" s="36" t="s">
        <v>63</v>
      </c>
      <c r="U248" s="304">
        <v>0</v>
      </c>
      <c r="V248" s="305">
        <f t="shared" ref="V248:V254" si="13">IFERROR(IF(U248="",0,CEILING((U248/$H248),1)*$H248),"")</f>
        <v>0</v>
      </c>
      <c r="W248" s="37" t="str">
        <f>IFERROR(IF(V248=0,"",ROUNDUP(V248/H248,0)*0.02175),"")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379</v>
      </c>
      <c r="B249" s="55" t="s">
        <v>381</v>
      </c>
      <c r="C249" s="32">
        <v>4301011121</v>
      </c>
      <c r="D249" s="384">
        <v>4607091387421</v>
      </c>
      <c r="E249" s="328"/>
      <c r="F249" s="303">
        <v>1.35</v>
      </c>
      <c r="G249" s="33">
        <v>8</v>
      </c>
      <c r="H249" s="303">
        <v>10.8</v>
      </c>
      <c r="I249" s="303">
        <v>11.28</v>
      </c>
      <c r="J249" s="33">
        <v>48</v>
      </c>
      <c r="K249" s="34" t="s">
        <v>307</v>
      </c>
      <c r="L249" s="33">
        <v>55</v>
      </c>
      <c r="M249" s="5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86"/>
      <c r="O249" s="386"/>
      <c r="P249" s="386"/>
      <c r="Q249" s="328"/>
      <c r="R249" s="35"/>
      <c r="S249" s="35"/>
      <c r="T249" s="36" t="s">
        <v>63</v>
      </c>
      <c r="U249" s="304">
        <v>0</v>
      </c>
      <c r="V249" s="305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382</v>
      </c>
      <c r="B250" s="55" t="s">
        <v>383</v>
      </c>
      <c r="C250" s="32">
        <v>4301011619</v>
      </c>
      <c r="D250" s="384">
        <v>4607091387452</v>
      </c>
      <c r="E250" s="328"/>
      <c r="F250" s="303">
        <v>1.45</v>
      </c>
      <c r="G250" s="33">
        <v>8</v>
      </c>
      <c r="H250" s="303">
        <v>11.6</v>
      </c>
      <c r="I250" s="303">
        <v>12.08</v>
      </c>
      <c r="J250" s="33">
        <v>56</v>
      </c>
      <c r="K250" s="34" t="s">
        <v>96</v>
      </c>
      <c r="L250" s="33">
        <v>55</v>
      </c>
      <c r="M250" s="528" t="s">
        <v>384</v>
      </c>
      <c r="N250" s="386"/>
      <c r="O250" s="386"/>
      <c r="P250" s="386"/>
      <c r="Q250" s="328"/>
      <c r="R250" s="35"/>
      <c r="S250" s="35"/>
      <c r="T250" s="36" t="s">
        <v>63</v>
      </c>
      <c r="U250" s="304">
        <v>20</v>
      </c>
      <c r="V250" s="305">
        <f t="shared" si="13"/>
        <v>23.2</v>
      </c>
      <c r="W250" s="37">
        <f>IFERROR(IF(V250=0,"",ROUNDUP(V250/H250,0)*0.02175),"")</f>
        <v>4.3499999999999997E-2</v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382</v>
      </c>
      <c r="B251" s="55" t="s">
        <v>385</v>
      </c>
      <c r="C251" s="32">
        <v>4301011396</v>
      </c>
      <c r="D251" s="384">
        <v>4607091387452</v>
      </c>
      <c r="E251" s="328"/>
      <c r="F251" s="303">
        <v>1.35</v>
      </c>
      <c r="G251" s="33">
        <v>8</v>
      </c>
      <c r="H251" s="303">
        <v>10.8</v>
      </c>
      <c r="I251" s="303">
        <v>11.28</v>
      </c>
      <c r="J251" s="33">
        <v>48</v>
      </c>
      <c r="K251" s="34" t="s">
        <v>307</v>
      </c>
      <c r="L251" s="33">
        <v>55</v>
      </c>
      <c r="M251" s="52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1" s="386"/>
      <c r="O251" s="386"/>
      <c r="P251" s="386"/>
      <c r="Q251" s="328"/>
      <c r="R251" s="35"/>
      <c r="S251" s="35"/>
      <c r="T251" s="36" t="s">
        <v>63</v>
      </c>
      <c r="U251" s="304">
        <v>0</v>
      </c>
      <c r="V251" s="305">
        <f t="shared" si="13"/>
        <v>0</v>
      </c>
      <c r="W251" s="37" t="str">
        <f>IFERROR(IF(V251=0,"",ROUNDUP(V251/H251,0)*0.02039),"")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386</v>
      </c>
      <c r="B252" s="55" t="s">
        <v>387</v>
      </c>
      <c r="C252" s="32">
        <v>4301011313</v>
      </c>
      <c r="D252" s="384">
        <v>4607091385984</v>
      </c>
      <c r="E252" s="328"/>
      <c r="F252" s="303">
        <v>1.35</v>
      </c>
      <c r="G252" s="33">
        <v>8</v>
      </c>
      <c r="H252" s="303">
        <v>10.8</v>
      </c>
      <c r="I252" s="303">
        <v>11.28</v>
      </c>
      <c r="J252" s="33">
        <v>56</v>
      </c>
      <c r="K252" s="34" t="s">
        <v>96</v>
      </c>
      <c r="L252" s="33">
        <v>55</v>
      </c>
      <c r="M252" s="53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2" s="386"/>
      <c r="O252" s="386"/>
      <c r="P252" s="386"/>
      <c r="Q252" s="328"/>
      <c r="R252" s="35"/>
      <c r="S252" s="35"/>
      <c r="T252" s="36" t="s">
        <v>63</v>
      </c>
      <c r="U252" s="304">
        <v>0</v>
      </c>
      <c r="V252" s="305">
        <f t="shared" si="13"/>
        <v>0</v>
      </c>
      <c r="W252" s="37" t="str">
        <f>IFERROR(IF(V252=0,"",ROUNDUP(V252/H252,0)*0.02175),"")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388</v>
      </c>
      <c r="B253" s="55" t="s">
        <v>389</v>
      </c>
      <c r="C253" s="32">
        <v>4301011316</v>
      </c>
      <c r="D253" s="384">
        <v>4607091387438</v>
      </c>
      <c r="E253" s="328"/>
      <c r="F253" s="303">
        <v>0.5</v>
      </c>
      <c r="G253" s="33">
        <v>10</v>
      </c>
      <c r="H253" s="303">
        <v>5</v>
      </c>
      <c r="I253" s="303">
        <v>5.24</v>
      </c>
      <c r="J253" s="33">
        <v>120</v>
      </c>
      <c r="K253" s="34" t="s">
        <v>96</v>
      </c>
      <c r="L253" s="33">
        <v>55</v>
      </c>
      <c r="M253" s="53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3" s="386"/>
      <c r="O253" s="386"/>
      <c r="P253" s="386"/>
      <c r="Q253" s="328"/>
      <c r="R253" s="35"/>
      <c r="S253" s="35"/>
      <c r="T253" s="36" t="s">
        <v>63</v>
      </c>
      <c r="U253" s="304">
        <v>0</v>
      </c>
      <c r="V253" s="305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390</v>
      </c>
      <c r="B254" s="55" t="s">
        <v>391</v>
      </c>
      <c r="C254" s="32">
        <v>4301011318</v>
      </c>
      <c r="D254" s="384">
        <v>4607091387469</v>
      </c>
      <c r="E254" s="328"/>
      <c r="F254" s="303">
        <v>0.5</v>
      </c>
      <c r="G254" s="33">
        <v>10</v>
      </c>
      <c r="H254" s="303">
        <v>5</v>
      </c>
      <c r="I254" s="303">
        <v>5.21</v>
      </c>
      <c r="J254" s="33">
        <v>120</v>
      </c>
      <c r="K254" s="34" t="s">
        <v>62</v>
      </c>
      <c r="L254" s="33">
        <v>55</v>
      </c>
      <c r="M254" s="53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4" s="386"/>
      <c r="O254" s="386"/>
      <c r="P254" s="386"/>
      <c r="Q254" s="328"/>
      <c r="R254" s="35"/>
      <c r="S254" s="35"/>
      <c r="T254" s="36" t="s">
        <v>63</v>
      </c>
      <c r="U254" s="304">
        <v>0</v>
      </c>
      <c r="V254" s="305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x14ac:dyDescent="0.2">
      <c r="A255" s="388"/>
      <c r="B255" s="312"/>
      <c r="C255" s="312"/>
      <c r="D255" s="312"/>
      <c r="E255" s="312"/>
      <c r="F255" s="312"/>
      <c r="G255" s="312"/>
      <c r="H255" s="312"/>
      <c r="I255" s="312"/>
      <c r="J255" s="312"/>
      <c r="K255" s="312"/>
      <c r="L255" s="389"/>
      <c r="M255" s="387" t="s">
        <v>64</v>
      </c>
      <c r="N255" s="340"/>
      <c r="O255" s="340"/>
      <c r="P255" s="340"/>
      <c r="Q255" s="340"/>
      <c r="R255" s="340"/>
      <c r="S255" s="341"/>
      <c r="T255" s="38" t="s">
        <v>65</v>
      </c>
      <c r="U255" s="306">
        <f>IFERROR(U248/H248,"0")+IFERROR(U249/H249,"0")+IFERROR(U250/H250,"0")+IFERROR(U251/H251,"0")+IFERROR(U252/H252,"0")+IFERROR(U253/H253,"0")+IFERROR(U254/H254,"0")</f>
        <v>1.7241379310344829</v>
      </c>
      <c r="V255" s="306">
        <f>IFERROR(V248/H248,"0")+IFERROR(V249/H249,"0")+IFERROR(V250/H250,"0")+IFERROR(V251/H251,"0")+IFERROR(V252/H252,"0")+IFERROR(V253/H253,"0")+IFERROR(V254/H254,"0")</f>
        <v>2</v>
      </c>
      <c r="W255" s="306">
        <f>IFERROR(IF(W248="",0,W248),"0")+IFERROR(IF(W249="",0,W249),"0")+IFERROR(IF(W250="",0,W250),"0")+IFERROR(IF(W251="",0,W251),"0")+IFERROR(IF(W252="",0,W252),"0")+IFERROR(IF(W253="",0,W253),"0")+IFERROR(IF(W254="",0,W254),"0")</f>
        <v>4.3499999999999997E-2</v>
      </c>
      <c r="X255" s="307"/>
      <c r="Y255" s="307"/>
    </row>
    <row r="256" spans="1:52" x14ac:dyDescent="0.2">
      <c r="A256" s="312"/>
      <c r="B256" s="312"/>
      <c r="C256" s="312"/>
      <c r="D256" s="312"/>
      <c r="E256" s="312"/>
      <c r="F256" s="312"/>
      <c r="G256" s="312"/>
      <c r="H256" s="312"/>
      <c r="I256" s="312"/>
      <c r="J256" s="312"/>
      <c r="K256" s="312"/>
      <c r="L256" s="389"/>
      <c r="M256" s="387" t="s">
        <v>64</v>
      </c>
      <c r="N256" s="340"/>
      <c r="O256" s="340"/>
      <c r="P256" s="340"/>
      <c r="Q256" s="340"/>
      <c r="R256" s="340"/>
      <c r="S256" s="341"/>
      <c r="T256" s="38" t="s">
        <v>63</v>
      </c>
      <c r="U256" s="306">
        <f>IFERROR(SUM(U248:U254),"0")</f>
        <v>20</v>
      </c>
      <c r="V256" s="306">
        <f>IFERROR(SUM(V248:V254),"0")</f>
        <v>23.2</v>
      </c>
      <c r="W256" s="38"/>
      <c r="X256" s="307"/>
      <c r="Y256" s="307"/>
    </row>
    <row r="257" spans="1:52" ht="14.25" customHeight="1" x14ac:dyDescent="0.25">
      <c r="A257" s="383" t="s">
        <v>59</v>
      </c>
      <c r="B257" s="312"/>
      <c r="C257" s="312"/>
      <c r="D257" s="312"/>
      <c r="E257" s="312"/>
      <c r="F257" s="312"/>
      <c r="G257" s="312"/>
      <c r="H257" s="312"/>
      <c r="I257" s="312"/>
      <c r="J257" s="312"/>
      <c r="K257" s="312"/>
      <c r="L257" s="312"/>
      <c r="M257" s="312"/>
      <c r="N257" s="312"/>
      <c r="O257" s="312"/>
      <c r="P257" s="312"/>
      <c r="Q257" s="312"/>
      <c r="R257" s="312"/>
      <c r="S257" s="312"/>
      <c r="T257" s="312"/>
      <c r="U257" s="312"/>
      <c r="V257" s="312"/>
      <c r="W257" s="312"/>
      <c r="X257" s="300"/>
      <c r="Y257" s="300"/>
    </row>
    <row r="258" spans="1:52" ht="27" customHeight="1" x14ac:dyDescent="0.25">
      <c r="A258" s="55" t="s">
        <v>392</v>
      </c>
      <c r="B258" s="55" t="s">
        <v>393</v>
      </c>
      <c r="C258" s="32">
        <v>4301031154</v>
      </c>
      <c r="D258" s="384">
        <v>4607091387292</v>
      </c>
      <c r="E258" s="328"/>
      <c r="F258" s="303">
        <v>0.73</v>
      </c>
      <c r="G258" s="33">
        <v>6</v>
      </c>
      <c r="H258" s="303">
        <v>4.38</v>
      </c>
      <c r="I258" s="303">
        <v>4.6399999999999997</v>
      </c>
      <c r="J258" s="33">
        <v>156</v>
      </c>
      <c r="K258" s="34" t="s">
        <v>62</v>
      </c>
      <c r="L258" s="33">
        <v>45</v>
      </c>
      <c r="M258" s="53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8" s="386"/>
      <c r="O258" s="386"/>
      <c r="P258" s="386"/>
      <c r="Q258" s="328"/>
      <c r="R258" s="35"/>
      <c r="S258" s="35"/>
      <c r="T258" s="36" t="s">
        <v>63</v>
      </c>
      <c r="U258" s="304">
        <v>0</v>
      </c>
      <c r="V258" s="305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394</v>
      </c>
      <c r="B259" s="55" t="s">
        <v>395</v>
      </c>
      <c r="C259" s="32">
        <v>4301031155</v>
      </c>
      <c r="D259" s="384">
        <v>4607091387315</v>
      </c>
      <c r="E259" s="328"/>
      <c r="F259" s="303">
        <v>0.7</v>
      </c>
      <c r="G259" s="33">
        <v>4</v>
      </c>
      <c r="H259" s="303">
        <v>2.8</v>
      </c>
      <c r="I259" s="303">
        <v>3.048</v>
      </c>
      <c r="J259" s="33">
        <v>156</v>
      </c>
      <c r="K259" s="34" t="s">
        <v>62</v>
      </c>
      <c r="L259" s="33">
        <v>45</v>
      </c>
      <c r="M259" s="53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9" s="386"/>
      <c r="O259" s="386"/>
      <c r="P259" s="386"/>
      <c r="Q259" s="328"/>
      <c r="R259" s="35"/>
      <c r="S259" s="35"/>
      <c r="T259" s="36" t="s">
        <v>63</v>
      </c>
      <c r="U259" s="304">
        <v>0</v>
      </c>
      <c r="V259" s="305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x14ac:dyDescent="0.2">
      <c r="A260" s="388"/>
      <c r="B260" s="312"/>
      <c r="C260" s="312"/>
      <c r="D260" s="312"/>
      <c r="E260" s="312"/>
      <c r="F260" s="312"/>
      <c r="G260" s="312"/>
      <c r="H260" s="312"/>
      <c r="I260" s="312"/>
      <c r="J260" s="312"/>
      <c r="K260" s="312"/>
      <c r="L260" s="389"/>
      <c r="M260" s="387" t="s">
        <v>64</v>
      </c>
      <c r="N260" s="340"/>
      <c r="O260" s="340"/>
      <c r="P260" s="340"/>
      <c r="Q260" s="340"/>
      <c r="R260" s="340"/>
      <c r="S260" s="341"/>
      <c r="T260" s="38" t="s">
        <v>65</v>
      </c>
      <c r="U260" s="306">
        <f>IFERROR(U258/H258,"0")+IFERROR(U259/H259,"0")</f>
        <v>0</v>
      </c>
      <c r="V260" s="306">
        <f>IFERROR(V258/H258,"0")+IFERROR(V259/H259,"0")</f>
        <v>0</v>
      </c>
      <c r="W260" s="306">
        <f>IFERROR(IF(W258="",0,W258),"0")+IFERROR(IF(W259="",0,W259),"0")</f>
        <v>0</v>
      </c>
      <c r="X260" s="307"/>
      <c r="Y260" s="307"/>
    </row>
    <row r="261" spans="1:52" x14ac:dyDescent="0.2">
      <c r="A261" s="312"/>
      <c r="B261" s="312"/>
      <c r="C261" s="312"/>
      <c r="D261" s="312"/>
      <c r="E261" s="312"/>
      <c r="F261" s="312"/>
      <c r="G261" s="312"/>
      <c r="H261" s="312"/>
      <c r="I261" s="312"/>
      <c r="J261" s="312"/>
      <c r="K261" s="312"/>
      <c r="L261" s="389"/>
      <c r="M261" s="387" t="s">
        <v>64</v>
      </c>
      <c r="N261" s="340"/>
      <c r="O261" s="340"/>
      <c r="P261" s="340"/>
      <c r="Q261" s="340"/>
      <c r="R261" s="340"/>
      <c r="S261" s="341"/>
      <c r="T261" s="38" t="s">
        <v>63</v>
      </c>
      <c r="U261" s="306">
        <f>IFERROR(SUM(U258:U259),"0")</f>
        <v>0</v>
      </c>
      <c r="V261" s="306">
        <f>IFERROR(SUM(V258:V259),"0")</f>
        <v>0</v>
      </c>
      <c r="W261" s="38"/>
      <c r="X261" s="307"/>
      <c r="Y261" s="307"/>
    </row>
    <row r="262" spans="1:52" ht="16.5" customHeight="1" x14ac:dyDescent="0.25">
      <c r="A262" s="382" t="s">
        <v>396</v>
      </c>
      <c r="B262" s="312"/>
      <c r="C262" s="312"/>
      <c r="D262" s="312"/>
      <c r="E262" s="312"/>
      <c r="F262" s="312"/>
      <c r="G262" s="312"/>
      <c r="H262" s="312"/>
      <c r="I262" s="312"/>
      <c r="J262" s="312"/>
      <c r="K262" s="312"/>
      <c r="L262" s="312"/>
      <c r="M262" s="312"/>
      <c r="N262" s="312"/>
      <c r="O262" s="312"/>
      <c r="P262" s="312"/>
      <c r="Q262" s="312"/>
      <c r="R262" s="312"/>
      <c r="S262" s="312"/>
      <c r="T262" s="312"/>
      <c r="U262" s="312"/>
      <c r="V262" s="312"/>
      <c r="W262" s="312"/>
      <c r="X262" s="299"/>
      <c r="Y262" s="299"/>
    </row>
    <row r="263" spans="1:52" ht="14.25" customHeight="1" x14ac:dyDescent="0.25">
      <c r="A263" s="383" t="s">
        <v>59</v>
      </c>
      <c r="B263" s="312"/>
      <c r="C263" s="312"/>
      <c r="D263" s="312"/>
      <c r="E263" s="312"/>
      <c r="F263" s="312"/>
      <c r="G263" s="312"/>
      <c r="H263" s="312"/>
      <c r="I263" s="312"/>
      <c r="J263" s="312"/>
      <c r="K263" s="312"/>
      <c r="L263" s="312"/>
      <c r="M263" s="312"/>
      <c r="N263" s="312"/>
      <c r="O263" s="312"/>
      <c r="P263" s="312"/>
      <c r="Q263" s="312"/>
      <c r="R263" s="312"/>
      <c r="S263" s="312"/>
      <c r="T263" s="312"/>
      <c r="U263" s="312"/>
      <c r="V263" s="312"/>
      <c r="W263" s="312"/>
      <c r="X263" s="300"/>
      <c r="Y263" s="300"/>
    </row>
    <row r="264" spans="1:52" ht="27" customHeight="1" x14ac:dyDescent="0.25">
      <c r="A264" s="55" t="s">
        <v>397</v>
      </c>
      <c r="B264" s="55" t="s">
        <v>398</v>
      </c>
      <c r="C264" s="32">
        <v>4301031066</v>
      </c>
      <c r="D264" s="384">
        <v>4607091383836</v>
      </c>
      <c r="E264" s="328"/>
      <c r="F264" s="303">
        <v>0.3</v>
      </c>
      <c r="G264" s="33">
        <v>6</v>
      </c>
      <c r="H264" s="303">
        <v>1.8</v>
      </c>
      <c r="I264" s="303">
        <v>2.048</v>
      </c>
      <c r="J264" s="33">
        <v>156</v>
      </c>
      <c r="K264" s="34" t="s">
        <v>62</v>
      </c>
      <c r="L264" s="33">
        <v>40</v>
      </c>
      <c r="M264" s="5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86"/>
      <c r="O264" s="386"/>
      <c r="P264" s="386"/>
      <c r="Q264" s="328"/>
      <c r="R264" s="35"/>
      <c r="S264" s="35"/>
      <c r="T264" s="36" t="s">
        <v>63</v>
      </c>
      <c r="U264" s="304">
        <v>0</v>
      </c>
      <c r="V264" s="305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6" t="s">
        <v>1</v>
      </c>
    </row>
    <row r="265" spans="1:52" x14ac:dyDescent="0.2">
      <c r="A265" s="388"/>
      <c r="B265" s="312"/>
      <c r="C265" s="312"/>
      <c r="D265" s="312"/>
      <c r="E265" s="312"/>
      <c r="F265" s="312"/>
      <c r="G265" s="312"/>
      <c r="H265" s="312"/>
      <c r="I265" s="312"/>
      <c r="J265" s="312"/>
      <c r="K265" s="312"/>
      <c r="L265" s="389"/>
      <c r="M265" s="387" t="s">
        <v>64</v>
      </c>
      <c r="N265" s="340"/>
      <c r="O265" s="340"/>
      <c r="P265" s="340"/>
      <c r="Q265" s="340"/>
      <c r="R265" s="340"/>
      <c r="S265" s="341"/>
      <c r="T265" s="38" t="s">
        <v>65</v>
      </c>
      <c r="U265" s="306">
        <f>IFERROR(U264/H264,"0")</f>
        <v>0</v>
      </c>
      <c r="V265" s="306">
        <f>IFERROR(V264/H264,"0")</f>
        <v>0</v>
      </c>
      <c r="W265" s="306">
        <f>IFERROR(IF(W264="",0,W264),"0")</f>
        <v>0</v>
      </c>
      <c r="X265" s="307"/>
      <c r="Y265" s="307"/>
    </row>
    <row r="266" spans="1:52" x14ac:dyDescent="0.2">
      <c r="A266" s="312"/>
      <c r="B266" s="312"/>
      <c r="C266" s="312"/>
      <c r="D266" s="312"/>
      <c r="E266" s="312"/>
      <c r="F266" s="312"/>
      <c r="G266" s="312"/>
      <c r="H266" s="312"/>
      <c r="I266" s="312"/>
      <c r="J266" s="312"/>
      <c r="K266" s="312"/>
      <c r="L266" s="389"/>
      <c r="M266" s="387" t="s">
        <v>64</v>
      </c>
      <c r="N266" s="340"/>
      <c r="O266" s="340"/>
      <c r="P266" s="340"/>
      <c r="Q266" s="340"/>
      <c r="R266" s="340"/>
      <c r="S266" s="341"/>
      <c r="T266" s="38" t="s">
        <v>63</v>
      </c>
      <c r="U266" s="306">
        <f>IFERROR(SUM(U264:U264),"0")</f>
        <v>0</v>
      </c>
      <c r="V266" s="306">
        <f>IFERROR(SUM(V264:V264),"0")</f>
        <v>0</v>
      </c>
      <c r="W266" s="38"/>
      <c r="X266" s="307"/>
      <c r="Y266" s="307"/>
    </row>
    <row r="267" spans="1:52" ht="14.25" customHeight="1" x14ac:dyDescent="0.25">
      <c r="A267" s="383" t="s">
        <v>66</v>
      </c>
      <c r="B267" s="312"/>
      <c r="C267" s="312"/>
      <c r="D267" s="312"/>
      <c r="E267" s="312"/>
      <c r="F267" s="312"/>
      <c r="G267" s="312"/>
      <c r="H267" s="312"/>
      <c r="I267" s="312"/>
      <c r="J267" s="312"/>
      <c r="K267" s="312"/>
      <c r="L267" s="312"/>
      <c r="M267" s="312"/>
      <c r="N267" s="312"/>
      <c r="O267" s="312"/>
      <c r="P267" s="312"/>
      <c r="Q267" s="312"/>
      <c r="R267" s="312"/>
      <c r="S267" s="312"/>
      <c r="T267" s="312"/>
      <c r="U267" s="312"/>
      <c r="V267" s="312"/>
      <c r="W267" s="312"/>
      <c r="X267" s="300"/>
      <c r="Y267" s="300"/>
    </row>
    <row r="268" spans="1:52" ht="27" customHeight="1" x14ac:dyDescent="0.25">
      <c r="A268" s="55" t="s">
        <v>399</v>
      </c>
      <c r="B268" s="55" t="s">
        <v>400</v>
      </c>
      <c r="C268" s="32">
        <v>4301051142</v>
      </c>
      <c r="D268" s="384">
        <v>4607091387919</v>
      </c>
      <c r="E268" s="328"/>
      <c r="F268" s="303">
        <v>1.35</v>
      </c>
      <c r="G268" s="33">
        <v>6</v>
      </c>
      <c r="H268" s="303">
        <v>8.1</v>
      </c>
      <c r="I268" s="303">
        <v>8.6639999999999997</v>
      </c>
      <c r="J268" s="33">
        <v>56</v>
      </c>
      <c r="K268" s="34" t="s">
        <v>62</v>
      </c>
      <c r="L268" s="33">
        <v>45</v>
      </c>
      <c r="M268" s="5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86"/>
      <c r="O268" s="386"/>
      <c r="P268" s="386"/>
      <c r="Q268" s="328"/>
      <c r="R268" s="35"/>
      <c r="S268" s="35"/>
      <c r="T268" s="36" t="s">
        <v>63</v>
      </c>
      <c r="U268" s="304">
        <v>25</v>
      </c>
      <c r="V268" s="305">
        <f>IFERROR(IF(U268="",0,CEILING((U268/$H268),1)*$H268),"")</f>
        <v>32.4</v>
      </c>
      <c r="W268" s="37">
        <f>IFERROR(IF(V268=0,"",ROUNDUP(V268/H268,0)*0.02175),"")</f>
        <v>8.6999999999999994E-2</v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401</v>
      </c>
      <c r="B269" s="55" t="s">
        <v>402</v>
      </c>
      <c r="C269" s="32">
        <v>4301051109</v>
      </c>
      <c r="D269" s="384">
        <v>4607091383942</v>
      </c>
      <c r="E269" s="328"/>
      <c r="F269" s="303">
        <v>0.42</v>
      </c>
      <c r="G269" s="33">
        <v>6</v>
      </c>
      <c r="H269" s="303">
        <v>2.52</v>
      </c>
      <c r="I269" s="303">
        <v>2.7919999999999998</v>
      </c>
      <c r="J269" s="33">
        <v>156</v>
      </c>
      <c r="K269" s="34" t="s">
        <v>124</v>
      </c>
      <c r="L269" s="33">
        <v>45</v>
      </c>
      <c r="M269" s="53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86"/>
      <c r="O269" s="386"/>
      <c r="P269" s="386"/>
      <c r="Q269" s="328"/>
      <c r="R269" s="35"/>
      <c r="S269" s="35"/>
      <c r="T269" s="36" t="s">
        <v>63</v>
      </c>
      <c r="U269" s="304">
        <v>23.1</v>
      </c>
      <c r="V269" s="305">
        <f>IFERROR(IF(U269="",0,CEILING((U269/$H269),1)*$H269),"")</f>
        <v>25.2</v>
      </c>
      <c r="W269" s="37">
        <f>IFERROR(IF(V269=0,"",ROUNDUP(V269/H269,0)*0.00753),"")</f>
        <v>7.5300000000000006E-2</v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403</v>
      </c>
      <c r="B270" s="55" t="s">
        <v>404</v>
      </c>
      <c r="C270" s="32">
        <v>4301051300</v>
      </c>
      <c r="D270" s="384">
        <v>4607091383959</v>
      </c>
      <c r="E270" s="328"/>
      <c r="F270" s="303">
        <v>0.42</v>
      </c>
      <c r="G270" s="33">
        <v>6</v>
      </c>
      <c r="H270" s="303">
        <v>2.52</v>
      </c>
      <c r="I270" s="303">
        <v>2.78</v>
      </c>
      <c r="J270" s="33">
        <v>156</v>
      </c>
      <c r="K270" s="34" t="s">
        <v>62</v>
      </c>
      <c r="L270" s="33">
        <v>35</v>
      </c>
      <c r="M270" s="538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86"/>
      <c r="O270" s="386"/>
      <c r="P270" s="386"/>
      <c r="Q270" s="328"/>
      <c r="R270" s="35"/>
      <c r="S270" s="35"/>
      <c r="T270" s="36" t="s">
        <v>63</v>
      </c>
      <c r="U270" s="304">
        <v>0</v>
      </c>
      <c r="V270" s="305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x14ac:dyDescent="0.2">
      <c r="A271" s="388"/>
      <c r="B271" s="312"/>
      <c r="C271" s="312"/>
      <c r="D271" s="312"/>
      <c r="E271" s="312"/>
      <c r="F271" s="312"/>
      <c r="G271" s="312"/>
      <c r="H271" s="312"/>
      <c r="I271" s="312"/>
      <c r="J271" s="312"/>
      <c r="K271" s="312"/>
      <c r="L271" s="389"/>
      <c r="M271" s="387" t="s">
        <v>64</v>
      </c>
      <c r="N271" s="340"/>
      <c r="O271" s="340"/>
      <c r="P271" s="340"/>
      <c r="Q271" s="340"/>
      <c r="R271" s="340"/>
      <c r="S271" s="341"/>
      <c r="T271" s="38" t="s">
        <v>65</v>
      </c>
      <c r="U271" s="306">
        <f>IFERROR(U268/H268,"0")+IFERROR(U269/H269,"0")+IFERROR(U270/H270,"0")</f>
        <v>12.253086419753087</v>
      </c>
      <c r="V271" s="306">
        <f>IFERROR(V268/H268,"0")+IFERROR(V269/H269,"0")+IFERROR(V270/H270,"0")</f>
        <v>14</v>
      </c>
      <c r="W271" s="306">
        <f>IFERROR(IF(W268="",0,W268),"0")+IFERROR(IF(W269="",0,W269),"0")+IFERROR(IF(W270="",0,W270),"0")</f>
        <v>0.1623</v>
      </c>
      <c r="X271" s="307"/>
      <c r="Y271" s="307"/>
    </row>
    <row r="272" spans="1:52" x14ac:dyDescent="0.2">
      <c r="A272" s="312"/>
      <c r="B272" s="312"/>
      <c r="C272" s="312"/>
      <c r="D272" s="312"/>
      <c r="E272" s="312"/>
      <c r="F272" s="312"/>
      <c r="G272" s="312"/>
      <c r="H272" s="312"/>
      <c r="I272" s="312"/>
      <c r="J272" s="312"/>
      <c r="K272" s="312"/>
      <c r="L272" s="389"/>
      <c r="M272" s="387" t="s">
        <v>64</v>
      </c>
      <c r="N272" s="340"/>
      <c r="O272" s="340"/>
      <c r="P272" s="340"/>
      <c r="Q272" s="340"/>
      <c r="R272" s="340"/>
      <c r="S272" s="341"/>
      <c r="T272" s="38" t="s">
        <v>63</v>
      </c>
      <c r="U272" s="306">
        <f>IFERROR(SUM(U268:U270),"0")</f>
        <v>48.1</v>
      </c>
      <c r="V272" s="306">
        <f>IFERROR(SUM(V268:V270),"0")</f>
        <v>57.599999999999994</v>
      </c>
      <c r="W272" s="38"/>
      <c r="X272" s="307"/>
      <c r="Y272" s="307"/>
    </row>
    <row r="273" spans="1:52" ht="14.25" customHeight="1" x14ac:dyDescent="0.25">
      <c r="A273" s="383" t="s">
        <v>198</v>
      </c>
      <c r="B273" s="312"/>
      <c r="C273" s="312"/>
      <c r="D273" s="312"/>
      <c r="E273" s="312"/>
      <c r="F273" s="312"/>
      <c r="G273" s="312"/>
      <c r="H273" s="312"/>
      <c r="I273" s="312"/>
      <c r="J273" s="312"/>
      <c r="K273" s="312"/>
      <c r="L273" s="312"/>
      <c r="M273" s="312"/>
      <c r="N273" s="312"/>
      <c r="O273" s="312"/>
      <c r="P273" s="312"/>
      <c r="Q273" s="312"/>
      <c r="R273" s="312"/>
      <c r="S273" s="312"/>
      <c r="T273" s="312"/>
      <c r="U273" s="312"/>
      <c r="V273" s="312"/>
      <c r="W273" s="312"/>
      <c r="X273" s="300"/>
      <c r="Y273" s="300"/>
    </row>
    <row r="274" spans="1:52" ht="27" customHeight="1" x14ac:dyDescent="0.25">
      <c r="A274" s="55" t="s">
        <v>405</v>
      </c>
      <c r="B274" s="55" t="s">
        <v>406</v>
      </c>
      <c r="C274" s="32">
        <v>4301060324</v>
      </c>
      <c r="D274" s="384">
        <v>4607091388831</v>
      </c>
      <c r="E274" s="328"/>
      <c r="F274" s="303">
        <v>0.38</v>
      </c>
      <c r="G274" s="33">
        <v>6</v>
      </c>
      <c r="H274" s="303">
        <v>2.2799999999999998</v>
      </c>
      <c r="I274" s="303">
        <v>2.552</v>
      </c>
      <c r="J274" s="33">
        <v>156</v>
      </c>
      <c r="K274" s="34" t="s">
        <v>62</v>
      </c>
      <c r="L274" s="33">
        <v>40</v>
      </c>
      <c r="M274" s="53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86"/>
      <c r="O274" s="386"/>
      <c r="P274" s="386"/>
      <c r="Q274" s="328"/>
      <c r="R274" s="35"/>
      <c r="S274" s="35"/>
      <c r="T274" s="36" t="s">
        <v>63</v>
      </c>
      <c r="U274" s="304">
        <v>0</v>
      </c>
      <c r="V274" s="305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x14ac:dyDescent="0.2">
      <c r="A275" s="388"/>
      <c r="B275" s="312"/>
      <c r="C275" s="312"/>
      <c r="D275" s="312"/>
      <c r="E275" s="312"/>
      <c r="F275" s="312"/>
      <c r="G275" s="312"/>
      <c r="H275" s="312"/>
      <c r="I275" s="312"/>
      <c r="J275" s="312"/>
      <c r="K275" s="312"/>
      <c r="L275" s="389"/>
      <c r="M275" s="387" t="s">
        <v>64</v>
      </c>
      <c r="N275" s="340"/>
      <c r="O275" s="340"/>
      <c r="P275" s="340"/>
      <c r="Q275" s="340"/>
      <c r="R275" s="340"/>
      <c r="S275" s="341"/>
      <c r="T275" s="38" t="s">
        <v>65</v>
      </c>
      <c r="U275" s="306">
        <f>IFERROR(U274/H274,"0")</f>
        <v>0</v>
      </c>
      <c r="V275" s="306">
        <f>IFERROR(V274/H274,"0")</f>
        <v>0</v>
      </c>
      <c r="W275" s="306">
        <f>IFERROR(IF(W274="",0,W274),"0")</f>
        <v>0</v>
      </c>
      <c r="X275" s="307"/>
      <c r="Y275" s="307"/>
    </row>
    <row r="276" spans="1:52" x14ac:dyDescent="0.2">
      <c r="A276" s="312"/>
      <c r="B276" s="312"/>
      <c r="C276" s="312"/>
      <c r="D276" s="312"/>
      <c r="E276" s="312"/>
      <c r="F276" s="312"/>
      <c r="G276" s="312"/>
      <c r="H276" s="312"/>
      <c r="I276" s="312"/>
      <c r="J276" s="312"/>
      <c r="K276" s="312"/>
      <c r="L276" s="389"/>
      <c r="M276" s="387" t="s">
        <v>64</v>
      </c>
      <c r="N276" s="340"/>
      <c r="O276" s="340"/>
      <c r="P276" s="340"/>
      <c r="Q276" s="340"/>
      <c r="R276" s="340"/>
      <c r="S276" s="341"/>
      <c r="T276" s="38" t="s">
        <v>63</v>
      </c>
      <c r="U276" s="306">
        <f>IFERROR(SUM(U274:U274),"0")</f>
        <v>0</v>
      </c>
      <c r="V276" s="306">
        <f>IFERROR(SUM(V274:V274),"0")</f>
        <v>0</v>
      </c>
      <c r="W276" s="38"/>
      <c r="X276" s="307"/>
      <c r="Y276" s="307"/>
    </row>
    <row r="277" spans="1:52" ht="14.25" customHeight="1" x14ac:dyDescent="0.25">
      <c r="A277" s="383" t="s">
        <v>79</v>
      </c>
      <c r="B277" s="312"/>
      <c r="C277" s="312"/>
      <c r="D277" s="312"/>
      <c r="E277" s="312"/>
      <c r="F277" s="312"/>
      <c r="G277" s="312"/>
      <c r="H277" s="312"/>
      <c r="I277" s="312"/>
      <c r="J277" s="312"/>
      <c r="K277" s="312"/>
      <c r="L277" s="312"/>
      <c r="M277" s="312"/>
      <c r="N277" s="312"/>
      <c r="O277" s="312"/>
      <c r="P277" s="312"/>
      <c r="Q277" s="312"/>
      <c r="R277" s="312"/>
      <c r="S277" s="312"/>
      <c r="T277" s="312"/>
      <c r="U277" s="312"/>
      <c r="V277" s="312"/>
      <c r="W277" s="312"/>
      <c r="X277" s="300"/>
      <c r="Y277" s="300"/>
    </row>
    <row r="278" spans="1:52" ht="27" customHeight="1" x14ac:dyDescent="0.25">
      <c r="A278" s="55" t="s">
        <v>407</v>
      </c>
      <c r="B278" s="55" t="s">
        <v>408</v>
      </c>
      <c r="C278" s="32">
        <v>4301032015</v>
      </c>
      <c r="D278" s="384">
        <v>4607091383102</v>
      </c>
      <c r="E278" s="328"/>
      <c r="F278" s="303">
        <v>0.17</v>
      </c>
      <c r="G278" s="33">
        <v>15</v>
      </c>
      <c r="H278" s="303">
        <v>2.5499999999999998</v>
      </c>
      <c r="I278" s="303">
        <v>2.9750000000000001</v>
      </c>
      <c r="J278" s="33">
        <v>156</v>
      </c>
      <c r="K278" s="34" t="s">
        <v>82</v>
      </c>
      <c r="L278" s="33">
        <v>180</v>
      </c>
      <c r="M278" s="54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86"/>
      <c r="O278" s="386"/>
      <c r="P278" s="386"/>
      <c r="Q278" s="328"/>
      <c r="R278" s="35"/>
      <c r="S278" s="35"/>
      <c r="T278" s="36" t="s">
        <v>63</v>
      </c>
      <c r="U278" s="304">
        <v>0</v>
      </c>
      <c r="V278" s="305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88"/>
      <c r="B279" s="312"/>
      <c r="C279" s="312"/>
      <c r="D279" s="312"/>
      <c r="E279" s="312"/>
      <c r="F279" s="312"/>
      <c r="G279" s="312"/>
      <c r="H279" s="312"/>
      <c r="I279" s="312"/>
      <c r="J279" s="312"/>
      <c r="K279" s="312"/>
      <c r="L279" s="389"/>
      <c r="M279" s="387" t="s">
        <v>64</v>
      </c>
      <c r="N279" s="340"/>
      <c r="O279" s="340"/>
      <c r="P279" s="340"/>
      <c r="Q279" s="340"/>
      <c r="R279" s="340"/>
      <c r="S279" s="341"/>
      <c r="T279" s="38" t="s">
        <v>65</v>
      </c>
      <c r="U279" s="306">
        <f>IFERROR(U278/H278,"0")</f>
        <v>0</v>
      </c>
      <c r="V279" s="306">
        <f>IFERROR(V278/H278,"0")</f>
        <v>0</v>
      </c>
      <c r="W279" s="306">
        <f>IFERROR(IF(W278="",0,W278),"0")</f>
        <v>0</v>
      </c>
      <c r="X279" s="307"/>
      <c r="Y279" s="307"/>
    </row>
    <row r="280" spans="1:52" x14ac:dyDescent="0.2">
      <c r="A280" s="312"/>
      <c r="B280" s="312"/>
      <c r="C280" s="312"/>
      <c r="D280" s="312"/>
      <c r="E280" s="312"/>
      <c r="F280" s="312"/>
      <c r="G280" s="312"/>
      <c r="H280" s="312"/>
      <c r="I280" s="312"/>
      <c r="J280" s="312"/>
      <c r="K280" s="312"/>
      <c r="L280" s="389"/>
      <c r="M280" s="387" t="s">
        <v>64</v>
      </c>
      <c r="N280" s="340"/>
      <c r="O280" s="340"/>
      <c r="P280" s="340"/>
      <c r="Q280" s="340"/>
      <c r="R280" s="340"/>
      <c r="S280" s="341"/>
      <c r="T280" s="38" t="s">
        <v>63</v>
      </c>
      <c r="U280" s="306">
        <f>IFERROR(SUM(U278:U278),"0")</f>
        <v>0</v>
      </c>
      <c r="V280" s="306">
        <f>IFERROR(SUM(V278:V278),"0")</f>
        <v>0</v>
      </c>
      <c r="W280" s="38"/>
      <c r="X280" s="307"/>
      <c r="Y280" s="307"/>
    </row>
    <row r="281" spans="1:52" ht="27.75" customHeight="1" x14ac:dyDescent="0.2">
      <c r="A281" s="380" t="s">
        <v>409</v>
      </c>
      <c r="B281" s="381"/>
      <c r="C281" s="381"/>
      <c r="D281" s="381"/>
      <c r="E281" s="381"/>
      <c r="F281" s="381"/>
      <c r="G281" s="381"/>
      <c r="H281" s="381"/>
      <c r="I281" s="381"/>
      <c r="J281" s="381"/>
      <c r="K281" s="381"/>
      <c r="L281" s="381"/>
      <c r="M281" s="381"/>
      <c r="N281" s="381"/>
      <c r="O281" s="381"/>
      <c r="P281" s="381"/>
      <c r="Q281" s="381"/>
      <c r="R281" s="381"/>
      <c r="S281" s="381"/>
      <c r="T281" s="381"/>
      <c r="U281" s="381"/>
      <c r="V281" s="381"/>
      <c r="W281" s="381"/>
      <c r="X281" s="49"/>
      <c r="Y281" s="49"/>
    </row>
    <row r="282" spans="1:52" ht="16.5" customHeight="1" x14ac:dyDescent="0.25">
      <c r="A282" s="382" t="s">
        <v>410</v>
      </c>
      <c r="B282" s="312"/>
      <c r="C282" s="312"/>
      <c r="D282" s="312"/>
      <c r="E282" s="312"/>
      <c r="F282" s="312"/>
      <c r="G282" s="312"/>
      <c r="H282" s="312"/>
      <c r="I282" s="312"/>
      <c r="J282" s="312"/>
      <c r="K282" s="312"/>
      <c r="L282" s="312"/>
      <c r="M282" s="312"/>
      <c r="N282" s="312"/>
      <c r="O282" s="312"/>
      <c r="P282" s="312"/>
      <c r="Q282" s="312"/>
      <c r="R282" s="312"/>
      <c r="S282" s="312"/>
      <c r="T282" s="312"/>
      <c r="U282" s="312"/>
      <c r="V282" s="312"/>
      <c r="W282" s="312"/>
      <c r="X282" s="299"/>
      <c r="Y282" s="299"/>
    </row>
    <row r="283" spans="1:52" ht="14.25" customHeight="1" x14ac:dyDescent="0.25">
      <c r="A283" s="383" t="s">
        <v>100</v>
      </c>
      <c r="B283" s="312"/>
      <c r="C283" s="312"/>
      <c r="D283" s="312"/>
      <c r="E283" s="312"/>
      <c r="F283" s="312"/>
      <c r="G283" s="312"/>
      <c r="H283" s="312"/>
      <c r="I283" s="312"/>
      <c r="J283" s="312"/>
      <c r="K283" s="312"/>
      <c r="L283" s="312"/>
      <c r="M283" s="312"/>
      <c r="N283" s="312"/>
      <c r="O283" s="312"/>
      <c r="P283" s="312"/>
      <c r="Q283" s="312"/>
      <c r="R283" s="312"/>
      <c r="S283" s="312"/>
      <c r="T283" s="312"/>
      <c r="U283" s="312"/>
      <c r="V283" s="312"/>
      <c r="W283" s="312"/>
      <c r="X283" s="300"/>
      <c r="Y283" s="300"/>
    </row>
    <row r="284" spans="1:52" ht="27" customHeight="1" x14ac:dyDescent="0.25">
      <c r="A284" s="55" t="s">
        <v>411</v>
      </c>
      <c r="B284" s="55" t="s">
        <v>412</v>
      </c>
      <c r="C284" s="32">
        <v>4301011239</v>
      </c>
      <c r="D284" s="384">
        <v>4607091383997</v>
      </c>
      <c r="E284" s="328"/>
      <c r="F284" s="303">
        <v>2.5</v>
      </c>
      <c r="G284" s="33">
        <v>6</v>
      </c>
      <c r="H284" s="303">
        <v>15</v>
      </c>
      <c r="I284" s="303">
        <v>15.48</v>
      </c>
      <c r="J284" s="33">
        <v>48</v>
      </c>
      <c r="K284" s="34" t="s">
        <v>307</v>
      </c>
      <c r="L284" s="33">
        <v>60</v>
      </c>
      <c r="M284" s="54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86"/>
      <c r="O284" s="386"/>
      <c r="P284" s="386"/>
      <c r="Q284" s="328"/>
      <c r="R284" s="35"/>
      <c r="S284" s="35"/>
      <c r="T284" s="36" t="s">
        <v>63</v>
      </c>
      <c r="U284" s="304">
        <v>0</v>
      </c>
      <c r="V284" s="305">
        <f t="shared" ref="V284:V291" si="14">IFERROR(IF(U284="",0,CEILING((U284/$H284),1)*$H284),"")</f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411</v>
      </c>
      <c r="B285" s="55" t="s">
        <v>413</v>
      </c>
      <c r="C285" s="32">
        <v>4301011339</v>
      </c>
      <c r="D285" s="384">
        <v>4607091383997</v>
      </c>
      <c r="E285" s="328"/>
      <c r="F285" s="303">
        <v>2.5</v>
      </c>
      <c r="G285" s="33">
        <v>6</v>
      </c>
      <c r="H285" s="303">
        <v>15</v>
      </c>
      <c r="I285" s="303">
        <v>15.48</v>
      </c>
      <c r="J285" s="33">
        <v>48</v>
      </c>
      <c r="K285" s="34" t="s">
        <v>62</v>
      </c>
      <c r="L285" s="33">
        <v>60</v>
      </c>
      <c r="M285" s="54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6"/>
      <c r="O285" s="386"/>
      <c r="P285" s="386"/>
      <c r="Q285" s="328"/>
      <c r="R285" s="35"/>
      <c r="S285" s="35"/>
      <c r="T285" s="36" t="s">
        <v>63</v>
      </c>
      <c r="U285" s="304">
        <v>0</v>
      </c>
      <c r="V285" s="305">
        <f t="shared" si="14"/>
        <v>0</v>
      </c>
      <c r="W285" s="37" t="str">
        <f>IFERROR(IF(V285=0,"",ROUNDUP(V285/H285,0)*0.02175),"")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414</v>
      </c>
      <c r="B286" s="55" t="s">
        <v>415</v>
      </c>
      <c r="C286" s="32">
        <v>4301011326</v>
      </c>
      <c r="D286" s="384">
        <v>4607091384130</v>
      </c>
      <c r="E286" s="328"/>
      <c r="F286" s="303">
        <v>2.5</v>
      </c>
      <c r="G286" s="33">
        <v>6</v>
      </c>
      <c r="H286" s="303">
        <v>15</v>
      </c>
      <c r="I286" s="303">
        <v>15.48</v>
      </c>
      <c r="J286" s="33">
        <v>48</v>
      </c>
      <c r="K286" s="34" t="s">
        <v>62</v>
      </c>
      <c r="L286" s="33">
        <v>60</v>
      </c>
      <c r="M286" s="54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86"/>
      <c r="O286" s="386"/>
      <c r="P286" s="386"/>
      <c r="Q286" s="328"/>
      <c r="R286" s="35"/>
      <c r="S286" s="35"/>
      <c r="T286" s="36" t="s">
        <v>63</v>
      </c>
      <c r="U286" s="304">
        <v>165</v>
      </c>
      <c r="V286" s="305">
        <f t="shared" si="14"/>
        <v>165</v>
      </c>
      <c r="W286" s="37">
        <f>IFERROR(IF(V286=0,"",ROUNDUP(V286/H286,0)*0.02175),"")</f>
        <v>0.23924999999999999</v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414</v>
      </c>
      <c r="B287" s="55" t="s">
        <v>416</v>
      </c>
      <c r="C287" s="32">
        <v>4301011240</v>
      </c>
      <c r="D287" s="384">
        <v>4607091384130</v>
      </c>
      <c r="E287" s="328"/>
      <c r="F287" s="303">
        <v>2.5</v>
      </c>
      <c r="G287" s="33">
        <v>6</v>
      </c>
      <c r="H287" s="303">
        <v>15</v>
      </c>
      <c r="I287" s="303">
        <v>15.48</v>
      </c>
      <c r="J287" s="33">
        <v>48</v>
      </c>
      <c r="K287" s="34" t="s">
        <v>307</v>
      </c>
      <c r="L287" s="33">
        <v>60</v>
      </c>
      <c r="M287" s="54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6"/>
      <c r="O287" s="386"/>
      <c r="P287" s="386"/>
      <c r="Q287" s="328"/>
      <c r="R287" s="35"/>
      <c r="S287" s="35"/>
      <c r="T287" s="36" t="s">
        <v>63</v>
      </c>
      <c r="U287" s="304">
        <v>0</v>
      </c>
      <c r="V287" s="305">
        <f t="shared" si="14"/>
        <v>0</v>
      </c>
      <c r="W287" s="37" t="str">
        <f>IFERROR(IF(V287=0,"",ROUNDUP(V287/H287,0)*0.02039),"")</f>
        <v/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417</v>
      </c>
      <c r="B288" s="55" t="s">
        <v>418</v>
      </c>
      <c r="C288" s="32">
        <v>4301011330</v>
      </c>
      <c r="D288" s="384">
        <v>4607091384147</v>
      </c>
      <c r="E288" s="328"/>
      <c r="F288" s="303">
        <v>2.5</v>
      </c>
      <c r="G288" s="33">
        <v>6</v>
      </c>
      <c r="H288" s="303">
        <v>15</v>
      </c>
      <c r="I288" s="303">
        <v>15.48</v>
      </c>
      <c r="J288" s="33">
        <v>48</v>
      </c>
      <c r="K288" s="34" t="s">
        <v>62</v>
      </c>
      <c r="L288" s="33">
        <v>60</v>
      </c>
      <c r="M288" s="54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86"/>
      <c r="O288" s="386"/>
      <c r="P288" s="386"/>
      <c r="Q288" s="328"/>
      <c r="R288" s="35"/>
      <c r="S288" s="35"/>
      <c r="T288" s="36" t="s">
        <v>63</v>
      </c>
      <c r="U288" s="304">
        <v>0</v>
      </c>
      <c r="V288" s="305">
        <f t="shared" si="14"/>
        <v>0</v>
      </c>
      <c r="W288" s="37" t="str">
        <f>IFERROR(IF(V288=0,"",ROUNDUP(V288/H288,0)*0.02175),"")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417</v>
      </c>
      <c r="B289" s="55" t="s">
        <v>419</v>
      </c>
      <c r="C289" s="32">
        <v>4301011238</v>
      </c>
      <c r="D289" s="384">
        <v>4607091384147</v>
      </c>
      <c r="E289" s="328"/>
      <c r="F289" s="303">
        <v>2.5</v>
      </c>
      <c r="G289" s="33">
        <v>6</v>
      </c>
      <c r="H289" s="303">
        <v>15</v>
      </c>
      <c r="I289" s="303">
        <v>15.48</v>
      </c>
      <c r="J289" s="33">
        <v>48</v>
      </c>
      <c r="K289" s="34" t="s">
        <v>307</v>
      </c>
      <c r="L289" s="33">
        <v>60</v>
      </c>
      <c r="M289" s="546" t="s">
        <v>420</v>
      </c>
      <c r="N289" s="386"/>
      <c r="O289" s="386"/>
      <c r="P289" s="386"/>
      <c r="Q289" s="328"/>
      <c r="R289" s="35"/>
      <c r="S289" s="35"/>
      <c r="T289" s="36" t="s">
        <v>63</v>
      </c>
      <c r="U289" s="304">
        <v>0</v>
      </c>
      <c r="V289" s="305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421</v>
      </c>
      <c r="B290" s="55" t="s">
        <v>422</v>
      </c>
      <c r="C290" s="32">
        <v>4301011327</v>
      </c>
      <c r="D290" s="384">
        <v>4607091384154</v>
      </c>
      <c r="E290" s="328"/>
      <c r="F290" s="303">
        <v>0.5</v>
      </c>
      <c r="G290" s="33">
        <v>10</v>
      </c>
      <c r="H290" s="303">
        <v>5</v>
      </c>
      <c r="I290" s="303">
        <v>5.21</v>
      </c>
      <c r="J290" s="33">
        <v>120</v>
      </c>
      <c r="K290" s="34" t="s">
        <v>62</v>
      </c>
      <c r="L290" s="33">
        <v>60</v>
      </c>
      <c r="M290" s="54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86"/>
      <c r="O290" s="386"/>
      <c r="P290" s="386"/>
      <c r="Q290" s="328"/>
      <c r="R290" s="35"/>
      <c r="S290" s="35"/>
      <c r="T290" s="36" t="s">
        <v>63</v>
      </c>
      <c r="U290" s="304">
        <v>0</v>
      </c>
      <c r="V290" s="305">
        <f t="shared" si="14"/>
        <v>0</v>
      </c>
      <c r="W290" s="37" t="str">
        <f>IFERROR(IF(V290=0,"",ROUNDUP(V290/H290,0)*0.00937),"")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423</v>
      </c>
      <c r="B291" s="55" t="s">
        <v>424</v>
      </c>
      <c r="C291" s="32">
        <v>4301011332</v>
      </c>
      <c r="D291" s="384">
        <v>4607091384161</v>
      </c>
      <c r="E291" s="328"/>
      <c r="F291" s="303">
        <v>0.5</v>
      </c>
      <c r="G291" s="33">
        <v>10</v>
      </c>
      <c r="H291" s="303">
        <v>5</v>
      </c>
      <c r="I291" s="303">
        <v>5.21</v>
      </c>
      <c r="J291" s="33">
        <v>120</v>
      </c>
      <c r="K291" s="34" t="s">
        <v>62</v>
      </c>
      <c r="L291" s="33">
        <v>60</v>
      </c>
      <c r="M291" s="54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86"/>
      <c r="O291" s="386"/>
      <c r="P291" s="386"/>
      <c r="Q291" s="328"/>
      <c r="R291" s="35"/>
      <c r="S291" s="35"/>
      <c r="T291" s="36" t="s">
        <v>63</v>
      </c>
      <c r="U291" s="304">
        <v>0</v>
      </c>
      <c r="V291" s="305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x14ac:dyDescent="0.2">
      <c r="A292" s="388"/>
      <c r="B292" s="312"/>
      <c r="C292" s="312"/>
      <c r="D292" s="312"/>
      <c r="E292" s="312"/>
      <c r="F292" s="312"/>
      <c r="G292" s="312"/>
      <c r="H292" s="312"/>
      <c r="I292" s="312"/>
      <c r="J292" s="312"/>
      <c r="K292" s="312"/>
      <c r="L292" s="389"/>
      <c r="M292" s="387" t="s">
        <v>64</v>
      </c>
      <c r="N292" s="340"/>
      <c r="O292" s="340"/>
      <c r="P292" s="340"/>
      <c r="Q292" s="340"/>
      <c r="R292" s="340"/>
      <c r="S292" s="341"/>
      <c r="T292" s="38" t="s">
        <v>65</v>
      </c>
      <c r="U292" s="306">
        <f>IFERROR(U284/H284,"0")+IFERROR(U285/H285,"0")+IFERROR(U286/H286,"0")+IFERROR(U287/H287,"0")+IFERROR(U288/H288,"0")+IFERROR(U289/H289,"0")+IFERROR(U290/H290,"0")+IFERROR(U291/H291,"0")</f>
        <v>11</v>
      </c>
      <c r="V292" s="306">
        <f>IFERROR(V284/H284,"0")+IFERROR(V285/H285,"0")+IFERROR(V286/H286,"0")+IFERROR(V287/H287,"0")+IFERROR(V288/H288,"0")+IFERROR(V289/H289,"0")+IFERROR(V290/H290,"0")+IFERROR(V291/H291,"0")</f>
        <v>11</v>
      </c>
      <c r="W292" s="306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0.23924999999999999</v>
      </c>
      <c r="X292" s="307"/>
      <c r="Y292" s="307"/>
    </row>
    <row r="293" spans="1:52" x14ac:dyDescent="0.2">
      <c r="A293" s="312"/>
      <c r="B293" s="312"/>
      <c r="C293" s="312"/>
      <c r="D293" s="312"/>
      <c r="E293" s="312"/>
      <c r="F293" s="312"/>
      <c r="G293" s="312"/>
      <c r="H293" s="312"/>
      <c r="I293" s="312"/>
      <c r="J293" s="312"/>
      <c r="K293" s="312"/>
      <c r="L293" s="389"/>
      <c r="M293" s="387" t="s">
        <v>64</v>
      </c>
      <c r="N293" s="340"/>
      <c r="O293" s="340"/>
      <c r="P293" s="340"/>
      <c r="Q293" s="340"/>
      <c r="R293" s="340"/>
      <c r="S293" s="341"/>
      <c r="T293" s="38" t="s">
        <v>63</v>
      </c>
      <c r="U293" s="306">
        <f>IFERROR(SUM(U284:U291),"0")</f>
        <v>165</v>
      </c>
      <c r="V293" s="306">
        <f>IFERROR(SUM(V284:V291),"0")</f>
        <v>165</v>
      </c>
      <c r="W293" s="38"/>
      <c r="X293" s="307"/>
      <c r="Y293" s="307"/>
    </row>
    <row r="294" spans="1:52" ht="14.25" customHeight="1" x14ac:dyDescent="0.25">
      <c r="A294" s="383" t="s">
        <v>93</v>
      </c>
      <c r="B294" s="312"/>
      <c r="C294" s="312"/>
      <c r="D294" s="312"/>
      <c r="E294" s="312"/>
      <c r="F294" s="312"/>
      <c r="G294" s="312"/>
      <c r="H294" s="312"/>
      <c r="I294" s="312"/>
      <c r="J294" s="312"/>
      <c r="K294" s="312"/>
      <c r="L294" s="312"/>
      <c r="M294" s="312"/>
      <c r="N294" s="312"/>
      <c r="O294" s="312"/>
      <c r="P294" s="312"/>
      <c r="Q294" s="312"/>
      <c r="R294" s="312"/>
      <c r="S294" s="312"/>
      <c r="T294" s="312"/>
      <c r="U294" s="312"/>
      <c r="V294" s="312"/>
      <c r="W294" s="312"/>
      <c r="X294" s="300"/>
      <c r="Y294" s="300"/>
    </row>
    <row r="295" spans="1:52" ht="27" customHeight="1" x14ac:dyDescent="0.25">
      <c r="A295" s="55" t="s">
        <v>425</v>
      </c>
      <c r="B295" s="55" t="s">
        <v>426</v>
      </c>
      <c r="C295" s="32">
        <v>4301020178</v>
      </c>
      <c r="D295" s="384">
        <v>4607091383980</v>
      </c>
      <c r="E295" s="328"/>
      <c r="F295" s="303">
        <v>2.5</v>
      </c>
      <c r="G295" s="33">
        <v>6</v>
      </c>
      <c r="H295" s="303">
        <v>15</v>
      </c>
      <c r="I295" s="303">
        <v>15.48</v>
      </c>
      <c r="J295" s="33">
        <v>48</v>
      </c>
      <c r="K295" s="34" t="s">
        <v>96</v>
      </c>
      <c r="L295" s="33">
        <v>50</v>
      </c>
      <c r="M295" s="5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86"/>
      <c r="O295" s="386"/>
      <c r="P295" s="386"/>
      <c r="Q295" s="328"/>
      <c r="R295" s="35"/>
      <c r="S295" s="35"/>
      <c r="T295" s="36" t="s">
        <v>63</v>
      </c>
      <c r="U295" s="304">
        <v>630</v>
      </c>
      <c r="V295" s="305">
        <f>IFERROR(IF(U295="",0,CEILING((U295/$H295),1)*$H295),"")</f>
        <v>630</v>
      </c>
      <c r="W295" s="37">
        <f>IFERROR(IF(V295=0,"",ROUNDUP(V295/H295,0)*0.02175),"")</f>
        <v>0.91349999999999998</v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427</v>
      </c>
      <c r="B296" s="55" t="s">
        <v>428</v>
      </c>
      <c r="C296" s="32">
        <v>4301020179</v>
      </c>
      <c r="D296" s="384">
        <v>4607091384178</v>
      </c>
      <c r="E296" s="328"/>
      <c r="F296" s="303">
        <v>0.4</v>
      </c>
      <c r="G296" s="33">
        <v>10</v>
      </c>
      <c r="H296" s="303">
        <v>4</v>
      </c>
      <c r="I296" s="303">
        <v>4.24</v>
      </c>
      <c r="J296" s="33">
        <v>120</v>
      </c>
      <c r="K296" s="34" t="s">
        <v>96</v>
      </c>
      <c r="L296" s="33">
        <v>50</v>
      </c>
      <c r="M296" s="55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86"/>
      <c r="O296" s="386"/>
      <c r="P296" s="386"/>
      <c r="Q296" s="328"/>
      <c r="R296" s="35"/>
      <c r="S296" s="35"/>
      <c r="T296" s="36" t="s">
        <v>63</v>
      </c>
      <c r="U296" s="304">
        <v>0</v>
      </c>
      <c r="V296" s="305">
        <f>IFERROR(IF(U296="",0,CEILING((U296/$H296),1)*$H296),"")</f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x14ac:dyDescent="0.2">
      <c r="A297" s="388"/>
      <c r="B297" s="312"/>
      <c r="C297" s="312"/>
      <c r="D297" s="312"/>
      <c r="E297" s="312"/>
      <c r="F297" s="312"/>
      <c r="G297" s="312"/>
      <c r="H297" s="312"/>
      <c r="I297" s="312"/>
      <c r="J297" s="312"/>
      <c r="K297" s="312"/>
      <c r="L297" s="389"/>
      <c r="M297" s="387" t="s">
        <v>64</v>
      </c>
      <c r="N297" s="340"/>
      <c r="O297" s="340"/>
      <c r="P297" s="340"/>
      <c r="Q297" s="340"/>
      <c r="R297" s="340"/>
      <c r="S297" s="341"/>
      <c r="T297" s="38" t="s">
        <v>65</v>
      </c>
      <c r="U297" s="306">
        <f>IFERROR(U295/H295,"0")+IFERROR(U296/H296,"0")</f>
        <v>42</v>
      </c>
      <c r="V297" s="306">
        <f>IFERROR(V295/H295,"0")+IFERROR(V296/H296,"0")</f>
        <v>42</v>
      </c>
      <c r="W297" s="306">
        <f>IFERROR(IF(W295="",0,W295),"0")+IFERROR(IF(W296="",0,W296),"0")</f>
        <v>0.91349999999999998</v>
      </c>
      <c r="X297" s="307"/>
      <c r="Y297" s="307"/>
    </row>
    <row r="298" spans="1:52" x14ac:dyDescent="0.2">
      <c r="A298" s="312"/>
      <c r="B298" s="312"/>
      <c r="C298" s="312"/>
      <c r="D298" s="312"/>
      <c r="E298" s="312"/>
      <c r="F298" s="312"/>
      <c r="G298" s="312"/>
      <c r="H298" s="312"/>
      <c r="I298" s="312"/>
      <c r="J298" s="312"/>
      <c r="K298" s="312"/>
      <c r="L298" s="389"/>
      <c r="M298" s="387" t="s">
        <v>64</v>
      </c>
      <c r="N298" s="340"/>
      <c r="O298" s="340"/>
      <c r="P298" s="340"/>
      <c r="Q298" s="340"/>
      <c r="R298" s="340"/>
      <c r="S298" s="341"/>
      <c r="T298" s="38" t="s">
        <v>63</v>
      </c>
      <c r="U298" s="306">
        <f>IFERROR(SUM(U295:U296),"0")</f>
        <v>630</v>
      </c>
      <c r="V298" s="306">
        <f>IFERROR(SUM(V295:V296),"0")</f>
        <v>630</v>
      </c>
      <c r="W298" s="38"/>
      <c r="X298" s="307"/>
      <c r="Y298" s="307"/>
    </row>
    <row r="299" spans="1:52" ht="14.25" customHeight="1" x14ac:dyDescent="0.25">
      <c r="A299" s="383" t="s">
        <v>66</v>
      </c>
      <c r="B299" s="312"/>
      <c r="C299" s="312"/>
      <c r="D299" s="312"/>
      <c r="E299" s="312"/>
      <c r="F299" s="312"/>
      <c r="G299" s="312"/>
      <c r="H299" s="312"/>
      <c r="I299" s="312"/>
      <c r="J299" s="312"/>
      <c r="K299" s="312"/>
      <c r="L299" s="312"/>
      <c r="M299" s="312"/>
      <c r="N299" s="312"/>
      <c r="O299" s="312"/>
      <c r="P299" s="312"/>
      <c r="Q299" s="312"/>
      <c r="R299" s="312"/>
      <c r="S299" s="312"/>
      <c r="T299" s="312"/>
      <c r="U299" s="312"/>
      <c r="V299" s="312"/>
      <c r="W299" s="312"/>
      <c r="X299" s="300"/>
      <c r="Y299" s="300"/>
    </row>
    <row r="300" spans="1:52" ht="27" customHeight="1" x14ac:dyDescent="0.25">
      <c r="A300" s="55" t="s">
        <v>429</v>
      </c>
      <c r="B300" s="55" t="s">
        <v>430</v>
      </c>
      <c r="C300" s="32">
        <v>4301051298</v>
      </c>
      <c r="D300" s="384">
        <v>4607091384260</v>
      </c>
      <c r="E300" s="328"/>
      <c r="F300" s="303">
        <v>1.3</v>
      </c>
      <c r="G300" s="33">
        <v>6</v>
      </c>
      <c r="H300" s="303">
        <v>7.8</v>
      </c>
      <c r="I300" s="303">
        <v>8.3640000000000008</v>
      </c>
      <c r="J300" s="33">
        <v>56</v>
      </c>
      <c r="K300" s="34" t="s">
        <v>62</v>
      </c>
      <c r="L300" s="33">
        <v>35</v>
      </c>
      <c r="M300" s="55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0" s="386"/>
      <c r="O300" s="386"/>
      <c r="P300" s="386"/>
      <c r="Q300" s="328"/>
      <c r="R300" s="35"/>
      <c r="S300" s="35"/>
      <c r="T300" s="36" t="s">
        <v>63</v>
      </c>
      <c r="U300" s="304">
        <v>0</v>
      </c>
      <c r="V300" s="305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  <c r="AC300" s="59"/>
      <c r="AZ300" s="222" t="s">
        <v>1</v>
      </c>
    </row>
    <row r="301" spans="1:52" x14ac:dyDescent="0.2">
      <c r="A301" s="388"/>
      <c r="B301" s="312"/>
      <c r="C301" s="312"/>
      <c r="D301" s="312"/>
      <c r="E301" s="312"/>
      <c r="F301" s="312"/>
      <c r="G301" s="312"/>
      <c r="H301" s="312"/>
      <c r="I301" s="312"/>
      <c r="J301" s="312"/>
      <c r="K301" s="312"/>
      <c r="L301" s="389"/>
      <c r="M301" s="387" t="s">
        <v>64</v>
      </c>
      <c r="N301" s="340"/>
      <c r="O301" s="340"/>
      <c r="P301" s="340"/>
      <c r="Q301" s="340"/>
      <c r="R301" s="340"/>
      <c r="S301" s="341"/>
      <c r="T301" s="38" t="s">
        <v>65</v>
      </c>
      <c r="U301" s="306">
        <f>IFERROR(U300/H300,"0")</f>
        <v>0</v>
      </c>
      <c r="V301" s="306">
        <f>IFERROR(V300/H300,"0")</f>
        <v>0</v>
      </c>
      <c r="W301" s="306">
        <f>IFERROR(IF(W300="",0,W300),"0")</f>
        <v>0</v>
      </c>
      <c r="X301" s="307"/>
      <c r="Y301" s="307"/>
    </row>
    <row r="302" spans="1:52" x14ac:dyDescent="0.2">
      <c r="A302" s="312"/>
      <c r="B302" s="312"/>
      <c r="C302" s="312"/>
      <c r="D302" s="312"/>
      <c r="E302" s="312"/>
      <c r="F302" s="312"/>
      <c r="G302" s="312"/>
      <c r="H302" s="312"/>
      <c r="I302" s="312"/>
      <c r="J302" s="312"/>
      <c r="K302" s="312"/>
      <c r="L302" s="389"/>
      <c r="M302" s="387" t="s">
        <v>64</v>
      </c>
      <c r="N302" s="340"/>
      <c r="O302" s="340"/>
      <c r="P302" s="340"/>
      <c r="Q302" s="340"/>
      <c r="R302" s="340"/>
      <c r="S302" s="341"/>
      <c r="T302" s="38" t="s">
        <v>63</v>
      </c>
      <c r="U302" s="306">
        <f>IFERROR(SUM(U300:U300),"0")</f>
        <v>0</v>
      </c>
      <c r="V302" s="306">
        <f>IFERROR(SUM(V300:V300),"0")</f>
        <v>0</v>
      </c>
      <c r="W302" s="38"/>
      <c r="X302" s="307"/>
      <c r="Y302" s="307"/>
    </row>
    <row r="303" spans="1:52" ht="14.25" customHeight="1" x14ac:dyDescent="0.25">
      <c r="A303" s="383" t="s">
        <v>198</v>
      </c>
      <c r="B303" s="312"/>
      <c r="C303" s="312"/>
      <c r="D303" s="312"/>
      <c r="E303" s="312"/>
      <c r="F303" s="312"/>
      <c r="G303" s="312"/>
      <c r="H303" s="312"/>
      <c r="I303" s="312"/>
      <c r="J303" s="312"/>
      <c r="K303" s="312"/>
      <c r="L303" s="312"/>
      <c r="M303" s="312"/>
      <c r="N303" s="312"/>
      <c r="O303" s="312"/>
      <c r="P303" s="312"/>
      <c r="Q303" s="312"/>
      <c r="R303" s="312"/>
      <c r="S303" s="312"/>
      <c r="T303" s="312"/>
      <c r="U303" s="312"/>
      <c r="V303" s="312"/>
      <c r="W303" s="312"/>
      <c r="X303" s="300"/>
      <c r="Y303" s="300"/>
    </row>
    <row r="304" spans="1:52" ht="16.5" customHeight="1" x14ac:dyDescent="0.25">
      <c r="A304" s="55" t="s">
        <v>431</v>
      </c>
      <c r="B304" s="55" t="s">
        <v>432</v>
      </c>
      <c r="C304" s="32">
        <v>4301060314</v>
      </c>
      <c r="D304" s="384">
        <v>4607091384673</v>
      </c>
      <c r="E304" s="328"/>
      <c r="F304" s="303">
        <v>1.3</v>
      </c>
      <c r="G304" s="33">
        <v>6</v>
      </c>
      <c r="H304" s="303">
        <v>7.8</v>
      </c>
      <c r="I304" s="303">
        <v>8.3640000000000008</v>
      </c>
      <c r="J304" s="33">
        <v>56</v>
      </c>
      <c r="K304" s="34" t="s">
        <v>62</v>
      </c>
      <c r="L304" s="33">
        <v>30</v>
      </c>
      <c r="M304" s="55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4" s="386"/>
      <c r="O304" s="386"/>
      <c r="P304" s="386"/>
      <c r="Q304" s="328"/>
      <c r="R304" s="35"/>
      <c r="S304" s="35"/>
      <c r="T304" s="36" t="s">
        <v>63</v>
      </c>
      <c r="U304" s="304">
        <v>0</v>
      </c>
      <c r="V304" s="305">
        <f>IFERROR(IF(U304="",0,CEILING((U304/$H304),1)*$H304),"")</f>
        <v>0</v>
      </c>
      <c r="W304" s="37" t="str">
        <f>IFERROR(IF(V304=0,"",ROUNDUP(V304/H304,0)*0.02175),"")</f>
        <v/>
      </c>
      <c r="X304" s="57"/>
      <c r="Y304" s="58"/>
      <c r="AC304" s="59"/>
      <c r="AZ304" s="223" t="s">
        <v>1</v>
      </c>
    </row>
    <row r="305" spans="1:52" x14ac:dyDescent="0.2">
      <c r="A305" s="388"/>
      <c r="B305" s="312"/>
      <c r="C305" s="312"/>
      <c r="D305" s="312"/>
      <c r="E305" s="312"/>
      <c r="F305" s="312"/>
      <c r="G305" s="312"/>
      <c r="H305" s="312"/>
      <c r="I305" s="312"/>
      <c r="J305" s="312"/>
      <c r="K305" s="312"/>
      <c r="L305" s="389"/>
      <c r="M305" s="387" t="s">
        <v>64</v>
      </c>
      <c r="N305" s="340"/>
      <c r="O305" s="340"/>
      <c r="P305" s="340"/>
      <c r="Q305" s="340"/>
      <c r="R305" s="340"/>
      <c r="S305" s="341"/>
      <c r="T305" s="38" t="s">
        <v>65</v>
      </c>
      <c r="U305" s="306">
        <f>IFERROR(U304/H304,"0")</f>
        <v>0</v>
      </c>
      <c r="V305" s="306">
        <f>IFERROR(V304/H304,"0")</f>
        <v>0</v>
      </c>
      <c r="W305" s="306">
        <f>IFERROR(IF(W304="",0,W304),"0")</f>
        <v>0</v>
      </c>
      <c r="X305" s="307"/>
      <c r="Y305" s="307"/>
    </row>
    <row r="306" spans="1:52" x14ac:dyDescent="0.2">
      <c r="A306" s="312"/>
      <c r="B306" s="312"/>
      <c r="C306" s="312"/>
      <c r="D306" s="312"/>
      <c r="E306" s="312"/>
      <c r="F306" s="312"/>
      <c r="G306" s="312"/>
      <c r="H306" s="312"/>
      <c r="I306" s="312"/>
      <c r="J306" s="312"/>
      <c r="K306" s="312"/>
      <c r="L306" s="389"/>
      <c r="M306" s="387" t="s">
        <v>64</v>
      </c>
      <c r="N306" s="340"/>
      <c r="O306" s="340"/>
      <c r="P306" s="340"/>
      <c r="Q306" s="340"/>
      <c r="R306" s="340"/>
      <c r="S306" s="341"/>
      <c r="T306" s="38" t="s">
        <v>63</v>
      </c>
      <c r="U306" s="306">
        <f>IFERROR(SUM(U304:U304),"0")</f>
        <v>0</v>
      </c>
      <c r="V306" s="306">
        <f>IFERROR(SUM(V304:V304),"0")</f>
        <v>0</v>
      </c>
      <c r="W306" s="38"/>
      <c r="X306" s="307"/>
      <c r="Y306" s="307"/>
    </row>
    <row r="307" spans="1:52" ht="16.5" customHeight="1" x14ac:dyDescent="0.25">
      <c r="A307" s="382" t="s">
        <v>433</v>
      </c>
      <c r="B307" s="312"/>
      <c r="C307" s="312"/>
      <c r="D307" s="312"/>
      <c r="E307" s="312"/>
      <c r="F307" s="312"/>
      <c r="G307" s="312"/>
      <c r="H307" s="312"/>
      <c r="I307" s="312"/>
      <c r="J307" s="312"/>
      <c r="K307" s="312"/>
      <c r="L307" s="312"/>
      <c r="M307" s="312"/>
      <c r="N307" s="312"/>
      <c r="O307" s="312"/>
      <c r="P307" s="312"/>
      <c r="Q307" s="312"/>
      <c r="R307" s="312"/>
      <c r="S307" s="312"/>
      <c r="T307" s="312"/>
      <c r="U307" s="312"/>
      <c r="V307" s="312"/>
      <c r="W307" s="312"/>
      <c r="X307" s="299"/>
      <c r="Y307" s="299"/>
    </row>
    <row r="308" spans="1:52" ht="14.25" customHeight="1" x14ac:dyDescent="0.25">
      <c r="A308" s="383" t="s">
        <v>100</v>
      </c>
      <c r="B308" s="312"/>
      <c r="C308" s="312"/>
      <c r="D308" s="312"/>
      <c r="E308" s="312"/>
      <c r="F308" s="312"/>
      <c r="G308" s="312"/>
      <c r="H308" s="312"/>
      <c r="I308" s="312"/>
      <c r="J308" s="312"/>
      <c r="K308" s="312"/>
      <c r="L308" s="312"/>
      <c r="M308" s="312"/>
      <c r="N308" s="312"/>
      <c r="O308" s="312"/>
      <c r="P308" s="312"/>
      <c r="Q308" s="312"/>
      <c r="R308" s="312"/>
      <c r="S308" s="312"/>
      <c r="T308" s="312"/>
      <c r="U308" s="312"/>
      <c r="V308" s="312"/>
      <c r="W308" s="312"/>
      <c r="X308" s="300"/>
      <c r="Y308" s="300"/>
    </row>
    <row r="309" spans="1:52" ht="27" customHeight="1" x14ac:dyDescent="0.25">
      <c r="A309" s="55" t="s">
        <v>434</v>
      </c>
      <c r="B309" s="55" t="s">
        <v>435</v>
      </c>
      <c r="C309" s="32">
        <v>4301011324</v>
      </c>
      <c r="D309" s="384">
        <v>4607091384185</v>
      </c>
      <c r="E309" s="328"/>
      <c r="F309" s="303">
        <v>0.8</v>
      </c>
      <c r="G309" s="33">
        <v>15</v>
      </c>
      <c r="H309" s="303">
        <v>12</v>
      </c>
      <c r="I309" s="303">
        <v>12.48</v>
      </c>
      <c r="J309" s="33">
        <v>56</v>
      </c>
      <c r="K309" s="34" t="s">
        <v>62</v>
      </c>
      <c r="L309" s="33">
        <v>60</v>
      </c>
      <c r="M309" s="55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9" s="386"/>
      <c r="O309" s="386"/>
      <c r="P309" s="386"/>
      <c r="Q309" s="328"/>
      <c r="R309" s="35"/>
      <c r="S309" s="35"/>
      <c r="T309" s="36" t="s">
        <v>63</v>
      </c>
      <c r="U309" s="304">
        <v>0</v>
      </c>
      <c r="V309" s="305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59"/>
      <c r="AZ309" s="224" t="s">
        <v>1</v>
      </c>
    </row>
    <row r="310" spans="1:52" ht="27" customHeight="1" x14ac:dyDescent="0.25">
      <c r="A310" s="55" t="s">
        <v>436</v>
      </c>
      <c r="B310" s="55" t="s">
        <v>437</v>
      </c>
      <c r="C310" s="32">
        <v>4301011312</v>
      </c>
      <c r="D310" s="384">
        <v>4607091384192</v>
      </c>
      <c r="E310" s="328"/>
      <c r="F310" s="303">
        <v>1.8</v>
      </c>
      <c r="G310" s="33">
        <v>6</v>
      </c>
      <c r="H310" s="303">
        <v>10.8</v>
      </c>
      <c r="I310" s="303">
        <v>11.28</v>
      </c>
      <c r="J310" s="33">
        <v>56</v>
      </c>
      <c r="K310" s="34" t="s">
        <v>96</v>
      </c>
      <c r="L310" s="33">
        <v>60</v>
      </c>
      <c r="M310" s="55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0" s="386"/>
      <c r="O310" s="386"/>
      <c r="P310" s="386"/>
      <c r="Q310" s="328"/>
      <c r="R310" s="35"/>
      <c r="S310" s="35"/>
      <c r="T310" s="36" t="s">
        <v>63</v>
      </c>
      <c r="U310" s="304">
        <v>0</v>
      </c>
      <c r="V310" s="305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438</v>
      </c>
      <c r="B311" s="55" t="s">
        <v>439</v>
      </c>
      <c r="C311" s="32">
        <v>4301011483</v>
      </c>
      <c r="D311" s="384">
        <v>4680115881907</v>
      </c>
      <c r="E311" s="328"/>
      <c r="F311" s="303">
        <v>1.8</v>
      </c>
      <c r="G311" s="33">
        <v>6</v>
      </c>
      <c r="H311" s="303">
        <v>10.8</v>
      </c>
      <c r="I311" s="303">
        <v>11.28</v>
      </c>
      <c r="J311" s="33">
        <v>56</v>
      </c>
      <c r="K311" s="34" t="s">
        <v>62</v>
      </c>
      <c r="L311" s="33">
        <v>60</v>
      </c>
      <c r="M311" s="55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1" s="386"/>
      <c r="O311" s="386"/>
      <c r="P311" s="386"/>
      <c r="Q311" s="328"/>
      <c r="R311" s="35"/>
      <c r="S311" s="35"/>
      <c r="T311" s="36" t="s">
        <v>63</v>
      </c>
      <c r="U311" s="304">
        <v>0</v>
      </c>
      <c r="V311" s="305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440</v>
      </c>
      <c r="B312" s="55" t="s">
        <v>441</v>
      </c>
      <c r="C312" s="32">
        <v>4301011303</v>
      </c>
      <c r="D312" s="384">
        <v>4607091384680</v>
      </c>
      <c r="E312" s="328"/>
      <c r="F312" s="303">
        <v>0.4</v>
      </c>
      <c r="G312" s="33">
        <v>10</v>
      </c>
      <c r="H312" s="303">
        <v>4</v>
      </c>
      <c r="I312" s="303">
        <v>4.21</v>
      </c>
      <c r="J312" s="33">
        <v>120</v>
      </c>
      <c r="K312" s="34" t="s">
        <v>62</v>
      </c>
      <c r="L312" s="33">
        <v>60</v>
      </c>
      <c r="M312" s="55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2" s="386"/>
      <c r="O312" s="386"/>
      <c r="P312" s="386"/>
      <c r="Q312" s="328"/>
      <c r="R312" s="35"/>
      <c r="S312" s="35"/>
      <c r="T312" s="36" t="s">
        <v>63</v>
      </c>
      <c r="U312" s="304">
        <v>0</v>
      </c>
      <c r="V312" s="305">
        <f>IFERROR(IF(U312="",0,CEILING((U312/$H312),1)*$H312),"")</f>
        <v>0</v>
      </c>
      <c r="W312" s="37" t="str">
        <f>IFERROR(IF(V312=0,"",ROUNDUP(V312/H312,0)*0.00937),"")</f>
        <v/>
      </c>
      <c r="X312" s="57"/>
      <c r="Y312" s="58"/>
      <c r="AC312" s="59"/>
      <c r="AZ312" s="227" t="s">
        <v>1</v>
      </c>
    </row>
    <row r="313" spans="1:52" x14ac:dyDescent="0.2">
      <c r="A313" s="388"/>
      <c r="B313" s="312"/>
      <c r="C313" s="312"/>
      <c r="D313" s="312"/>
      <c r="E313" s="312"/>
      <c r="F313" s="312"/>
      <c r="G313" s="312"/>
      <c r="H313" s="312"/>
      <c r="I313" s="312"/>
      <c r="J313" s="312"/>
      <c r="K313" s="312"/>
      <c r="L313" s="389"/>
      <c r="M313" s="387" t="s">
        <v>64</v>
      </c>
      <c r="N313" s="340"/>
      <c r="O313" s="340"/>
      <c r="P313" s="340"/>
      <c r="Q313" s="340"/>
      <c r="R313" s="340"/>
      <c r="S313" s="341"/>
      <c r="T313" s="38" t="s">
        <v>65</v>
      </c>
      <c r="U313" s="306">
        <f>IFERROR(U309/H309,"0")+IFERROR(U310/H310,"0")+IFERROR(U311/H311,"0")+IFERROR(U312/H312,"0")</f>
        <v>0</v>
      </c>
      <c r="V313" s="306">
        <f>IFERROR(V309/H309,"0")+IFERROR(V310/H310,"0")+IFERROR(V311/H311,"0")+IFERROR(V312/H312,"0")</f>
        <v>0</v>
      </c>
      <c r="W313" s="306">
        <f>IFERROR(IF(W309="",0,W309),"0")+IFERROR(IF(W310="",0,W310),"0")+IFERROR(IF(W311="",0,W311),"0")+IFERROR(IF(W312="",0,W312),"0")</f>
        <v>0</v>
      </c>
      <c r="X313" s="307"/>
      <c r="Y313" s="307"/>
    </row>
    <row r="314" spans="1:52" x14ac:dyDescent="0.2">
      <c r="A314" s="312"/>
      <c r="B314" s="312"/>
      <c r="C314" s="312"/>
      <c r="D314" s="312"/>
      <c r="E314" s="312"/>
      <c r="F314" s="312"/>
      <c r="G314" s="312"/>
      <c r="H314" s="312"/>
      <c r="I314" s="312"/>
      <c r="J314" s="312"/>
      <c r="K314" s="312"/>
      <c r="L314" s="389"/>
      <c r="M314" s="387" t="s">
        <v>64</v>
      </c>
      <c r="N314" s="340"/>
      <c r="O314" s="340"/>
      <c r="P314" s="340"/>
      <c r="Q314" s="340"/>
      <c r="R314" s="340"/>
      <c r="S314" s="341"/>
      <c r="T314" s="38" t="s">
        <v>63</v>
      </c>
      <c r="U314" s="306">
        <f>IFERROR(SUM(U309:U312),"0")</f>
        <v>0</v>
      </c>
      <c r="V314" s="306">
        <f>IFERROR(SUM(V309:V312),"0")</f>
        <v>0</v>
      </c>
      <c r="W314" s="38"/>
      <c r="X314" s="307"/>
      <c r="Y314" s="307"/>
    </row>
    <row r="315" spans="1:52" ht="14.25" customHeight="1" x14ac:dyDescent="0.25">
      <c r="A315" s="383" t="s">
        <v>59</v>
      </c>
      <c r="B315" s="312"/>
      <c r="C315" s="312"/>
      <c r="D315" s="312"/>
      <c r="E315" s="312"/>
      <c r="F315" s="312"/>
      <c r="G315" s="312"/>
      <c r="H315" s="312"/>
      <c r="I315" s="312"/>
      <c r="J315" s="312"/>
      <c r="K315" s="312"/>
      <c r="L315" s="312"/>
      <c r="M315" s="312"/>
      <c r="N315" s="312"/>
      <c r="O315" s="312"/>
      <c r="P315" s="312"/>
      <c r="Q315" s="312"/>
      <c r="R315" s="312"/>
      <c r="S315" s="312"/>
      <c r="T315" s="312"/>
      <c r="U315" s="312"/>
      <c r="V315" s="312"/>
      <c r="W315" s="312"/>
      <c r="X315" s="300"/>
      <c r="Y315" s="300"/>
    </row>
    <row r="316" spans="1:52" ht="27" customHeight="1" x14ac:dyDescent="0.25">
      <c r="A316" s="55" t="s">
        <v>442</v>
      </c>
      <c r="B316" s="55" t="s">
        <v>443</v>
      </c>
      <c r="C316" s="32">
        <v>4301031139</v>
      </c>
      <c r="D316" s="384">
        <v>4607091384802</v>
      </c>
      <c r="E316" s="328"/>
      <c r="F316" s="303">
        <v>0.73</v>
      </c>
      <c r="G316" s="33">
        <v>6</v>
      </c>
      <c r="H316" s="303">
        <v>4.38</v>
      </c>
      <c r="I316" s="303">
        <v>4.58</v>
      </c>
      <c r="J316" s="33">
        <v>156</v>
      </c>
      <c r="K316" s="34" t="s">
        <v>62</v>
      </c>
      <c r="L316" s="33">
        <v>35</v>
      </c>
      <c r="M316" s="55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6" s="386"/>
      <c r="O316" s="386"/>
      <c r="P316" s="386"/>
      <c r="Q316" s="328"/>
      <c r="R316" s="35"/>
      <c r="S316" s="35"/>
      <c r="T316" s="36" t="s">
        <v>63</v>
      </c>
      <c r="U316" s="304">
        <v>10</v>
      </c>
      <c r="V316" s="305">
        <f>IFERROR(IF(U316="",0,CEILING((U316/$H316),1)*$H316),"")</f>
        <v>13.14</v>
      </c>
      <c r="W316" s="37">
        <f>IFERROR(IF(V316=0,"",ROUNDUP(V316/H316,0)*0.00753),"")</f>
        <v>2.2589999999999999E-2</v>
      </c>
      <c r="X316" s="57"/>
      <c r="Y316" s="58"/>
      <c r="AC316" s="59"/>
      <c r="AZ316" s="228" t="s">
        <v>1</v>
      </c>
    </row>
    <row r="317" spans="1:52" ht="27" customHeight="1" x14ac:dyDescent="0.25">
      <c r="A317" s="55" t="s">
        <v>444</v>
      </c>
      <c r="B317" s="55" t="s">
        <v>445</v>
      </c>
      <c r="C317" s="32">
        <v>4301031140</v>
      </c>
      <c r="D317" s="384">
        <v>4607091384826</v>
      </c>
      <c r="E317" s="328"/>
      <c r="F317" s="303">
        <v>0.35</v>
      </c>
      <c r="G317" s="33">
        <v>8</v>
      </c>
      <c r="H317" s="303">
        <v>2.8</v>
      </c>
      <c r="I317" s="303">
        <v>2.9</v>
      </c>
      <c r="J317" s="33">
        <v>234</v>
      </c>
      <c r="K317" s="34" t="s">
        <v>62</v>
      </c>
      <c r="L317" s="33">
        <v>35</v>
      </c>
      <c r="M317" s="55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7" s="386"/>
      <c r="O317" s="386"/>
      <c r="P317" s="386"/>
      <c r="Q317" s="328"/>
      <c r="R317" s="35"/>
      <c r="S317" s="35"/>
      <c r="T317" s="36" t="s">
        <v>63</v>
      </c>
      <c r="U317" s="304">
        <v>0</v>
      </c>
      <c r="V317" s="305">
        <f>IFERROR(IF(U317="",0,CEILING((U317/$H317),1)*$H317),"")</f>
        <v>0</v>
      </c>
      <c r="W317" s="37" t="str">
        <f>IFERROR(IF(V317=0,"",ROUNDUP(V317/H317,0)*0.00502),"")</f>
        <v/>
      </c>
      <c r="X317" s="57"/>
      <c r="Y317" s="58"/>
      <c r="AC317" s="59"/>
      <c r="AZ317" s="229" t="s">
        <v>1</v>
      </c>
    </row>
    <row r="318" spans="1:52" x14ac:dyDescent="0.2">
      <c r="A318" s="388"/>
      <c r="B318" s="312"/>
      <c r="C318" s="312"/>
      <c r="D318" s="312"/>
      <c r="E318" s="312"/>
      <c r="F318" s="312"/>
      <c r="G318" s="312"/>
      <c r="H318" s="312"/>
      <c r="I318" s="312"/>
      <c r="J318" s="312"/>
      <c r="K318" s="312"/>
      <c r="L318" s="389"/>
      <c r="M318" s="387" t="s">
        <v>64</v>
      </c>
      <c r="N318" s="340"/>
      <c r="O318" s="340"/>
      <c r="P318" s="340"/>
      <c r="Q318" s="340"/>
      <c r="R318" s="340"/>
      <c r="S318" s="341"/>
      <c r="T318" s="38" t="s">
        <v>65</v>
      </c>
      <c r="U318" s="306">
        <f>IFERROR(U316/H316,"0")+IFERROR(U317/H317,"0")</f>
        <v>2.2831050228310503</v>
      </c>
      <c r="V318" s="306">
        <f>IFERROR(V316/H316,"0")+IFERROR(V317/H317,"0")</f>
        <v>3</v>
      </c>
      <c r="W318" s="306">
        <f>IFERROR(IF(W316="",0,W316),"0")+IFERROR(IF(W317="",0,W317),"0")</f>
        <v>2.2589999999999999E-2</v>
      </c>
      <c r="X318" s="307"/>
      <c r="Y318" s="307"/>
    </row>
    <row r="319" spans="1:52" x14ac:dyDescent="0.2">
      <c r="A319" s="312"/>
      <c r="B319" s="312"/>
      <c r="C319" s="312"/>
      <c r="D319" s="312"/>
      <c r="E319" s="312"/>
      <c r="F319" s="312"/>
      <c r="G319" s="312"/>
      <c r="H319" s="312"/>
      <c r="I319" s="312"/>
      <c r="J319" s="312"/>
      <c r="K319" s="312"/>
      <c r="L319" s="389"/>
      <c r="M319" s="387" t="s">
        <v>64</v>
      </c>
      <c r="N319" s="340"/>
      <c r="O319" s="340"/>
      <c r="P319" s="340"/>
      <c r="Q319" s="340"/>
      <c r="R319" s="340"/>
      <c r="S319" s="341"/>
      <c r="T319" s="38" t="s">
        <v>63</v>
      </c>
      <c r="U319" s="306">
        <f>IFERROR(SUM(U316:U317),"0")</f>
        <v>10</v>
      </c>
      <c r="V319" s="306">
        <f>IFERROR(SUM(V316:V317),"0")</f>
        <v>13.14</v>
      </c>
      <c r="W319" s="38"/>
      <c r="X319" s="307"/>
      <c r="Y319" s="307"/>
    </row>
    <row r="320" spans="1:52" ht="14.25" customHeight="1" x14ac:dyDescent="0.25">
      <c r="A320" s="383" t="s">
        <v>66</v>
      </c>
      <c r="B320" s="312"/>
      <c r="C320" s="312"/>
      <c r="D320" s="312"/>
      <c r="E320" s="312"/>
      <c r="F320" s="312"/>
      <c r="G320" s="312"/>
      <c r="H320" s="312"/>
      <c r="I320" s="312"/>
      <c r="J320" s="312"/>
      <c r="K320" s="312"/>
      <c r="L320" s="312"/>
      <c r="M320" s="312"/>
      <c r="N320" s="312"/>
      <c r="O320" s="312"/>
      <c r="P320" s="312"/>
      <c r="Q320" s="312"/>
      <c r="R320" s="312"/>
      <c r="S320" s="312"/>
      <c r="T320" s="312"/>
      <c r="U320" s="312"/>
      <c r="V320" s="312"/>
      <c r="W320" s="312"/>
      <c r="X320" s="300"/>
      <c r="Y320" s="300"/>
    </row>
    <row r="321" spans="1:52" ht="27" customHeight="1" x14ac:dyDescent="0.25">
      <c r="A321" s="55" t="s">
        <v>446</v>
      </c>
      <c r="B321" s="55" t="s">
        <v>447</v>
      </c>
      <c r="C321" s="32">
        <v>4301051303</v>
      </c>
      <c r="D321" s="384">
        <v>4607091384246</v>
      </c>
      <c r="E321" s="328"/>
      <c r="F321" s="303">
        <v>1.3</v>
      </c>
      <c r="G321" s="33">
        <v>6</v>
      </c>
      <c r="H321" s="303">
        <v>7.8</v>
      </c>
      <c r="I321" s="303">
        <v>8.3640000000000008</v>
      </c>
      <c r="J321" s="33">
        <v>56</v>
      </c>
      <c r="K321" s="34" t="s">
        <v>62</v>
      </c>
      <c r="L321" s="33">
        <v>40</v>
      </c>
      <c r="M321" s="55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1" s="386"/>
      <c r="O321" s="386"/>
      <c r="P321" s="386"/>
      <c r="Q321" s="328"/>
      <c r="R321" s="35"/>
      <c r="S321" s="35"/>
      <c r="T321" s="36" t="s">
        <v>63</v>
      </c>
      <c r="U321" s="304">
        <v>0</v>
      </c>
      <c r="V321" s="305">
        <f>IFERROR(IF(U321="",0,CEILING((U321/$H321),1)*$H321),"")</f>
        <v>0</v>
      </c>
      <c r="W321" s="37" t="str">
        <f>IFERROR(IF(V321=0,"",ROUNDUP(V321/H321,0)*0.02175),"")</f>
        <v/>
      </c>
      <c r="X321" s="57"/>
      <c r="Y321" s="58"/>
      <c r="AC321" s="59"/>
      <c r="AZ321" s="230" t="s">
        <v>1</v>
      </c>
    </row>
    <row r="322" spans="1:52" ht="27" customHeight="1" x14ac:dyDescent="0.25">
      <c r="A322" s="55" t="s">
        <v>448</v>
      </c>
      <c r="B322" s="55" t="s">
        <v>449</v>
      </c>
      <c r="C322" s="32">
        <v>4301051445</v>
      </c>
      <c r="D322" s="384">
        <v>4680115881976</v>
      </c>
      <c r="E322" s="328"/>
      <c r="F322" s="303">
        <v>1.3</v>
      </c>
      <c r="G322" s="33">
        <v>6</v>
      </c>
      <c r="H322" s="303">
        <v>7.8</v>
      </c>
      <c r="I322" s="303">
        <v>8.2799999999999994</v>
      </c>
      <c r="J322" s="33">
        <v>56</v>
      </c>
      <c r="K322" s="34" t="s">
        <v>62</v>
      </c>
      <c r="L322" s="33">
        <v>40</v>
      </c>
      <c r="M322" s="56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2" s="386"/>
      <c r="O322" s="386"/>
      <c r="P322" s="386"/>
      <c r="Q322" s="328"/>
      <c r="R322" s="35"/>
      <c r="S322" s="35"/>
      <c r="T322" s="36" t="s">
        <v>63</v>
      </c>
      <c r="U322" s="304">
        <v>0</v>
      </c>
      <c r="V322" s="305">
        <f>IFERROR(IF(U322="",0,CEILING((U322/$H322),1)*$H322),"")</f>
        <v>0</v>
      </c>
      <c r="W322" s="37" t="str">
        <f>IFERROR(IF(V322=0,"",ROUNDUP(V322/H322,0)*0.02175),"")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450</v>
      </c>
      <c r="B323" s="55" t="s">
        <v>451</v>
      </c>
      <c r="C323" s="32">
        <v>4301051297</v>
      </c>
      <c r="D323" s="384">
        <v>4607091384253</v>
      </c>
      <c r="E323" s="328"/>
      <c r="F323" s="303">
        <v>0.4</v>
      </c>
      <c r="G323" s="33">
        <v>6</v>
      </c>
      <c r="H323" s="303">
        <v>2.4</v>
      </c>
      <c r="I323" s="303">
        <v>2.6840000000000002</v>
      </c>
      <c r="J323" s="33">
        <v>156</v>
      </c>
      <c r="K323" s="34" t="s">
        <v>62</v>
      </c>
      <c r="L323" s="33">
        <v>40</v>
      </c>
      <c r="M323" s="56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3" s="386"/>
      <c r="O323" s="386"/>
      <c r="P323" s="386"/>
      <c r="Q323" s="328"/>
      <c r="R323" s="35"/>
      <c r="S323" s="35"/>
      <c r="T323" s="36" t="s">
        <v>63</v>
      </c>
      <c r="U323" s="304">
        <v>0</v>
      </c>
      <c r="V323" s="305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452</v>
      </c>
      <c r="B324" s="55" t="s">
        <v>453</v>
      </c>
      <c r="C324" s="32">
        <v>4301051444</v>
      </c>
      <c r="D324" s="384">
        <v>4680115881969</v>
      </c>
      <c r="E324" s="328"/>
      <c r="F324" s="303">
        <v>0.4</v>
      </c>
      <c r="G324" s="33">
        <v>6</v>
      </c>
      <c r="H324" s="303">
        <v>2.4</v>
      </c>
      <c r="I324" s="303">
        <v>2.6</v>
      </c>
      <c r="J324" s="33">
        <v>156</v>
      </c>
      <c r="K324" s="34" t="s">
        <v>62</v>
      </c>
      <c r="L324" s="33">
        <v>40</v>
      </c>
      <c r="M324" s="56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4" s="386"/>
      <c r="O324" s="386"/>
      <c r="P324" s="386"/>
      <c r="Q324" s="328"/>
      <c r="R324" s="35"/>
      <c r="S324" s="35"/>
      <c r="T324" s="36" t="s">
        <v>63</v>
      </c>
      <c r="U324" s="304">
        <v>0</v>
      </c>
      <c r="V324" s="305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x14ac:dyDescent="0.2">
      <c r="A325" s="388"/>
      <c r="B325" s="312"/>
      <c r="C325" s="312"/>
      <c r="D325" s="312"/>
      <c r="E325" s="312"/>
      <c r="F325" s="312"/>
      <c r="G325" s="312"/>
      <c r="H325" s="312"/>
      <c r="I325" s="312"/>
      <c r="J325" s="312"/>
      <c r="K325" s="312"/>
      <c r="L325" s="389"/>
      <c r="M325" s="387" t="s">
        <v>64</v>
      </c>
      <c r="N325" s="340"/>
      <c r="O325" s="340"/>
      <c r="P325" s="340"/>
      <c r="Q325" s="340"/>
      <c r="R325" s="340"/>
      <c r="S325" s="341"/>
      <c r="T325" s="38" t="s">
        <v>65</v>
      </c>
      <c r="U325" s="306">
        <f>IFERROR(U321/H321,"0")+IFERROR(U322/H322,"0")+IFERROR(U323/H323,"0")+IFERROR(U324/H324,"0")</f>
        <v>0</v>
      </c>
      <c r="V325" s="306">
        <f>IFERROR(V321/H321,"0")+IFERROR(V322/H322,"0")+IFERROR(V323/H323,"0")+IFERROR(V324/H324,"0")</f>
        <v>0</v>
      </c>
      <c r="W325" s="306">
        <f>IFERROR(IF(W321="",0,W321),"0")+IFERROR(IF(W322="",0,W322),"0")+IFERROR(IF(W323="",0,W323),"0")+IFERROR(IF(W324="",0,W324),"0")</f>
        <v>0</v>
      </c>
      <c r="X325" s="307"/>
      <c r="Y325" s="307"/>
    </row>
    <row r="326" spans="1:52" x14ac:dyDescent="0.2">
      <c r="A326" s="312"/>
      <c r="B326" s="312"/>
      <c r="C326" s="312"/>
      <c r="D326" s="312"/>
      <c r="E326" s="312"/>
      <c r="F326" s="312"/>
      <c r="G326" s="312"/>
      <c r="H326" s="312"/>
      <c r="I326" s="312"/>
      <c r="J326" s="312"/>
      <c r="K326" s="312"/>
      <c r="L326" s="389"/>
      <c r="M326" s="387" t="s">
        <v>64</v>
      </c>
      <c r="N326" s="340"/>
      <c r="O326" s="340"/>
      <c r="P326" s="340"/>
      <c r="Q326" s="340"/>
      <c r="R326" s="340"/>
      <c r="S326" s="341"/>
      <c r="T326" s="38" t="s">
        <v>63</v>
      </c>
      <c r="U326" s="306">
        <f>IFERROR(SUM(U321:U324),"0")</f>
        <v>0</v>
      </c>
      <c r="V326" s="306">
        <f>IFERROR(SUM(V321:V324),"0")</f>
        <v>0</v>
      </c>
      <c r="W326" s="38"/>
      <c r="X326" s="307"/>
      <c r="Y326" s="307"/>
    </row>
    <row r="327" spans="1:52" ht="14.25" customHeight="1" x14ac:dyDescent="0.25">
      <c r="A327" s="383" t="s">
        <v>198</v>
      </c>
      <c r="B327" s="312"/>
      <c r="C327" s="312"/>
      <c r="D327" s="312"/>
      <c r="E327" s="312"/>
      <c r="F327" s="312"/>
      <c r="G327" s="312"/>
      <c r="H327" s="312"/>
      <c r="I327" s="312"/>
      <c r="J327" s="312"/>
      <c r="K327" s="312"/>
      <c r="L327" s="312"/>
      <c r="M327" s="312"/>
      <c r="N327" s="312"/>
      <c r="O327" s="312"/>
      <c r="P327" s="312"/>
      <c r="Q327" s="312"/>
      <c r="R327" s="312"/>
      <c r="S327" s="312"/>
      <c r="T327" s="312"/>
      <c r="U327" s="312"/>
      <c r="V327" s="312"/>
      <c r="W327" s="312"/>
      <c r="X327" s="300"/>
      <c r="Y327" s="300"/>
    </row>
    <row r="328" spans="1:52" ht="27" customHeight="1" x14ac:dyDescent="0.25">
      <c r="A328" s="55" t="s">
        <v>454</v>
      </c>
      <c r="B328" s="55" t="s">
        <v>455</v>
      </c>
      <c r="C328" s="32">
        <v>4301060322</v>
      </c>
      <c r="D328" s="384">
        <v>4607091389357</v>
      </c>
      <c r="E328" s="328"/>
      <c r="F328" s="303">
        <v>1.3</v>
      </c>
      <c r="G328" s="33">
        <v>6</v>
      </c>
      <c r="H328" s="303">
        <v>7.8</v>
      </c>
      <c r="I328" s="303">
        <v>8.2799999999999994</v>
      </c>
      <c r="J328" s="33">
        <v>56</v>
      </c>
      <c r="K328" s="34" t="s">
        <v>62</v>
      </c>
      <c r="L328" s="33">
        <v>40</v>
      </c>
      <c r="M328" s="56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8" s="386"/>
      <c r="O328" s="386"/>
      <c r="P328" s="386"/>
      <c r="Q328" s="328"/>
      <c r="R328" s="35"/>
      <c r="S328" s="35"/>
      <c r="T328" s="36" t="s">
        <v>63</v>
      </c>
      <c r="U328" s="304">
        <v>0</v>
      </c>
      <c r="V328" s="305">
        <f>IFERROR(IF(U328="",0,CEILING((U328/$H328),1)*$H328),"")</f>
        <v>0</v>
      </c>
      <c r="W328" s="37" t="str">
        <f>IFERROR(IF(V328=0,"",ROUNDUP(V328/H328,0)*0.02175),"")</f>
        <v/>
      </c>
      <c r="X328" s="57"/>
      <c r="Y328" s="58"/>
      <c r="AC328" s="59"/>
      <c r="AZ328" s="234" t="s">
        <v>1</v>
      </c>
    </row>
    <row r="329" spans="1:52" x14ac:dyDescent="0.2">
      <c r="A329" s="388"/>
      <c r="B329" s="312"/>
      <c r="C329" s="312"/>
      <c r="D329" s="312"/>
      <c r="E329" s="312"/>
      <c r="F329" s="312"/>
      <c r="G329" s="312"/>
      <c r="H329" s="312"/>
      <c r="I329" s="312"/>
      <c r="J329" s="312"/>
      <c r="K329" s="312"/>
      <c r="L329" s="389"/>
      <c r="M329" s="387" t="s">
        <v>64</v>
      </c>
      <c r="N329" s="340"/>
      <c r="O329" s="340"/>
      <c r="P329" s="340"/>
      <c r="Q329" s="340"/>
      <c r="R329" s="340"/>
      <c r="S329" s="341"/>
      <c r="T329" s="38" t="s">
        <v>65</v>
      </c>
      <c r="U329" s="306">
        <f>IFERROR(U328/H328,"0")</f>
        <v>0</v>
      </c>
      <c r="V329" s="306">
        <f>IFERROR(V328/H328,"0")</f>
        <v>0</v>
      </c>
      <c r="W329" s="306">
        <f>IFERROR(IF(W328="",0,W328),"0")</f>
        <v>0</v>
      </c>
      <c r="X329" s="307"/>
      <c r="Y329" s="307"/>
    </row>
    <row r="330" spans="1:52" x14ac:dyDescent="0.2">
      <c r="A330" s="312"/>
      <c r="B330" s="312"/>
      <c r="C330" s="312"/>
      <c r="D330" s="312"/>
      <c r="E330" s="312"/>
      <c r="F330" s="312"/>
      <c r="G330" s="312"/>
      <c r="H330" s="312"/>
      <c r="I330" s="312"/>
      <c r="J330" s="312"/>
      <c r="K330" s="312"/>
      <c r="L330" s="389"/>
      <c r="M330" s="387" t="s">
        <v>64</v>
      </c>
      <c r="N330" s="340"/>
      <c r="O330" s="340"/>
      <c r="P330" s="340"/>
      <c r="Q330" s="340"/>
      <c r="R330" s="340"/>
      <c r="S330" s="341"/>
      <c r="T330" s="38" t="s">
        <v>63</v>
      </c>
      <c r="U330" s="306">
        <f>IFERROR(SUM(U328:U328),"0")</f>
        <v>0</v>
      </c>
      <c r="V330" s="306">
        <f>IFERROR(SUM(V328:V328),"0")</f>
        <v>0</v>
      </c>
      <c r="W330" s="38"/>
      <c r="X330" s="307"/>
      <c r="Y330" s="307"/>
    </row>
    <row r="331" spans="1:52" ht="27.75" customHeight="1" x14ac:dyDescent="0.2">
      <c r="A331" s="380" t="s">
        <v>456</v>
      </c>
      <c r="B331" s="381"/>
      <c r="C331" s="381"/>
      <c r="D331" s="381"/>
      <c r="E331" s="381"/>
      <c r="F331" s="381"/>
      <c r="G331" s="381"/>
      <c r="H331" s="381"/>
      <c r="I331" s="381"/>
      <c r="J331" s="381"/>
      <c r="K331" s="381"/>
      <c r="L331" s="381"/>
      <c r="M331" s="381"/>
      <c r="N331" s="381"/>
      <c r="O331" s="381"/>
      <c r="P331" s="381"/>
      <c r="Q331" s="381"/>
      <c r="R331" s="381"/>
      <c r="S331" s="381"/>
      <c r="T331" s="381"/>
      <c r="U331" s="381"/>
      <c r="V331" s="381"/>
      <c r="W331" s="381"/>
      <c r="X331" s="49"/>
      <c r="Y331" s="49"/>
    </row>
    <row r="332" spans="1:52" ht="16.5" customHeight="1" x14ac:dyDescent="0.25">
      <c r="A332" s="382" t="s">
        <v>457</v>
      </c>
      <c r="B332" s="312"/>
      <c r="C332" s="312"/>
      <c r="D332" s="312"/>
      <c r="E332" s="312"/>
      <c r="F332" s="312"/>
      <c r="G332" s="312"/>
      <c r="H332" s="312"/>
      <c r="I332" s="312"/>
      <c r="J332" s="312"/>
      <c r="K332" s="312"/>
      <c r="L332" s="312"/>
      <c r="M332" s="312"/>
      <c r="N332" s="312"/>
      <c r="O332" s="312"/>
      <c r="P332" s="312"/>
      <c r="Q332" s="312"/>
      <c r="R332" s="312"/>
      <c r="S332" s="312"/>
      <c r="T332" s="312"/>
      <c r="U332" s="312"/>
      <c r="V332" s="312"/>
      <c r="W332" s="312"/>
      <c r="X332" s="299"/>
      <c r="Y332" s="299"/>
    </row>
    <row r="333" spans="1:52" ht="14.25" customHeight="1" x14ac:dyDescent="0.25">
      <c r="A333" s="383" t="s">
        <v>100</v>
      </c>
      <c r="B333" s="312"/>
      <c r="C333" s="312"/>
      <c r="D333" s="312"/>
      <c r="E333" s="312"/>
      <c r="F333" s="312"/>
      <c r="G333" s="312"/>
      <c r="H333" s="312"/>
      <c r="I333" s="312"/>
      <c r="J333" s="312"/>
      <c r="K333" s="312"/>
      <c r="L333" s="312"/>
      <c r="M333" s="312"/>
      <c r="N333" s="312"/>
      <c r="O333" s="312"/>
      <c r="P333" s="312"/>
      <c r="Q333" s="312"/>
      <c r="R333" s="312"/>
      <c r="S333" s="312"/>
      <c r="T333" s="312"/>
      <c r="U333" s="312"/>
      <c r="V333" s="312"/>
      <c r="W333" s="312"/>
      <c r="X333" s="300"/>
      <c r="Y333" s="300"/>
    </row>
    <row r="334" spans="1:52" ht="27" customHeight="1" x14ac:dyDescent="0.25">
      <c r="A334" s="55" t="s">
        <v>458</v>
      </c>
      <c r="B334" s="55" t="s">
        <v>459</v>
      </c>
      <c r="C334" s="32">
        <v>4301011428</v>
      </c>
      <c r="D334" s="384">
        <v>4607091389708</v>
      </c>
      <c r="E334" s="328"/>
      <c r="F334" s="303">
        <v>0.45</v>
      </c>
      <c r="G334" s="33">
        <v>6</v>
      </c>
      <c r="H334" s="303">
        <v>2.7</v>
      </c>
      <c r="I334" s="303">
        <v>2.9</v>
      </c>
      <c r="J334" s="33">
        <v>156</v>
      </c>
      <c r="K334" s="34" t="s">
        <v>96</v>
      </c>
      <c r="L334" s="33">
        <v>50</v>
      </c>
      <c r="M334" s="56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4" s="386"/>
      <c r="O334" s="386"/>
      <c r="P334" s="386"/>
      <c r="Q334" s="328"/>
      <c r="R334" s="35"/>
      <c r="S334" s="35"/>
      <c r="T334" s="36" t="s">
        <v>63</v>
      </c>
      <c r="U334" s="304">
        <v>0</v>
      </c>
      <c r="V334" s="305">
        <f>IFERROR(IF(U334="",0,CEILING((U334/$H334),1)*$H334),"")</f>
        <v>0</v>
      </c>
      <c r="W334" s="37" t="str">
        <f>IFERROR(IF(V334=0,"",ROUNDUP(V334/H334,0)*0.00753),"")</f>
        <v/>
      </c>
      <c r="X334" s="57"/>
      <c r="Y334" s="58"/>
      <c r="AC334" s="59"/>
      <c r="AZ334" s="235" t="s">
        <v>1</v>
      </c>
    </row>
    <row r="335" spans="1:52" ht="27" customHeight="1" x14ac:dyDescent="0.25">
      <c r="A335" s="55" t="s">
        <v>460</v>
      </c>
      <c r="B335" s="55" t="s">
        <v>461</v>
      </c>
      <c r="C335" s="32">
        <v>4301011427</v>
      </c>
      <c r="D335" s="384">
        <v>4607091389692</v>
      </c>
      <c r="E335" s="328"/>
      <c r="F335" s="303">
        <v>0.45</v>
      </c>
      <c r="G335" s="33">
        <v>6</v>
      </c>
      <c r="H335" s="303">
        <v>2.7</v>
      </c>
      <c r="I335" s="303">
        <v>2.9</v>
      </c>
      <c r="J335" s="33">
        <v>156</v>
      </c>
      <c r="K335" s="34" t="s">
        <v>96</v>
      </c>
      <c r="L335" s="33">
        <v>50</v>
      </c>
      <c r="M335" s="56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5" s="386"/>
      <c r="O335" s="386"/>
      <c r="P335" s="386"/>
      <c r="Q335" s="328"/>
      <c r="R335" s="35"/>
      <c r="S335" s="35"/>
      <c r="T335" s="36" t="s">
        <v>63</v>
      </c>
      <c r="U335" s="304">
        <v>0</v>
      </c>
      <c r="V335" s="305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x14ac:dyDescent="0.2">
      <c r="A336" s="388"/>
      <c r="B336" s="312"/>
      <c r="C336" s="312"/>
      <c r="D336" s="312"/>
      <c r="E336" s="312"/>
      <c r="F336" s="312"/>
      <c r="G336" s="312"/>
      <c r="H336" s="312"/>
      <c r="I336" s="312"/>
      <c r="J336" s="312"/>
      <c r="K336" s="312"/>
      <c r="L336" s="389"/>
      <c r="M336" s="387" t="s">
        <v>64</v>
      </c>
      <c r="N336" s="340"/>
      <c r="O336" s="340"/>
      <c r="P336" s="340"/>
      <c r="Q336" s="340"/>
      <c r="R336" s="340"/>
      <c r="S336" s="341"/>
      <c r="T336" s="38" t="s">
        <v>65</v>
      </c>
      <c r="U336" s="306">
        <f>IFERROR(U334/H334,"0")+IFERROR(U335/H335,"0")</f>
        <v>0</v>
      </c>
      <c r="V336" s="306">
        <f>IFERROR(V334/H334,"0")+IFERROR(V335/H335,"0")</f>
        <v>0</v>
      </c>
      <c r="W336" s="306">
        <f>IFERROR(IF(W334="",0,W334),"0")+IFERROR(IF(W335="",0,W335),"0")</f>
        <v>0</v>
      </c>
      <c r="X336" s="307"/>
      <c r="Y336" s="307"/>
    </row>
    <row r="337" spans="1:52" x14ac:dyDescent="0.2">
      <c r="A337" s="312"/>
      <c r="B337" s="312"/>
      <c r="C337" s="312"/>
      <c r="D337" s="312"/>
      <c r="E337" s="312"/>
      <c r="F337" s="312"/>
      <c r="G337" s="312"/>
      <c r="H337" s="312"/>
      <c r="I337" s="312"/>
      <c r="J337" s="312"/>
      <c r="K337" s="312"/>
      <c r="L337" s="389"/>
      <c r="M337" s="387" t="s">
        <v>64</v>
      </c>
      <c r="N337" s="340"/>
      <c r="O337" s="340"/>
      <c r="P337" s="340"/>
      <c r="Q337" s="340"/>
      <c r="R337" s="340"/>
      <c r="S337" s="341"/>
      <c r="T337" s="38" t="s">
        <v>63</v>
      </c>
      <c r="U337" s="306">
        <f>IFERROR(SUM(U334:U335),"0")</f>
        <v>0</v>
      </c>
      <c r="V337" s="306">
        <f>IFERROR(SUM(V334:V335),"0")</f>
        <v>0</v>
      </c>
      <c r="W337" s="38"/>
      <c r="X337" s="307"/>
      <c r="Y337" s="307"/>
    </row>
    <row r="338" spans="1:52" ht="14.25" customHeight="1" x14ac:dyDescent="0.25">
      <c r="A338" s="383" t="s">
        <v>59</v>
      </c>
      <c r="B338" s="312"/>
      <c r="C338" s="312"/>
      <c r="D338" s="312"/>
      <c r="E338" s="312"/>
      <c r="F338" s="312"/>
      <c r="G338" s="312"/>
      <c r="H338" s="312"/>
      <c r="I338" s="312"/>
      <c r="J338" s="312"/>
      <c r="K338" s="312"/>
      <c r="L338" s="312"/>
      <c r="M338" s="312"/>
      <c r="N338" s="312"/>
      <c r="O338" s="312"/>
      <c r="P338" s="312"/>
      <c r="Q338" s="312"/>
      <c r="R338" s="312"/>
      <c r="S338" s="312"/>
      <c r="T338" s="312"/>
      <c r="U338" s="312"/>
      <c r="V338" s="312"/>
      <c r="W338" s="312"/>
      <c r="X338" s="300"/>
      <c r="Y338" s="300"/>
    </row>
    <row r="339" spans="1:52" ht="27" customHeight="1" x14ac:dyDescent="0.25">
      <c r="A339" s="55" t="s">
        <v>462</v>
      </c>
      <c r="B339" s="55" t="s">
        <v>463</v>
      </c>
      <c r="C339" s="32">
        <v>4301031177</v>
      </c>
      <c r="D339" s="384">
        <v>4607091389753</v>
      </c>
      <c r="E339" s="328"/>
      <c r="F339" s="303">
        <v>0.7</v>
      </c>
      <c r="G339" s="33">
        <v>6</v>
      </c>
      <c r="H339" s="303">
        <v>4.2</v>
      </c>
      <c r="I339" s="303">
        <v>4.43</v>
      </c>
      <c r="J339" s="33">
        <v>156</v>
      </c>
      <c r="K339" s="34" t="s">
        <v>62</v>
      </c>
      <c r="L339" s="33">
        <v>45</v>
      </c>
      <c r="M339" s="56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9" s="386"/>
      <c r="O339" s="386"/>
      <c r="P339" s="386"/>
      <c r="Q339" s="328"/>
      <c r="R339" s="35"/>
      <c r="S339" s="35"/>
      <c r="T339" s="36" t="s">
        <v>63</v>
      </c>
      <c r="U339" s="304">
        <v>0</v>
      </c>
      <c r="V339" s="305">
        <f t="shared" ref="V339:V351" si="15"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ht="27" customHeight="1" x14ac:dyDescent="0.25">
      <c r="A340" s="55" t="s">
        <v>464</v>
      </c>
      <c r="B340" s="55" t="s">
        <v>465</v>
      </c>
      <c r="C340" s="32">
        <v>4301031174</v>
      </c>
      <c r="D340" s="384">
        <v>4607091389760</v>
      </c>
      <c r="E340" s="328"/>
      <c r="F340" s="303">
        <v>0.7</v>
      </c>
      <c r="G340" s="33">
        <v>6</v>
      </c>
      <c r="H340" s="303">
        <v>4.2</v>
      </c>
      <c r="I340" s="303">
        <v>4.43</v>
      </c>
      <c r="J340" s="33">
        <v>156</v>
      </c>
      <c r="K340" s="34" t="s">
        <v>62</v>
      </c>
      <c r="L340" s="33">
        <v>45</v>
      </c>
      <c r="M340" s="56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0" s="386"/>
      <c r="O340" s="386"/>
      <c r="P340" s="386"/>
      <c r="Q340" s="328"/>
      <c r="R340" s="35"/>
      <c r="S340" s="35"/>
      <c r="T340" s="36" t="s">
        <v>63</v>
      </c>
      <c r="U340" s="304">
        <v>0</v>
      </c>
      <c r="V340" s="305">
        <f t="shared" si="15"/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466</v>
      </c>
      <c r="B341" s="55" t="s">
        <v>467</v>
      </c>
      <c r="C341" s="32">
        <v>4301031175</v>
      </c>
      <c r="D341" s="384">
        <v>4607091389746</v>
      </c>
      <c r="E341" s="328"/>
      <c r="F341" s="303">
        <v>0.7</v>
      </c>
      <c r="G341" s="33">
        <v>6</v>
      </c>
      <c r="H341" s="303">
        <v>4.2</v>
      </c>
      <c r="I341" s="303">
        <v>4.43</v>
      </c>
      <c r="J341" s="33">
        <v>156</v>
      </c>
      <c r="K341" s="34" t="s">
        <v>62</v>
      </c>
      <c r="L341" s="33">
        <v>45</v>
      </c>
      <c r="M341" s="56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1" s="386"/>
      <c r="O341" s="386"/>
      <c r="P341" s="386"/>
      <c r="Q341" s="328"/>
      <c r="R341" s="35"/>
      <c r="S341" s="35"/>
      <c r="T341" s="36" t="s">
        <v>63</v>
      </c>
      <c r="U341" s="304">
        <v>15</v>
      </c>
      <c r="V341" s="305">
        <f t="shared" si="15"/>
        <v>16.8</v>
      </c>
      <c r="W341" s="37">
        <f>IFERROR(IF(V341=0,"",ROUNDUP(V341/H341,0)*0.00753),"")</f>
        <v>3.0120000000000001E-2</v>
      </c>
      <c r="X341" s="57"/>
      <c r="Y341" s="58"/>
      <c r="AC341" s="59"/>
      <c r="AZ341" s="239" t="s">
        <v>1</v>
      </c>
    </row>
    <row r="342" spans="1:52" ht="37.5" customHeight="1" x14ac:dyDescent="0.25">
      <c r="A342" s="55" t="s">
        <v>468</v>
      </c>
      <c r="B342" s="55" t="s">
        <v>469</v>
      </c>
      <c r="C342" s="32">
        <v>4301031236</v>
      </c>
      <c r="D342" s="384">
        <v>4680115882928</v>
      </c>
      <c r="E342" s="328"/>
      <c r="F342" s="303">
        <v>0.28000000000000003</v>
      </c>
      <c r="G342" s="33">
        <v>6</v>
      </c>
      <c r="H342" s="303">
        <v>1.68</v>
      </c>
      <c r="I342" s="303">
        <v>2.6</v>
      </c>
      <c r="J342" s="33">
        <v>156</v>
      </c>
      <c r="K342" s="34" t="s">
        <v>62</v>
      </c>
      <c r="L342" s="33">
        <v>35</v>
      </c>
      <c r="M342" s="56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2" s="386"/>
      <c r="O342" s="386"/>
      <c r="P342" s="386"/>
      <c r="Q342" s="328"/>
      <c r="R342" s="35"/>
      <c r="S342" s="35"/>
      <c r="T342" s="36" t="s">
        <v>63</v>
      </c>
      <c r="U342" s="304">
        <v>0</v>
      </c>
      <c r="V342" s="305">
        <f t="shared" si="15"/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470</v>
      </c>
      <c r="B343" s="55" t="s">
        <v>471</v>
      </c>
      <c r="C343" s="32">
        <v>4301031257</v>
      </c>
      <c r="D343" s="384">
        <v>4680115883147</v>
      </c>
      <c r="E343" s="328"/>
      <c r="F343" s="303">
        <v>0.28000000000000003</v>
      </c>
      <c r="G343" s="33">
        <v>6</v>
      </c>
      <c r="H343" s="303">
        <v>1.68</v>
      </c>
      <c r="I343" s="303">
        <v>1.81</v>
      </c>
      <c r="J343" s="33">
        <v>234</v>
      </c>
      <c r="K343" s="34" t="s">
        <v>62</v>
      </c>
      <c r="L343" s="33">
        <v>45</v>
      </c>
      <c r="M343" s="57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3" s="386"/>
      <c r="O343" s="386"/>
      <c r="P343" s="386"/>
      <c r="Q343" s="328"/>
      <c r="R343" s="35"/>
      <c r="S343" s="35"/>
      <c r="T343" s="36" t="s">
        <v>63</v>
      </c>
      <c r="U343" s="304">
        <v>0</v>
      </c>
      <c r="V343" s="305">
        <f t="shared" si="15"/>
        <v>0</v>
      </c>
      <c r="W343" s="37" t="str">
        <f t="shared" ref="W343:W351" si="16">IFERROR(IF(V343=0,"",ROUNDUP(V343/H343,0)*0.00502),"")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472</v>
      </c>
      <c r="B344" s="55" t="s">
        <v>473</v>
      </c>
      <c r="C344" s="32">
        <v>4301031178</v>
      </c>
      <c r="D344" s="384">
        <v>4607091384338</v>
      </c>
      <c r="E344" s="328"/>
      <c r="F344" s="303">
        <v>0.35</v>
      </c>
      <c r="G344" s="33">
        <v>6</v>
      </c>
      <c r="H344" s="303">
        <v>2.1</v>
      </c>
      <c r="I344" s="303">
        <v>2.23</v>
      </c>
      <c r="J344" s="33">
        <v>234</v>
      </c>
      <c r="K344" s="34" t="s">
        <v>62</v>
      </c>
      <c r="L344" s="33">
        <v>45</v>
      </c>
      <c r="M344" s="57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4" s="386"/>
      <c r="O344" s="386"/>
      <c r="P344" s="386"/>
      <c r="Q344" s="328"/>
      <c r="R344" s="35"/>
      <c r="S344" s="35"/>
      <c r="T344" s="36" t="s">
        <v>63</v>
      </c>
      <c r="U344" s="304">
        <v>0</v>
      </c>
      <c r="V344" s="305">
        <f t="shared" si="15"/>
        <v>0</v>
      </c>
      <c r="W344" s="37" t="str">
        <f t="shared" si="16"/>
        <v/>
      </c>
      <c r="X344" s="57"/>
      <c r="Y344" s="58"/>
      <c r="AC344" s="59"/>
      <c r="AZ344" s="242" t="s">
        <v>1</v>
      </c>
    </row>
    <row r="345" spans="1:52" ht="37.5" customHeight="1" x14ac:dyDescent="0.25">
      <c r="A345" s="55" t="s">
        <v>474</v>
      </c>
      <c r="B345" s="55" t="s">
        <v>475</v>
      </c>
      <c r="C345" s="32">
        <v>4301031254</v>
      </c>
      <c r="D345" s="384">
        <v>4680115883154</v>
      </c>
      <c r="E345" s="328"/>
      <c r="F345" s="303">
        <v>0.28000000000000003</v>
      </c>
      <c r="G345" s="33">
        <v>6</v>
      </c>
      <c r="H345" s="303">
        <v>1.68</v>
      </c>
      <c r="I345" s="303">
        <v>1.81</v>
      </c>
      <c r="J345" s="33">
        <v>234</v>
      </c>
      <c r="K345" s="34" t="s">
        <v>62</v>
      </c>
      <c r="L345" s="33">
        <v>45</v>
      </c>
      <c r="M345" s="57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5" s="386"/>
      <c r="O345" s="386"/>
      <c r="P345" s="386"/>
      <c r="Q345" s="328"/>
      <c r="R345" s="35"/>
      <c r="S345" s="35"/>
      <c r="T345" s="36" t="s">
        <v>63</v>
      </c>
      <c r="U345" s="304">
        <v>0</v>
      </c>
      <c r="V345" s="305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476</v>
      </c>
      <c r="B346" s="55" t="s">
        <v>477</v>
      </c>
      <c r="C346" s="32">
        <v>4301031171</v>
      </c>
      <c r="D346" s="384">
        <v>4607091389524</v>
      </c>
      <c r="E346" s="328"/>
      <c r="F346" s="303">
        <v>0.35</v>
      </c>
      <c r="G346" s="33">
        <v>6</v>
      </c>
      <c r="H346" s="303">
        <v>2.1</v>
      </c>
      <c r="I346" s="303">
        <v>2.23</v>
      </c>
      <c r="J346" s="33">
        <v>234</v>
      </c>
      <c r="K346" s="34" t="s">
        <v>62</v>
      </c>
      <c r="L346" s="33">
        <v>45</v>
      </c>
      <c r="M346" s="57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6" s="386"/>
      <c r="O346" s="386"/>
      <c r="P346" s="386"/>
      <c r="Q346" s="328"/>
      <c r="R346" s="35"/>
      <c r="S346" s="35"/>
      <c r="T346" s="36" t="s">
        <v>63</v>
      </c>
      <c r="U346" s="304">
        <v>0</v>
      </c>
      <c r="V346" s="305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27" customHeight="1" x14ac:dyDescent="0.25">
      <c r="A347" s="55" t="s">
        <v>478</v>
      </c>
      <c r="B347" s="55" t="s">
        <v>479</v>
      </c>
      <c r="C347" s="32">
        <v>4301031258</v>
      </c>
      <c r="D347" s="384">
        <v>4680115883161</v>
      </c>
      <c r="E347" s="328"/>
      <c r="F347" s="303">
        <v>0.28000000000000003</v>
      </c>
      <c r="G347" s="33">
        <v>6</v>
      </c>
      <c r="H347" s="303">
        <v>1.68</v>
      </c>
      <c r="I347" s="303">
        <v>1.81</v>
      </c>
      <c r="J347" s="33">
        <v>234</v>
      </c>
      <c r="K347" s="34" t="s">
        <v>62</v>
      </c>
      <c r="L347" s="33">
        <v>45</v>
      </c>
      <c r="M347" s="57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7" s="386"/>
      <c r="O347" s="386"/>
      <c r="P347" s="386"/>
      <c r="Q347" s="328"/>
      <c r="R347" s="35"/>
      <c r="S347" s="35"/>
      <c r="T347" s="36" t="s">
        <v>63</v>
      </c>
      <c r="U347" s="304">
        <v>0</v>
      </c>
      <c r="V347" s="305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480</v>
      </c>
      <c r="B348" s="55" t="s">
        <v>481</v>
      </c>
      <c r="C348" s="32">
        <v>4301031170</v>
      </c>
      <c r="D348" s="384">
        <v>4607091384345</v>
      </c>
      <c r="E348" s="328"/>
      <c r="F348" s="303">
        <v>0.35</v>
      </c>
      <c r="G348" s="33">
        <v>6</v>
      </c>
      <c r="H348" s="303">
        <v>2.1</v>
      </c>
      <c r="I348" s="303">
        <v>2.23</v>
      </c>
      <c r="J348" s="33">
        <v>234</v>
      </c>
      <c r="K348" s="34" t="s">
        <v>62</v>
      </c>
      <c r="L348" s="33">
        <v>45</v>
      </c>
      <c r="M348" s="57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8" s="386"/>
      <c r="O348" s="386"/>
      <c r="P348" s="386"/>
      <c r="Q348" s="328"/>
      <c r="R348" s="35"/>
      <c r="S348" s="35"/>
      <c r="T348" s="36" t="s">
        <v>63</v>
      </c>
      <c r="U348" s="304">
        <v>3.5</v>
      </c>
      <c r="V348" s="305">
        <f t="shared" si="15"/>
        <v>4.2</v>
      </c>
      <c r="W348" s="37">
        <f t="shared" si="16"/>
        <v>1.004E-2</v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482</v>
      </c>
      <c r="B349" s="55" t="s">
        <v>483</v>
      </c>
      <c r="C349" s="32">
        <v>4301031256</v>
      </c>
      <c r="D349" s="384">
        <v>4680115883178</v>
      </c>
      <c r="E349" s="328"/>
      <c r="F349" s="303">
        <v>0.28000000000000003</v>
      </c>
      <c r="G349" s="33">
        <v>6</v>
      </c>
      <c r="H349" s="303">
        <v>1.68</v>
      </c>
      <c r="I349" s="303">
        <v>1.81</v>
      </c>
      <c r="J349" s="33">
        <v>234</v>
      </c>
      <c r="K349" s="34" t="s">
        <v>62</v>
      </c>
      <c r="L349" s="33">
        <v>45</v>
      </c>
      <c r="M349" s="57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9" s="386"/>
      <c r="O349" s="386"/>
      <c r="P349" s="386"/>
      <c r="Q349" s="328"/>
      <c r="R349" s="35"/>
      <c r="S349" s="35"/>
      <c r="T349" s="36" t="s">
        <v>63</v>
      </c>
      <c r="U349" s="304">
        <v>0</v>
      </c>
      <c r="V349" s="305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484</v>
      </c>
      <c r="B350" s="55" t="s">
        <v>485</v>
      </c>
      <c r="C350" s="32">
        <v>4301031172</v>
      </c>
      <c r="D350" s="384">
        <v>4607091389531</v>
      </c>
      <c r="E350" s="328"/>
      <c r="F350" s="303">
        <v>0.35</v>
      </c>
      <c r="G350" s="33">
        <v>6</v>
      </c>
      <c r="H350" s="303">
        <v>2.1</v>
      </c>
      <c r="I350" s="303">
        <v>2.23</v>
      </c>
      <c r="J350" s="33">
        <v>234</v>
      </c>
      <c r="K350" s="34" t="s">
        <v>62</v>
      </c>
      <c r="L350" s="33">
        <v>45</v>
      </c>
      <c r="M350" s="57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0" s="386"/>
      <c r="O350" s="386"/>
      <c r="P350" s="386"/>
      <c r="Q350" s="328"/>
      <c r="R350" s="35"/>
      <c r="S350" s="35"/>
      <c r="T350" s="36" t="s">
        <v>63</v>
      </c>
      <c r="U350" s="304">
        <v>4.1999999999999993</v>
      </c>
      <c r="V350" s="305">
        <f t="shared" si="15"/>
        <v>4.2</v>
      </c>
      <c r="W350" s="37">
        <f t="shared" si="16"/>
        <v>1.004E-2</v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486</v>
      </c>
      <c r="B351" s="55" t="s">
        <v>487</v>
      </c>
      <c r="C351" s="32">
        <v>4301031255</v>
      </c>
      <c r="D351" s="384">
        <v>4680115883185</v>
      </c>
      <c r="E351" s="328"/>
      <c r="F351" s="303">
        <v>0.28000000000000003</v>
      </c>
      <c r="G351" s="33">
        <v>6</v>
      </c>
      <c r="H351" s="303">
        <v>1.68</v>
      </c>
      <c r="I351" s="303">
        <v>1.81</v>
      </c>
      <c r="J351" s="33">
        <v>234</v>
      </c>
      <c r="K351" s="34" t="s">
        <v>62</v>
      </c>
      <c r="L351" s="33">
        <v>45</v>
      </c>
      <c r="M351" s="578" t="s">
        <v>488</v>
      </c>
      <c r="N351" s="386"/>
      <c r="O351" s="386"/>
      <c r="P351" s="386"/>
      <c r="Q351" s="328"/>
      <c r="R351" s="35"/>
      <c r="S351" s="35"/>
      <c r="T351" s="36" t="s">
        <v>63</v>
      </c>
      <c r="U351" s="304">
        <v>0</v>
      </c>
      <c r="V351" s="305">
        <f t="shared" si="15"/>
        <v>0</v>
      </c>
      <c r="W351" s="37" t="str">
        <f t="shared" si="16"/>
        <v/>
      </c>
      <c r="X351" s="57"/>
      <c r="Y351" s="58"/>
      <c r="AC351" s="59"/>
      <c r="AZ351" s="249" t="s">
        <v>1</v>
      </c>
    </row>
    <row r="352" spans="1:52" x14ac:dyDescent="0.2">
      <c r="A352" s="388"/>
      <c r="B352" s="312"/>
      <c r="C352" s="312"/>
      <c r="D352" s="312"/>
      <c r="E352" s="312"/>
      <c r="F352" s="312"/>
      <c r="G352" s="312"/>
      <c r="H352" s="312"/>
      <c r="I352" s="312"/>
      <c r="J352" s="312"/>
      <c r="K352" s="312"/>
      <c r="L352" s="389"/>
      <c r="M352" s="387" t="s">
        <v>64</v>
      </c>
      <c r="N352" s="340"/>
      <c r="O352" s="340"/>
      <c r="P352" s="340"/>
      <c r="Q352" s="340"/>
      <c r="R352" s="340"/>
      <c r="S352" s="341"/>
      <c r="T352" s="38" t="s">
        <v>65</v>
      </c>
      <c r="U352" s="306">
        <f>IFERROR(U339/H339,"0")+IFERROR(U340/H340,"0")+IFERROR(U341/H341,"0")+IFERROR(U342/H342,"0")+IFERROR(U343/H343,"0")+IFERROR(U344/H344,"0")+IFERROR(U345/H345,"0")+IFERROR(U346/H346,"0")+IFERROR(U347/H347,"0")+IFERROR(U348/H348,"0")+IFERROR(U349/H349,"0")+IFERROR(U350/H350,"0")+IFERROR(U351/H351,"0")</f>
        <v>7.2380952380952372</v>
      </c>
      <c r="V352" s="306">
        <f>IFERROR(V339/H339,"0")+IFERROR(V340/H340,"0")+IFERROR(V341/H341,"0")+IFERROR(V342/H342,"0")+IFERROR(V343/H343,"0")+IFERROR(V344/H344,"0")+IFERROR(V345/H345,"0")+IFERROR(V346/H346,"0")+IFERROR(V347/H347,"0")+IFERROR(V348/H348,"0")+IFERROR(V349/H349,"0")+IFERROR(V350/H350,"0")+IFERROR(V351/H351,"0")</f>
        <v>8</v>
      </c>
      <c r="W352" s="306">
        <f>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</f>
        <v>5.0200000000000002E-2</v>
      </c>
      <c r="X352" s="307"/>
      <c r="Y352" s="307"/>
    </row>
    <row r="353" spans="1:52" x14ac:dyDescent="0.2">
      <c r="A353" s="312"/>
      <c r="B353" s="312"/>
      <c r="C353" s="312"/>
      <c r="D353" s="312"/>
      <c r="E353" s="312"/>
      <c r="F353" s="312"/>
      <c r="G353" s="312"/>
      <c r="H353" s="312"/>
      <c r="I353" s="312"/>
      <c r="J353" s="312"/>
      <c r="K353" s="312"/>
      <c r="L353" s="389"/>
      <c r="M353" s="387" t="s">
        <v>64</v>
      </c>
      <c r="N353" s="340"/>
      <c r="O353" s="340"/>
      <c r="P353" s="340"/>
      <c r="Q353" s="340"/>
      <c r="R353" s="340"/>
      <c r="S353" s="341"/>
      <c r="T353" s="38" t="s">
        <v>63</v>
      </c>
      <c r="U353" s="306">
        <f>IFERROR(SUM(U339:U351),"0")</f>
        <v>22.7</v>
      </c>
      <c r="V353" s="306">
        <f>IFERROR(SUM(V339:V351),"0")</f>
        <v>25.2</v>
      </c>
      <c r="W353" s="38"/>
      <c r="X353" s="307"/>
      <c r="Y353" s="307"/>
    </row>
    <row r="354" spans="1:52" ht="14.25" customHeight="1" x14ac:dyDescent="0.25">
      <c r="A354" s="383" t="s">
        <v>66</v>
      </c>
      <c r="B354" s="312"/>
      <c r="C354" s="312"/>
      <c r="D354" s="312"/>
      <c r="E354" s="312"/>
      <c r="F354" s="312"/>
      <c r="G354" s="312"/>
      <c r="H354" s="312"/>
      <c r="I354" s="312"/>
      <c r="J354" s="312"/>
      <c r="K354" s="312"/>
      <c r="L354" s="312"/>
      <c r="M354" s="312"/>
      <c r="N354" s="312"/>
      <c r="O354" s="312"/>
      <c r="P354" s="312"/>
      <c r="Q354" s="312"/>
      <c r="R354" s="312"/>
      <c r="S354" s="312"/>
      <c r="T354" s="312"/>
      <c r="U354" s="312"/>
      <c r="V354" s="312"/>
      <c r="W354" s="312"/>
      <c r="X354" s="300"/>
      <c r="Y354" s="300"/>
    </row>
    <row r="355" spans="1:52" ht="27" customHeight="1" x14ac:dyDescent="0.25">
      <c r="A355" s="55" t="s">
        <v>489</v>
      </c>
      <c r="B355" s="55" t="s">
        <v>490</v>
      </c>
      <c r="C355" s="32">
        <v>4301051258</v>
      </c>
      <c r="D355" s="384">
        <v>4607091389685</v>
      </c>
      <c r="E355" s="328"/>
      <c r="F355" s="303">
        <v>1.3</v>
      </c>
      <c r="G355" s="33">
        <v>6</v>
      </c>
      <c r="H355" s="303">
        <v>7.8</v>
      </c>
      <c r="I355" s="303">
        <v>8.3460000000000001</v>
      </c>
      <c r="J355" s="33">
        <v>56</v>
      </c>
      <c r="K355" s="34" t="s">
        <v>124</v>
      </c>
      <c r="L355" s="33">
        <v>45</v>
      </c>
      <c r="M355" s="57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5" s="386"/>
      <c r="O355" s="386"/>
      <c r="P355" s="386"/>
      <c r="Q355" s="328"/>
      <c r="R355" s="35"/>
      <c r="S355" s="35"/>
      <c r="T355" s="36" t="s">
        <v>63</v>
      </c>
      <c r="U355" s="304">
        <v>0</v>
      </c>
      <c r="V355" s="305">
        <f>IFERROR(IF(U355="",0,CEILING((U355/$H355),1)*$H355),"")</f>
        <v>0</v>
      </c>
      <c r="W355" s="37" t="str">
        <f>IFERROR(IF(V355=0,"",ROUNDUP(V355/H355,0)*0.02175),"")</f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491</v>
      </c>
      <c r="B356" s="55" t="s">
        <v>492</v>
      </c>
      <c r="C356" s="32">
        <v>4301051431</v>
      </c>
      <c r="D356" s="384">
        <v>4607091389654</v>
      </c>
      <c r="E356" s="328"/>
      <c r="F356" s="303">
        <v>0.33</v>
      </c>
      <c r="G356" s="33">
        <v>6</v>
      </c>
      <c r="H356" s="303">
        <v>1.98</v>
      </c>
      <c r="I356" s="303">
        <v>2.258</v>
      </c>
      <c r="J356" s="33">
        <v>156</v>
      </c>
      <c r="K356" s="34" t="s">
        <v>124</v>
      </c>
      <c r="L356" s="33">
        <v>45</v>
      </c>
      <c r="M356" s="5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6" s="386"/>
      <c r="O356" s="386"/>
      <c r="P356" s="386"/>
      <c r="Q356" s="328"/>
      <c r="R356" s="35"/>
      <c r="S356" s="35"/>
      <c r="T356" s="36" t="s">
        <v>63</v>
      </c>
      <c r="U356" s="304">
        <v>0</v>
      </c>
      <c r="V356" s="305">
        <f>IFERROR(IF(U356="",0,CEILING((U356/$H356),1)*$H356),"")</f>
        <v>0</v>
      </c>
      <c r="W356" s="37" t="str">
        <f>IFERROR(IF(V356=0,"",ROUNDUP(V356/H356,0)*0.00753),"")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493</v>
      </c>
      <c r="B357" s="55" t="s">
        <v>494</v>
      </c>
      <c r="C357" s="32">
        <v>4301051284</v>
      </c>
      <c r="D357" s="384">
        <v>4607091384352</v>
      </c>
      <c r="E357" s="328"/>
      <c r="F357" s="303">
        <v>0.6</v>
      </c>
      <c r="G357" s="33">
        <v>4</v>
      </c>
      <c r="H357" s="303">
        <v>2.4</v>
      </c>
      <c r="I357" s="303">
        <v>2.6459999999999999</v>
      </c>
      <c r="J357" s="33">
        <v>120</v>
      </c>
      <c r="K357" s="34" t="s">
        <v>124</v>
      </c>
      <c r="L357" s="33">
        <v>45</v>
      </c>
      <c r="M357" s="5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7" s="386"/>
      <c r="O357" s="386"/>
      <c r="P357" s="386"/>
      <c r="Q357" s="328"/>
      <c r="R357" s="35"/>
      <c r="S357" s="35"/>
      <c r="T357" s="36" t="s">
        <v>63</v>
      </c>
      <c r="U357" s="304">
        <v>0</v>
      </c>
      <c r="V357" s="305">
        <f>IFERROR(IF(U357="",0,CEILING((U357/$H357),1)*$H357),"")</f>
        <v>0</v>
      </c>
      <c r="W357" s="37" t="str">
        <f>IFERROR(IF(V357=0,"",ROUNDUP(V357/H357,0)*0.00937),"")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495</v>
      </c>
      <c r="B358" s="55" t="s">
        <v>496</v>
      </c>
      <c r="C358" s="32">
        <v>4301051257</v>
      </c>
      <c r="D358" s="384">
        <v>4607091389661</v>
      </c>
      <c r="E358" s="328"/>
      <c r="F358" s="303">
        <v>0.55000000000000004</v>
      </c>
      <c r="G358" s="33">
        <v>4</v>
      </c>
      <c r="H358" s="303">
        <v>2.2000000000000002</v>
      </c>
      <c r="I358" s="303">
        <v>2.492</v>
      </c>
      <c r="J358" s="33">
        <v>120</v>
      </c>
      <c r="K358" s="34" t="s">
        <v>124</v>
      </c>
      <c r="L358" s="33">
        <v>45</v>
      </c>
      <c r="M358" s="58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8" s="386"/>
      <c r="O358" s="386"/>
      <c r="P358" s="386"/>
      <c r="Q358" s="328"/>
      <c r="R358" s="35"/>
      <c r="S358" s="35"/>
      <c r="T358" s="36" t="s">
        <v>63</v>
      </c>
      <c r="U358" s="304">
        <v>0</v>
      </c>
      <c r="V358" s="305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x14ac:dyDescent="0.2">
      <c r="A359" s="388"/>
      <c r="B359" s="312"/>
      <c r="C359" s="312"/>
      <c r="D359" s="312"/>
      <c r="E359" s="312"/>
      <c r="F359" s="312"/>
      <c r="G359" s="312"/>
      <c r="H359" s="312"/>
      <c r="I359" s="312"/>
      <c r="J359" s="312"/>
      <c r="K359" s="312"/>
      <c r="L359" s="389"/>
      <c r="M359" s="387" t="s">
        <v>64</v>
      </c>
      <c r="N359" s="340"/>
      <c r="O359" s="340"/>
      <c r="P359" s="340"/>
      <c r="Q359" s="340"/>
      <c r="R359" s="340"/>
      <c r="S359" s="341"/>
      <c r="T359" s="38" t="s">
        <v>65</v>
      </c>
      <c r="U359" s="306">
        <f>IFERROR(U355/H355,"0")+IFERROR(U356/H356,"0")+IFERROR(U357/H357,"0")+IFERROR(U358/H358,"0")</f>
        <v>0</v>
      </c>
      <c r="V359" s="306">
        <f>IFERROR(V355/H355,"0")+IFERROR(V356/H356,"0")+IFERROR(V357/H357,"0")+IFERROR(V358/H358,"0")</f>
        <v>0</v>
      </c>
      <c r="W359" s="306">
        <f>IFERROR(IF(W355="",0,W355),"0")+IFERROR(IF(W356="",0,W356),"0")+IFERROR(IF(W357="",0,W357),"0")+IFERROR(IF(W358="",0,W358),"0")</f>
        <v>0</v>
      </c>
      <c r="X359" s="307"/>
      <c r="Y359" s="307"/>
    </row>
    <row r="360" spans="1:52" x14ac:dyDescent="0.2">
      <c r="A360" s="312"/>
      <c r="B360" s="312"/>
      <c r="C360" s="312"/>
      <c r="D360" s="312"/>
      <c r="E360" s="312"/>
      <c r="F360" s="312"/>
      <c r="G360" s="312"/>
      <c r="H360" s="312"/>
      <c r="I360" s="312"/>
      <c r="J360" s="312"/>
      <c r="K360" s="312"/>
      <c r="L360" s="389"/>
      <c r="M360" s="387" t="s">
        <v>64</v>
      </c>
      <c r="N360" s="340"/>
      <c r="O360" s="340"/>
      <c r="P360" s="340"/>
      <c r="Q360" s="340"/>
      <c r="R360" s="340"/>
      <c r="S360" s="341"/>
      <c r="T360" s="38" t="s">
        <v>63</v>
      </c>
      <c r="U360" s="306">
        <f>IFERROR(SUM(U355:U358),"0")</f>
        <v>0</v>
      </c>
      <c r="V360" s="306">
        <f>IFERROR(SUM(V355:V358),"0")</f>
        <v>0</v>
      </c>
      <c r="W360" s="38"/>
      <c r="X360" s="307"/>
      <c r="Y360" s="307"/>
    </row>
    <row r="361" spans="1:52" ht="14.25" customHeight="1" x14ac:dyDescent="0.25">
      <c r="A361" s="383" t="s">
        <v>198</v>
      </c>
      <c r="B361" s="312"/>
      <c r="C361" s="312"/>
      <c r="D361" s="312"/>
      <c r="E361" s="312"/>
      <c r="F361" s="312"/>
      <c r="G361" s="312"/>
      <c r="H361" s="312"/>
      <c r="I361" s="312"/>
      <c r="J361" s="312"/>
      <c r="K361" s="312"/>
      <c r="L361" s="312"/>
      <c r="M361" s="312"/>
      <c r="N361" s="312"/>
      <c r="O361" s="312"/>
      <c r="P361" s="312"/>
      <c r="Q361" s="312"/>
      <c r="R361" s="312"/>
      <c r="S361" s="312"/>
      <c r="T361" s="312"/>
      <c r="U361" s="312"/>
      <c r="V361" s="312"/>
      <c r="W361" s="312"/>
      <c r="X361" s="300"/>
      <c r="Y361" s="300"/>
    </row>
    <row r="362" spans="1:52" ht="27" customHeight="1" x14ac:dyDescent="0.25">
      <c r="A362" s="55" t="s">
        <v>497</v>
      </c>
      <c r="B362" s="55" t="s">
        <v>498</v>
      </c>
      <c r="C362" s="32">
        <v>4301060352</v>
      </c>
      <c r="D362" s="384">
        <v>4680115881648</v>
      </c>
      <c r="E362" s="328"/>
      <c r="F362" s="303">
        <v>1</v>
      </c>
      <c r="G362" s="33">
        <v>4</v>
      </c>
      <c r="H362" s="303">
        <v>4</v>
      </c>
      <c r="I362" s="303">
        <v>4.4039999999999999</v>
      </c>
      <c r="J362" s="33">
        <v>104</v>
      </c>
      <c r="K362" s="34" t="s">
        <v>62</v>
      </c>
      <c r="L362" s="33">
        <v>35</v>
      </c>
      <c r="M362" s="58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2" s="386"/>
      <c r="O362" s="386"/>
      <c r="P362" s="386"/>
      <c r="Q362" s="328"/>
      <c r="R362" s="35"/>
      <c r="S362" s="35"/>
      <c r="T362" s="36" t="s">
        <v>63</v>
      </c>
      <c r="U362" s="304">
        <v>0</v>
      </c>
      <c r="V362" s="305">
        <f>IFERROR(IF(U362="",0,CEILING((U362/$H362),1)*$H362),"")</f>
        <v>0</v>
      </c>
      <c r="W362" s="37" t="str">
        <f>IFERROR(IF(V362=0,"",ROUNDUP(V362/H362,0)*0.01196),"")</f>
        <v/>
      </c>
      <c r="X362" s="57"/>
      <c r="Y362" s="58"/>
      <c r="AC362" s="59"/>
      <c r="AZ362" s="254" t="s">
        <v>1</v>
      </c>
    </row>
    <row r="363" spans="1:52" x14ac:dyDescent="0.2">
      <c r="A363" s="388"/>
      <c r="B363" s="312"/>
      <c r="C363" s="312"/>
      <c r="D363" s="312"/>
      <c r="E363" s="312"/>
      <c r="F363" s="312"/>
      <c r="G363" s="312"/>
      <c r="H363" s="312"/>
      <c r="I363" s="312"/>
      <c r="J363" s="312"/>
      <c r="K363" s="312"/>
      <c r="L363" s="389"/>
      <c r="M363" s="387" t="s">
        <v>64</v>
      </c>
      <c r="N363" s="340"/>
      <c r="O363" s="340"/>
      <c r="P363" s="340"/>
      <c r="Q363" s="340"/>
      <c r="R363" s="340"/>
      <c r="S363" s="341"/>
      <c r="T363" s="38" t="s">
        <v>65</v>
      </c>
      <c r="U363" s="306">
        <f>IFERROR(U362/H362,"0")</f>
        <v>0</v>
      </c>
      <c r="V363" s="306">
        <f>IFERROR(V362/H362,"0")</f>
        <v>0</v>
      </c>
      <c r="W363" s="306">
        <f>IFERROR(IF(W362="",0,W362),"0")</f>
        <v>0</v>
      </c>
      <c r="X363" s="307"/>
      <c r="Y363" s="307"/>
    </row>
    <row r="364" spans="1:52" x14ac:dyDescent="0.2">
      <c r="A364" s="312"/>
      <c r="B364" s="312"/>
      <c r="C364" s="312"/>
      <c r="D364" s="312"/>
      <c r="E364" s="312"/>
      <c r="F364" s="312"/>
      <c r="G364" s="312"/>
      <c r="H364" s="312"/>
      <c r="I364" s="312"/>
      <c r="J364" s="312"/>
      <c r="K364" s="312"/>
      <c r="L364" s="389"/>
      <c r="M364" s="387" t="s">
        <v>64</v>
      </c>
      <c r="N364" s="340"/>
      <c r="O364" s="340"/>
      <c r="P364" s="340"/>
      <c r="Q364" s="340"/>
      <c r="R364" s="340"/>
      <c r="S364" s="341"/>
      <c r="T364" s="38" t="s">
        <v>63</v>
      </c>
      <c r="U364" s="306">
        <f>IFERROR(SUM(U362:U362),"0")</f>
        <v>0</v>
      </c>
      <c r="V364" s="306">
        <f>IFERROR(SUM(V362:V362),"0")</f>
        <v>0</v>
      </c>
      <c r="W364" s="38"/>
      <c r="X364" s="307"/>
      <c r="Y364" s="307"/>
    </row>
    <row r="365" spans="1:52" ht="14.25" customHeight="1" x14ac:dyDescent="0.25">
      <c r="A365" s="383" t="s">
        <v>79</v>
      </c>
      <c r="B365" s="312"/>
      <c r="C365" s="312"/>
      <c r="D365" s="312"/>
      <c r="E365" s="312"/>
      <c r="F365" s="312"/>
      <c r="G365" s="312"/>
      <c r="H365" s="312"/>
      <c r="I365" s="312"/>
      <c r="J365" s="312"/>
      <c r="K365" s="312"/>
      <c r="L365" s="312"/>
      <c r="M365" s="312"/>
      <c r="N365" s="312"/>
      <c r="O365" s="312"/>
      <c r="P365" s="312"/>
      <c r="Q365" s="312"/>
      <c r="R365" s="312"/>
      <c r="S365" s="312"/>
      <c r="T365" s="312"/>
      <c r="U365" s="312"/>
      <c r="V365" s="312"/>
      <c r="W365" s="312"/>
      <c r="X365" s="300"/>
      <c r="Y365" s="300"/>
    </row>
    <row r="366" spans="1:52" ht="27" customHeight="1" x14ac:dyDescent="0.25">
      <c r="A366" s="55" t="s">
        <v>499</v>
      </c>
      <c r="B366" s="55" t="s">
        <v>500</v>
      </c>
      <c r="C366" s="32">
        <v>4301032042</v>
      </c>
      <c r="D366" s="384">
        <v>4680115883017</v>
      </c>
      <c r="E366" s="328"/>
      <c r="F366" s="303">
        <v>0.03</v>
      </c>
      <c r="G366" s="33">
        <v>20</v>
      </c>
      <c r="H366" s="303">
        <v>0.6</v>
      </c>
      <c r="I366" s="303">
        <v>0.63</v>
      </c>
      <c r="J366" s="33">
        <v>350</v>
      </c>
      <c r="K366" s="34" t="s">
        <v>501</v>
      </c>
      <c r="L366" s="33">
        <v>60</v>
      </c>
      <c r="M366" s="584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6" s="386"/>
      <c r="O366" s="386"/>
      <c r="P366" s="386"/>
      <c r="Q366" s="328"/>
      <c r="R366" s="35"/>
      <c r="S366" s="35"/>
      <c r="T366" s="36" t="s">
        <v>63</v>
      </c>
      <c r="U366" s="304">
        <v>0</v>
      </c>
      <c r="V366" s="305">
        <f>IFERROR(IF(U366="",0,CEILING((U366/$H366),1)*$H366),"")</f>
        <v>0</v>
      </c>
      <c r="W366" s="37" t="str">
        <f>IFERROR(IF(V366=0,"",ROUNDUP(V366/H366,0)*0.00349),"")</f>
        <v/>
      </c>
      <c r="X366" s="57"/>
      <c r="Y366" s="58"/>
      <c r="AC366" s="59"/>
      <c r="AZ366" s="255" t="s">
        <v>1</v>
      </c>
    </row>
    <row r="367" spans="1:52" ht="27" customHeight="1" x14ac:dyDescent="0.25">
      <c r="A367" s="55" t="s">
        <v>502</v>
      </c>
      <c r="B367" s="55" t="s">
        <v>503</v>
      </c>
      <c r="C367" s="32">
        <v>4301032043</v>
      </c>
      <c r="D367" s="384">
        <v>4680115883031</v>
      </c>
      <c r="E367" s="328"/>
      <c r="F367" s="303">
        <v>0.03</v>
      </c>
      <c r="G367" s="33">
        <v>20</v>
      </c>
      <c r="H367" s="303">
        <v>0.6</v>
      </c>
      <c r="I367" s="303">
        <v>0.63</v>
      </c>
      <c r="J367" s="33">
        <v>350</v>
      </c>
      <c r="K367" s="34" t="s">
        <v>501</v>
      </c>
      <c r="L367" s="33">
        <v>60</v>
      </c>
      <c r="M367" s="585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7" s="386"/>
      <c r="O367" s="386"/>
      <c r="P367" s="386"/>
      <c r="Q367" s="328"/>
      <c r="R367" s="35"/>
      <c r="S367" s="35"/>
      <c r="T367" s="36" t="s">
        <v>63</v>
      </c>
      <c r="U367" s="304">
        <v>0</v>
      </c>
      <c r="V367" s="305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504</v>
      </c>
      <c r="B368" s="55" t="s">
        <v>505</v>
      </c>
      <c r="C368" s="32">
        <v>4301032041</v>
      </c>
      <c r="D368" s="384">
        <v>4680115883024</v>
      </c>
      <c r="E368" s="328"/>
      <c r="F368" s="303">
        <v>0.03</v>
      </c>
      <c r="G368" s="33">
        <v>20</v>
      </c>
      <c r="H368" s="303">
        <v>0.6</v>
      </c>
      <c r="I368" s="303">
        <v>0.63</v>
      </c>
      <c r="J368" s="33">
        <v>350</v>
      </c>
      <c r="K368" s="34" t="s">
        <v>501</v>
      </c>
      <c r="L368" s="33">
        <v>60</v>
      </c>
      <c r="M368" s="586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8" s="386"/>
      <c r="O368" s="386"/>
      <c r="P368" s="386"/>
      <c r="Q368" s="328"/>
      <c r="R368" s="35"/>
      <c r="S368" s="35"/>
      <c r="T368" s="36" t="s">
        <v>63</v>
      </c>
      <c r="U368" s="304">
        <v>0</v>
      </c>
      <c r="V368" s="305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x14ac:dyDescent="0.2">
      <c r="A369" s="388"/>
      <c r="B369" s="312"/>
      <c r="C369" s="312"/>
      <c r="D369" s="312"/>
      <c r="E369" s="312"/>
      <c r="F369" s="312"/>
      <c r="G369" s="312"/>
      <c r="H369" s="312"/>
      <c r="I369" s="312"/>
      <c r="J369" s="312"/>
      <c r="K369" s="312"/>
      <c r="L369" s="389"/>
      <c r="M369" s="387" t="s">
        <v>64</v>
      </c>
      <c r="N369" s="340"/>
      <c r="O369" s="340"/>
      <c r="P369" s="340"/>
      <c r="Q369" s="340"/>
      <c r="R369" s="340"/>
      <c r="S369" s="341"/>
      <c r="T369" s="38" t="s">
        <v>65</v>
      </c>
      <c r="U369" s="306">
        <f>IFERROR(U366/H366,"0")+IFERROR(U367/H367,"0")+IFERROR(U368/H368,"0")</f>
        <v>0</v>
      </c>
      <c r="V369" s="306">
        <f>IFERROR(V366/H366,"0")+IFERROR(V367/H367,"0")+IFERROR(V368/H368,"0")</f>
        <v>0</v>
      </c>
      <c r="W369" s="306">
        <f>IFERROR(IF(W366="",0,W366),"0")+IFERROR(IF(W367="",0,W367),"0")+IFERROR(IF(W368="",0,W368),"0")</f>
        <v>0</v>
      </c>
      <c r="X369" s="307"/>
      <c r="Y369" s="307"/>
    </row>
    <row r="370" spans="1:52" x14ac:dyDescent="0.2">
      <c r="A370" s="312"/>
      <c r="B370" s="312"/>
      <c r="C370" s="312"/>
      <c r="D370" s="312"/>
      <c r="E370" s="312"/>
      <c r="F370" s="312"/>
      <c r="G370" s="312"/>
      <c r="H370" s="312"/>
      <c r="I370" s="312"/>
      <c r="J370" s="312"/>
      <c r="K370" s="312"/>
      <c r="L370" s="389"/>
      <c r="M370" s="387" t="s">
        <v>64</v>
      </c>
      <c r="N370" s="340"/>
      <c r="O370" s="340"/>
      <c r="P370" s="340"/>
      <c r="Q370" s="340"/>
      <c r="R370" s="340"/>
      <c r="S370" s="341"/>
      <c r="T370" s="38" t="s">
        <v>63</v>
      </c>
      <c r="U370" s="306">
        <f>IFERROR(SUM(U366:U368),"0")</f>
        <v>0</v>
      </c>
      <c r="V370" s="306">
        <f>IFERROR(SUM(V366:V368),"0")</f>
        <v>0</v>
      </c>
      <c r="W370" s="38"/>
      <c r="X370" s="307"/>
      <c r="Y370" s="307"/>
    </row>
    <row r="371" spans="1:52" ht="14.25" customHeight="1" x14ac:dyDescent="0.25">
      <c r="A371" s="383" t="s">
        <v>506</v>
      </c>
      <c r="B371" s="312"/>
      <c r="C371" s="312"/>
      <c r="D371" s="312"/>
      <c r="E371" s="312"/>
      <c r="F371" s="312"/>
      <c r="G371" s="312"/>
      <c r="H371" s="312"/>
      <c r="I371" s="312"/>
      <c r="J371" s="312"/>
      <c r="K371" s="312"/>
      <c r="L371" s="312"/>
      <c r="M371" s="312"/>
      <c r="N371" s="312"/>
      <c r="O371" s="312"/>
      <c r="P371" s="312"/>
      <c r="Q371" s="312"/>
      <c r="R371" s="312"/>
      <c r="S371" s="312"/>
      <c r="T371" s="312"/>
      <c r="U371" s="312"/>
      <c r="V371" s="312"/>
      <c r="W371" s="312"/>
      <c r="X371" s="300"/>
      <c r="Y371" s="300"/>
    </row>
    <row r="372" spans="1:52" ht="27" customHeight="1" x14ac:dyDescent="0.25">
      <c r="A372" s="55" t="s">
        <v>507</v>
      </c>
      <c r="B372" s="55" t="s">
        <v>508</v>
      </c>
      <c r="C372" s="32">
        <v>4301170009</v>
      </c>
      <c r="D372" s="384">
        <v>4680115882997</v>
      </c>
      <c r="E372" s="328"/>
      <c r="F372" s="303">
        <v>0.13</v>
      </c>
      <c r="G372" s="33">
        <v>10</v>
      </c>
      <c r="H372" s="303">
        <v>1.3</v>
      </c>
      <c r="I372" s="303">
        <v>1.46</v>
      </c>
      <c r="J372" s="33">
        <v>200</v>
      </c>
      <c r="K372" s="34" t="s">
        <v>501</v>
      </c>
      <c r="L372" s="33">
        <v>150</v>
      </c>
      <c r="M372" s="587" t="s">
        <v>509</v>
      </c>
      <c r="N372" s="386"/>
      <c r="O372" s="386"/>
      <c r="P372" s="386"/>
      <c r="Q372" s="328"/>
      <c r="R372" s="35"/>
      <c r="S372" s="35"/>
      <c r="T372" s="36" t="s">
        <v>63</v>
      </c>
      <c r="U372" s="304">
        <v>0</v>
      </c>
      <c r="V372" s="305">
        <f>IFERROR(IF(U372="",0,CEILING((U372/$H372),1)*$H372),"")</f>
        <v>0</v>
      </c>
      <c r="W372" s="37" t="str">
        <f>IFERROR(IF(V372=0,"",ROUNDUP(V372/H372,0)*0.00673),"")</f>
        <v/>
      </c>
      <c r="X372" s="57"/>
      <c r="Y372" s="58"/>
      <c r="AC372" s="59"/>
      <c r="AZ372" s="258" t="s">
        <v>1</v>
      </c>
    </row>
    <row r="373" spans="1:52" x14ac:dyDescent="0.2">
      <c r="A373" s="388"/>
      <c r="B373" s="312"/>
      <c r="C373" s="312"/>
      <c r="D373" s="312"/>
      <c r="E373" s="312"/>
      <c r="F373" s="312"/>
      <c r="G373" s="312"/>
      <c r="H373" s="312"/>
      <c r="I373" s="312"/>
      <c r="J373" s="312"/>
      <c r="K373" s="312"/>
      <c r="L373" s="389"/>
      <c r="M373" s="387" t="s">
        <v>64</v>
      </c>
      <c r="N373" s="340"/>
      <c r="O373" s="340"/>
      <c r="P373" s="340"/>
      <c r="Q373" s="340"/>
      <c r="R373" s="340"/>
      <c r="S373" s="341"/>
      <c r="T373" s="38" t="s">
        <v>65</v>
      </c>
      <c r="U373" s="306">
        <f>IFERROR(U372/H372,"0")</f>
        <v>0</v>
      </c>
      <c r="V373" s="306">
        <f>IFERROR(V372/H372,"0")</f>
        <v>0</v>
      </c>
      <c r="W373" s="306">
        <f>IFERROR(IF(W372="",0,W372),"0")</f>
        <v>0</v>
      </c>
      <c r="X373" s="307"/>
      <c r="Y373" s="307"/>
    </row>
    <row r="374" spans="1:52" x14ac:dyDescent="0.2">
      <c r="A374" s="312"/>
      <c r="B374" s="312"/>
      <c r="C374" s="312"/>
      <c r="D374" s="312"/>
      <c r="E374" s="312"/>
      <c r="F374" s="312"/>
      <c r="G374" s="312"/>
      <c r="H374" s="312"/>
      <c r="I374" s="312"/>
      <c r="J374" s="312"/>
      <c r="K374" s="312"/>
      <c r="L374" s="389"/>
      <c r="M374" s="387" t="s">
        <v>64</v>
      </c>
      <c r="N374" s="340"/>
      <c r="O374" s="340"/>
      <c r="P374" s="340"/>
      <c r="Q374" s="340"/>
      <c r="R374" s="340"/>
      <c r="S374" s="341"/>
      <c r="T374" s="38" t="s">
        <v>63</v>
      </c>
      <c r="U374" s="306">
        <f>IFERROR(SUM(U372:U372),"0")</f>
        <v>0</v>
      </c>
      <c r="V374" s="306">
        <f>IFERROR(SUM(V372:V372),"0")</f>
        <v>0</v>
      </c>
      <c r="W374" s="38"/>
      <c r="X374" s="307"/>
      <c r="Y374" s="307"/>
    </row>
    <row r="375" spans="1:52" ht="16.5" customHeight="1" x14ac:dyDescent="0.25">
      <c r="A375" s="382" t="s">
        <v>510</v>
      </c>
      <c r="B375" s="312"/>
      <c r="C375" s="312"/>
      <c r="D375" s="312"/>
      <c r="E375" s="312"/>
      <c r="F375" s="312"/>
      <c r="G375" s="312"/>
      <c r="H375" s="312"/>
      <c r="I375" s="312"/>
      <c r="J375" s="312"/>
      <c r="K375" s="312"/>
      <c r="L375" s="312"/>
      <c r="M375" s="312"/>
      <c r="N375" s="312"/>
      <c r="O375" s="312"/>
      <c r="P375" s="312"/>
      <c r="Q375" s="312"/>
      <c r="R375" s="312"/>
      <c r="S375" s="312"/>
      <c r="T375" s="312"/>
      <c r="U375" s="312"/>
      <c r="V375" s="312"/>
      <c r="W375" s="312"/>
      <c r="X375" s="299"/>
      <c r="Y375" s="299"/>
    </row>
    <row r="376" spans="1:52" ht="14.25" customHeight="1" x14ac:dyDescent="0.25">
      <c r="A376" s="383" t="s">
        <v>93</v>
      </c>
      <c r="B376" s="312"/>
      <c r="C376" s="312"/>
      <c r="D376" s="312"/>
      <c r="E376" s="312"/>
      <c r="F376" s="312"/>
      <c r="G376" s="312"/>
      <c r="H376" s="312"/>
      <c r="I376" s="312"/>
      <c r="J376" s="312"/>
      <c r="K376" s="312"/>
      <c r="L376" s="312"/>
      <c r="M376" s="312"/>
      <c r="N376" s="312"/>
      <c r="O376" s="312"/>
      <c r="P376" s="312"/>
      <c r="Q376" s="312"/>
      <c r="R376" s="312"/>
      <c r="S376" s="312"/>
      <c r="T376" s="312"/>
      <c r="U376" s="312"/>
      <c r="V376" s="312"/>
      <c r="W376" s="312"/>
      <c r="X376" s="300"/>
      <c r="Y376" s="300"/>
    </row>
    <row r="377" spans="1:52" ht="27" customHeight="1" x14ac:dyDescent="0.25">
      <c r="A377" s="55" t="s">
        <v>511</v>
      </c>
      <c r="B377" s="55" t="s">
        <v>512</v>
      </c>
      <c r="C377" s="32">
        <v>4301020196</v>
      </c>
      <c r="D377" s="384">
        <v>4607091389388</v>
      </c>
      <c r="E377" s="328"/>
      <c r="F377" s="303">
        <v>1.3</v>
      </c>
      <c r="G377" s="33">
        <v>4</v>
      </c>
      <c r="H377" s="303">
        <v>5.2</v>
      </c>
      <c r="I377" s="303">
        <v>5.6079999999999997</v>
      </c>
      <c r="J377" s="33">
        <v>104</v>
      </c>
      <c r="K377" s="34" t="s">
        <v>124</v>
      </c>
      <c r="L377" s="33">
        <v>35</v>
      </c>
      <c r="M377" s="58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7" s="386"/>
      <c r="O377" s="386"/>
      <c r="P377" s="386"/>
      <c r="Q377" s="328"/>
      <c r="R377" s="35"/>
      <c r="S377" s="35"/>
      <c r="T377" s="36" t="s">
        <v>63</v>
      </c>
      <c r="U377" s="304">
        <v>0</v>
      </c>
      <c r="V377" s="305">
        <f>IFERROR(IF(U377="",0,CEILING((U377/$H377),1)*$H377),"")</f>
        <v>0</v>
      </c>
      <c r="W377" s="37" t="str">
        <f>IFERROR(IF(V377=0,"",ROUNDUP(V377/H377,0)*0.01196),"")</f>
        <v/>
      </c>
      <c r="X377" s="57"/>
      <c r="Y377" s="58"/>
      <c r="AC377" s="59"/>
      <c r="AZ377" s="259" t="s">
        <v>1</v>
      </c>
    </row>
    <row r="378" spans="1:52" ht="27" customHeight="1" x14ac:dyDescent="0.25">
      <c r="A378" s="55" t="s">
        <v>513</v>
      </c>
      <c r="B378" s="55" t="s">
        <v>514</v>
      </c>
      <c r="C378" s="32">
        <v>4301020185</v>
      </c>
      <c r="D378" s="384">
        <v>4607091389364</v>
      </c>
      <c r="E378" s="328"/>
      <c r="F378" s="303">
        <v>0.42</v>
      </c>
      <c r="G378" s="33">
        <v>6</v>
      </c>
      <c r="H378" s="303">
        <v>2.52</v>
      </c>
      <c r="I378" s="303">
        <v>2.75</v>
      </c>
      <c r="J378" s="33">
        <v>156</v>
      </c>
      <c r="K378" s="34" t="s">
        <v>124</v>
      </c>
      <c r="L378" s="33">
        <v>35</v>
      </c>
      <c r="M378" s="58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8" s="386"/>
      <c r="O378" s="386"/>
      <c r="P378" s="386"/>
      <c r="Q378" s="328"/>
      <c r="R378" s="35"/>
      <c r="S378" s="35"/>
      <c r="T378" s="36" t="s">
        <v>63</v>
      </c>
      <c r="U378" s="304">
        <v>0</v>
      </c>
      <c r="V378" s="305">
        <f>IFERROR(IF(U378="",0,CEILING((U378/$H378),1)*$H378),"")</f>
        <v>0</v>
      </c>
      <c r="W378" s="37" t="str">
        <f>IFERROR(IF(V378=0,"",ROUNDUP(V378/H378,0)*0.00753),"")</f>
        <v/>
      </c>
      <c r="X378" s="57"/>
      <c r="Y378" s="58"/>
      <c r="AC378" s="59"/>
      <c r="AZ378" s="260" t="s">
        <v>1</v>
      </c>
    </row>
    <row r="379" spans="1:52" x14ac:dyDescent="0.2">
      <c r="A379" s="388"/>
      <c r="B379" s="312"/>
      <c r="C379" s="312"/>
      <c r="D379" s="312"/>
      <c r="E379" s="312"/>
      <c r="F379" s="312"/>
      <c r="G379" s="312"/>
      <c r="H379" s="312"/>
      <c r="I379" s="312"/>
      <c r="J379" s="312"/>
      <c r="K379" s="312"/>
      <c r="L379" s="389"/>
      <c r="M379" s="387" t="s">
        <v>64</v>
      </c>
      <c r="N379" s="340"/>
      <c r="O379" s="340"/>
      <c r="P379" s="340"/>
      <c r="Q379" s="340"/>
      <c r="R379" s="340"/>
      <c r="S379" s="341"/>
      <c r="T379" s="38" t="s">
        <v>65</v>
      </c>
      <c r="U379" s="306">
        <f>IFERROR(U377/H377,"0")+IFERROR(U378/H378,"0")</f>
        <v>0</v>
      </c>
      <c r="V379" s="306">
        <f>IFERROR(V377/H377,"0")+IFERROR(V378/H378,"0")</f>
        <v>0</v>
      </c>
      <c r="W379" s="306">
        <f>IFERROR(IF(W377="",0,W377),"0")+IFERROR(IF(W378="",0,W378),"0")</f>
        <v>0</v>
      </c>
      <c r="X379" s="307"/>
      <c r="Y379" s="307"/>
    </row>
    <row r="380" spans="1:52" x14ac:dyDescent="0.2">
      <c r="A380" s="312"/>
      <c r="B380" s="312"/>
      <c r="C380" s="312"/>
      <c r="D380" s="312"/>
      <c r="E380" s="312"/>
      <c r="F380" s="312"/>
      <c r="G380" s="312"/>
      <c r="H380" s="312"/>
      <c r="I380" s="312"/>
      <c r="J380" s="312"/>
      <c r="K380" s="312"/>
      <c r="L380" s="389"/>
      <c r="M380" s="387" t="s">
        <v>64</v>
      </c>
      <c r="N380" s="340"/>
      <c r="O380" s="340"/>
      <c r="P380" s="340"/>
      <c r="Q380" s="340"/>
      <c r="R380" s="340"/>
      <c r="S380" s="341"/>
      <c r="T380" s="38" t="s">
        <v>63</v>
      </c>
      <c r="U380" s="306">
        <f>IFERROR(SUM(U377:U378),"0")</f>
        <v>0</v>
      </c>
      <c r="V380" s="306">
        <f>IFERROR(SUM(V377:V378),"0")</f>
        <v>0</v>
      </c>
      <c r="W380" s="38"/>
      <c r="X380" s="307"/>
      <c r="Y380" s="307"/>
    </row>
    <row r="381" spans="1:52" ht="14.25" customHeight="1" x14ac:dyDescent="0.25">
      <c r="A381" s="383" t="s">
        <v>59</v>
      </c>
      <c r="B381" s="312"/>
      <c r="C381" s="312"/>
      <c r="D381" s="312"/>
      <c r="E381" s="312"/>
      <c r="F381" s="312"/>
      <c r="G381" s="312"/>
      <c r="H381" s="312"/>
      <c r="I381" s="312"/>
      <c r="J381" s="312"/>
      <c r="K381" s="312"/>
      <c r="L381" s="312"/>
      <c r="M381" s="312"/>
      <c r="N381" s="312"/>
      <c r="O381" s="312"/>
      <c r="P381" s="312"/>
      <c r="Q381" s="312"/>
      <c r="R381" s="312"/>
      <c r="S381" s="312"/>
      <c r="T381" s="312"/>
      <c r="U381" s="312"/>
      <c r="V381" s="312"/>
      <c r="W381" s="312"/>
      <c r="X381" s="300"/>
      <c r="Y381" s="300"/>
    </row>
    <row r="382" spans="1:52" ht="27" customHeight="1" x14ac:dyDescent="0.25">
      <c r="A382" s="55" t="s">
        <v>515</v>
      </c>
      <c r="B382" s="55" t="s">
        <v>516</v>
      </c>
      <c r="C382" s="32">
        <v>4301031212</v>
      </c>
      <c r="D382" s="384">
        <v>4607091389739</v>
      </c>
      <c r="E382" s="328"/>
      <c r="F382" s="303">
        <v>0.7</v>
      </c>
      <c r="G382" s="33">
        <v>6</v>
      </c>
      <c r="H382" s="303">
        <v>4.2</v>
      </c>
      <c r="I382" s="303">
        <v>4.43</v>
      </c>
      <c r="J382" s="33">
        <v>156</v>
      </c>
      <c r="K382" s="34" t="s">
        <v>96</v>
      </c>
      <c r="L382" s="33">
        <v>45</v>
      </c>
      <c r="M382" s="59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2" s="386"/>
      <c r="O382" s="386"/>
      <c r="P382" s="386"/>
      <c r="Q382" s="328"/>
      <c r="R382" s="35"/>
      <c r="S382" s="35"/>
      <c r="T382" s="36" t="s">
        <v>63</v>
      </c>
      <c r="U382" s="304">
        <v>5</v>
      </c>
      <c r="V382" s="305">
        <f t="shared" ref="V382:V388" si="17">IFERROR(IF(U382="",0,CEILING((U382/$H382),1)*$H382),"")</f>
        <v>8.4</v>
      </c>
      <c r="W382" s="37">
        <f>IFERROR(IF(V382=0,"",ROUNDUP(V382/H382,0)*0.00753),"")</f>
        <v>1.506E-2</v>
      </c>
      <c r="X382" s="57"/>
      <c r="Y382" s="58"/>
      <c r="AC382" s="59"/>
      <c r="AZ382" s="261" t="s">
        <v>1</v>
      </c>
    </row>
    <row r="383" spans="1:52" ht="27" customHeight="1" x14ac:dyDescent="0.25">
      <c r="A383" s="55" t="s">
        <v>517</v>
      </c>
      <c r="B383" s="55" t="s">
        <v>518</v>
      </c>
      <c r="C383" s="32">
        <v>4301031247</v>
      </c>
      <c r="D383" s="384">
        <v>4680115883048</v>
      </c>
      <c r="E383" s="328"/>
      <c r="F383" s="303">
        <v>1</v>
      </c>
      <c r="G383" s="33">
        <v>4</v>
      </c>
      <c r="H383" s="303">
        <v>4</v>
      </c>
      <c r="I383" s="303">
        <v>4.21</v>
      </c>
      <c r="J383" s="33">
        <v>120</v>
      </c>
      <c r="K383" s="34" t="s">
        <v>62</v>
      </c>
      <c r="L383" s="33">
        <v>40</v>
      </c>
      <c r="M383" s="59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3" s="386"/>
      <c r="O383" s="386"/>
      <c r="P383" s="386"/>
      <c r="Q383" s="328"/>
      <c r="R383" s="35"/>
      <c r="S383" s="35"/>
      <c r="T383" s="36" t="s">
        <v>63</v>
      </c>
      <c r="U383" s="304">
        <v>0</v>
      </c>
      <c r="V383" s="305">
        <f t="shared" si="17"/>
        <v>0</v>
      </c>
      <c r="W383" s="37" t="str">
        <f>IFERROR(IF(V383=0,"",ROUNDUP(V383/H383,0)*0.00937),"")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519</v>
      </c>
      <c r="B384" s="55" t="s">
        <v>520</v>
      </c>
      <c r="C384" s="32">
        <v>4301031176</v>
      </c>
      <c r="D384" s="384">
        <v>4607091389425</v>
      </c>
      <c r="E384" s="328"/>
      <c r="F384" s="303">
        <v>0.35</v>
      </c>
      <c r="G384" s="33">
        <v>6</v>
      </c>
      <c r="H384" s="303">
        <v>2.1</v>
      </c>
      <c r="I384" s="303">
        <v>2.23</v>
      </c>
      <c r="J384" s="33">
        <v>234</v>
      </c>
      <c r="K384" s="34" t="s">
        <v>62</v>
      </c>
      <c r="L384" s="33">
        <v>45</v>
      </c>
      <c r="M384" s="59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4" s="386"/>
      <c r="O384" s="386"/>
      <c r="P384" s="386"/>
      <c r="Q384" s="328"/>
      <c r="R384" s="35"/>
      <c r="S384" s="35"/>
      <c r="T384" s="36" t="s">
        <v>63</v>
      </c>
      <c r="U384" s="304">
        <v>0</v>
      </c>
      <c r="V384" s="305">
        <f t="shared" si="17"/>
        <v>0</v>
      </c>
      <c r="W384" s="37" t="str">
        <f>IFERROR(IF(V384=0,"",ROUNDUP(V384/H384,0)*0.00502),"")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521</v>
      </c>
      <c r="B385" s="55" t="s">
        <v>522</v>
      </c>
      <c r="C385" s="32">
        <v>4301031215</v>
      </c>
      <c r="D385" s="384">
        <v>4680115882911</v>
      </c>
      <c r="E385" s="328"/>
      <c r="F385" s="303">
        <v>0.4</v>
      </c>
      <c r="G385" s="33">
        <v>6</v>
      </c>
      <c r="H385" s="303">
        <v>2.4</v>
      </c>
      <c r="I385" s="303">
        <v>2.5299999999999998</v>
      </c>
      <c r="J385" s="33">
        <v>234</v>
      </c>
      <c r="K385" s="34" t="s">
        <v>62</v>
      </c>
      <c r="L385" s="33">
        <v>40</v>
      </c>
      <c r="M385" s="593" t="s">
        <v>523</v>
      </c>
      <c r="N385" s="386"/>
      <c r="O385" s="386"/>
      <c r="P385" s="386"/>
      <c r="Q385" s="328"/>
      <c r="R385" s="35"/>
      <c r="S385" s="35"/>
      <c r="T385" s="36" t="s">
        <v>63</v>
      </c>
      <c r="U385" s="304">
        <v>0</v>
      </c>
      <c r="V385" s="305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524</v>
      </c>
      <c r="B386" s="55" t="s">
        <v>525</v>
      </c>
      <c r="C386" s="32">
        <v>4301031167</v>
      </c>
      <c r="D386" s="384">
        <v>4680115880771</v>
      </c>
      <c r="E386" s="328"/>
      <c r="F386" s="303">
        <v>0.28000000000000003</v>
      </c>
      <c r="G386" s="33">
        <v>6</v>
      </c>
      <c r="H386" s="303">
        <v>1.68</v>
      </c>
      <c r="I386" s="303">
        <v>1.81</v>
      </c>
      <c r="J386" s="33">
        <v>234</v>
      </c>
      <c r="K386" s="34" t="s">
        <v>62</v>
      </c>
      <c r="L386" s="33">
        <v>45</v>
      </c>
      <c r="M386" s="59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6" s="386"/>
      <c r="O386" s="386"/>
      <c r="P386" s="386"/>
      <c r="Q386" s="328"/>
      <c r="R386" s="35"/>
      <c r="S386" s="35"/>
      <c r="T386" s="36" t="s">
        <v>63</v>
      </c>
      <c r="U386" s="304">
        <v>0</v>
      </c>
      <c r="V386" s="305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526</v>
      </c>
      <c r="B387" s="55" t="s">
        <v>527</v>
      </c>
      <c r="C387" s="32">
        <v>4301031173</v>
      </c>
      <c r="D387" s="384">
        <v>4607091389500</v>
      </c>
      <c r="E387" s="328"/>
      <c r="F387" s="303">
        <v>0.35</v>
      </c>
      <c r="G387" s="33">
        <v>6</v>
      </c>
      <c r="H387" s="303">
        <v>2.1</v>
      </c>
      <c r="I387" s="303">
        <v>2.23</v>
      </c>
      <c r="J387" s="33">
        <v>234</v>
      </c>
      <c r="K387" s="34" t="s">
        <v>62</v>
      </c>
      <c r="L387" s="33">
        <v>45</v>
      </c>
      <c r="M387" s="59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7" s="386"/>
      <c r="O387" s="386"/>
      <c r="P387" s="386"/>
      <c r="Q387" s="328"/>
      <c r="R387" s="35"/>
      <c r="S387" s="35"/>
      <c r="T387" s="36" t="s">
        <v>63</v>
      </c>
      <c r="U387" s="304">
        <v>5.25</v>
      </c>
      <c r="V387" s="305">
        <f t="shared" si="17"/>
        <v>6.3000000000000007</v>
      </c>
      <c r="W387" s="37">
        <f>IFERROR(IF(V387=0,"",ROUNDUP(V387/H387,0)*0.00502),"")</f>
        <v>1.506E-2</v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528</v>
      </c>
      <c r="B388" s="55" t="s">
        <v>529</v>
      </c>
      <c r="C388" s="32">
        <v>4301031103</v>
      </c>
      <c r="D388" s="384">
        <v>4680115881983</v>
      </c>
      <c r="E388" s="328"/>
      <c r="F388" s="303">
        <v>0.28000000000000003</v>
      </c>
      <c r="G388" s="33">
        <v>4</v>
      </c>
      <c r="H388" s="303">
        <v>1.1200000000000001</v>
      </c>
      <c r="I388" s="303">
        <v>1.252</v>
      </c>
      <c r="J388" s="33">
        <v>234</v>
      </c>
      <c r="K388" s="34" t="s">
        <v>62</v>
      </c>
      <c r="L388" s="33">
        <v>40</v>
      </c>
      <c r="M388" s="59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8" s="386"/>
      <c r="O388" s="386"/>
      <c r="P388" s="386"/>
      <c r="Q388" s="328"/>
      <c r="R388" s="35"/>
      <c r="S388" s="35"/>
      <c r="T388" s="36" t="s">
        <v>63</v>
      </c>
      <c r="U388" s="304">
        <v>0</v>
      </c>
      <c r="V388" s="305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7" t="s">
        <v>1</v>
      </c>
    </row>
    <row r="389" spans="1:52" x14ac:dyDescent="0.2">
      <c r="A389" s="388"/>
      <c r="B389" s="312"/>
      <c r="C389" s="312"/>
      <c r="D389" s="312"/>
      <c r="E389" s="312"/>
      <c r="F389" s="312"/>
      <c r="G389" s="312"/>
      <c r="H389" s="312"/>
      <c r="I389" s="312"/>
      <c r="J389" s="312"/>
      <c r="K389" s="312"/>
      <c r="L389" s="389"/>
      <c r="M389" s="387" t="s">
        <v>64</v>
      </c>
      <c r="N389" s="340"/>
      <c r="O389" s="340"/>
      <c r="P389" s="340"/>
      <c r="Q389" s="340"/>
      <c r="R389" s="340"/>
      <c r="S389" s="341"/>
      <c r="T389" s="38" t="s">
        <v>65</v>
      </c>
      <c r="U389" s="306">
        <f>IFERROR(U382/H382,"0")+IFERROR(U383/H383,"0")+IFERROR(U384/H384,"0")+IFERROR(U385/H385,"0")+IFERROR(U386/H386,"0")+IFERROR(U387/H387,"0")+IFERROR(U388/H388,"0")</f>
        <v>3.6904761904761907</v>
      </c>
      <c r="V389" s="306">
        <f>IFERROR(V382/H382,"0")+IFERROR(V383/H383,"0")+IFERROR(V384/H384,"0")+IFERROR(V385/H385,"0")+IFERROR(V386/H386,"0")+IFERROR(V387/H387,"0")+IFERROR(V388/H388,"0")</f>
        <v>5</v>
      </c>
      <c r="W389" s="306">
        <f>IFERROR(IF(W382="",0,W382),"0")+IFERROR(IF(W383="",0,W383),"0")+IFERROR(IF(W384="",0,W384),"0")+IFERROR(IF(W385="",0,W385),"0")+IFERROR(IF(W386="",0,W386),"0")+IFERROR(IF(W387="",0,W387),"0")+IFERROR(IF(W388="",0,W388),"0")</f>
        <v>3.0120000000000001E-2</v>
      </c>
      <c r="X389" s="307"/>
      <c r="Y389" s="307"/>
    </row>
    <row r="390" spans="1:52" x14ac:dyDescent="0.2">
      <c r="A390" s="312"/>
      <c r="B390" s="312"/>
      <c r="C390" s="312"/>
      <c r="D390" s="312"/>
      <c r="E390" s="312"/>
      <c r="F390" s="312"/>
      <c r="G390" s="312"/>
      <c r="H390" s="312"/>
      <c r="I390" s="312"/>
      <c r="J390" s="312"/>
      <c r="K390" s="312"/>
      <c r="L390" s="389"/>
      <c r="M390" s="387" t="s">
        <v>64</v>
      </c>
      <c r="N390" s="340"/>
      <c r="O390" s="340"/>
      <c r="P390" s="340"/>
      <c r="Q390" s="340"/>
      <c r="R390" s="340"/>
      <c r="S390" s="341"/>
      <c r="T390" s="38" t="s">
        <v>63</v>
      </c>
      <c r="U390" s="306">
        <f>IFERROR(SUM(U382:U388),"0")</f>
        <v>10.25</v>
      </c>
      <c r="V390" s="306">
        <f>IFERROR(SUM(V382:V388),"0")</f>
        <v>14.700000000000001</v>
      </c>
      <c r="W390" s="38"/>
      <c r="X390" s="307"/>
      <c r="Y390" s="307"/>
    </row>
    <row r="391" spans="1:52" ht="14.25" customHeight="1" x14ac:dyDescent="0.25">
      <c r="A391" s="383" t="s">
        <v>79</v>
      </c>
      <c r="B391" s="312"/>
      <c r="C391" s="312"/>
      <c r="D391" s="312"/>
      <c r="E391" s="312"/>
      <c r="F391" s="312"/>
      <c r="G391" s="312"/>
      <c r="H391" s="312"/>
      <c r="I391" s="312"/>
      <c r="J391" s="312"/>
      <c r="K391" s="312"/>
      <c r="L391" s="312"/>
      <c r="M391" s="312"/>
      <c r="N391" s="312"/>
      <c r="O391" s="312"/>
      <c r="P391" s="312"/>
      <c r="Q391" s="312"/>
      <c r="R391" s="312"/>
      <c r="S391" s="312"/>
      <c r="T391" s="312"/>
      <c r="U391" s="312"/>
      <c r="V391" s="312"/>
      <c r="W391" s="312"/>
      <c r="X391" s="300"/>
      <c r="Y391" s="300"/>
    </row>
    <row r="392" spans="1:52" ht="27" customHeight="1" x14ac:dyDescent="0.25">
      <c r="A392" s="55" t="s">
        <v>530</v>
      </c>
      <c r="B392" s="55" t="s">
        <v>531</v>
      </c>
      <c r="C392" s="32">
        <v>4301032044</v>
      </c>
      <c r="D392" s="384">
        <v>4680115883000</v>
      </c>
      <c r="E392" s="328"/>
      <c r="F392" s="303">
        <v>0.03</v>
      </c>
      <c r="G392" s="33">
        <v>20</v>
      </c>
      <c r="H392" s="303">
        <v>0.6</v>
      </c>
      <c r="I392" s="303">
        <v>0.63</v>
      </c>
      <c r="J392" s="33">
        <v>350</v>
      </c>
      <c r="K392" s="34" t="s">
        <v>501</v>
      </c>
      <c r="L392" s="33">
        <v>60</v>
      </c>
      <c r="M392" s="597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2" s="386"/>
      <c r="O392" s="386"/>
      <c r="P392" s="386"/>
      <c r="Q392" s="328"/>
      <c r="R392" s="35"/>
      <c r="S392" s="35"/>
      <c r="T392" s="36" t="s">
        <v>63</v>
      </c>
      <c r="U392" s="304">
        <v>0</v>
      </c>
      <c r="V392" s="305">
        <f>IFERROR(IF(U392="",0,CEILING((U392/$H392),1)*$H392),"")</f>
        <v>0</v>
      </c>
      <c r="W392" s="37" t="str">
        <f>IFERROR(IF(V392=0,"",ROUNDUP(V392/H392,0)*0.00349),"")</f>
        <v/>
      </c>
      <c r="X392" s="57"/>
      <c r="Y392" s="58"/>
      <c r="AC392" s="59"/>
      <c r="AZ392" s="268" t="s">
        <v>1</v>
      </c>
    </row>
    <row r="393" spans="1:52" x14ac:dyDescent="0.2">
      <c r="A393" s="388"/>
      <c r="B393" s="312"/>
      <c r="C393" s="312"/>
      <c r="D393" s="312"/>
      <c r="E393" s="312"/>
      <c r="F393" s="312"/>
      <c r="G393" s="312"/>
      <c r="H393" s="312"/>
      <c r="I393" s="312"/>
      <c r="J393" s="312"/>
      <c r="K393" s="312"/>
      <c r="L393" s="389"/>
      <c r="M393" s="387" t="s">
        <v>64</v>
      </c>
      <c r="N393" s="340"/>
      <c r="O393" s="340"/>
      <c r="P393" s="340"/>
      <c r="Q393" s="340"/>
      <c r="R393" s="340"/>
      <c r="S393" s="341"/>
      <c r="T393" s="38" t="s">
        <v>65</v>
      </c>
      <c r="U393" s="306">
        <f>IFERROR(U392/H392,"0")</f>
        <v>0</v>
      </c>
      <c r="V393" s="306">
        <f>IFERROR(V392/H392,"0")</f>
        <v>0</v>
      </c>
      <c r="W393" s="306">
        <f>IFERROR(IF(W392="",0,W392),"0")</f>
        <v>0</v>
      </c>
      <c r="X393" s="307"/>
      <c r="Y393" s="307"/>
    </row>
    <row r="394" spans="1:52" x14ac:dyDescent="0.2">
      <c r="A394" s="312"/>
      <c r="B394" s="312"/>
      <c r="C394" s="312"/>
      <c r="D394" s="312"/>
      <c r="E394" s="312"/>
      <c r="F394" s="312"/>
      <c r="G394" s="312"/>
      <c r="H394" s="312"/>
      <c r="I394" s="312"/>
      <c r="J394" s="312"/>
      <c r="K394" s="312"/>
      <c r="L394" s="389"/>
      <c r="M394" s="387" t="s">
        <v>64</v>
      </c>
      <c r="N394" s="340"/>
      <c r="O394" s="340"/>
      <c r="P394" s="340"/>
      <c r="Q394" s="340"/>
      <c r="R394" s="340"/>
      <c r="S394" s="341"/>
      <c r="T394" s="38" t="s">
        <v>63</v>
      </c>
      <c r="U394" s="306">
        <f>IFERROR(SUM(U392:U392),"0")</f>
        <v>0</v>
      </c>
      <c r="V394" s="306">
        <f>IFERROR(SUM(V392:V392),"0")</f>
        <v>0</v>
      </c>
      <c r="W394" s="38"/>
      <c r="X394" s="307"/>
      <c r="Y394" s="307"/>
    </row>
    <row r="395" spans="1:52" ht="14.25" customHeight="1" x14ac:dyDescent="0.25">
      <c r="A395" s="383" t="s">
        <v>506</v>
      </c>
      <c r="B395" s="312"/>
      <c r="C395" s="312"/>
      <c r="D395" s="312"/>
      <c r="E395" s="312"/>
      <c r="F395" s="312"/>
      <c r="G395" s="312"/>
      <c r="H395" s="312"/>
      <c r="I395" s="312"/>
      <c r="J395" s="312"/>
      <c r="K395" s="312"/>
      <c r="L395" s="312"/>
      <c r="M395" s="312"/>
      <c r="N395" s="312"/>
      <c r="O395" s="312"/>
      <c r="P395" s="312"/>
      <c r="Q395" s="312"/>
      <c r="R395" s="312"/>
      <c r="S395" s="312"/>
      <c r="T395" s="312"/>
      <c r="U395" s="312"/>
      <c r="V395" s="312"/>
      <c r="W395" s="312"/>
      <c r="X395" s="300"/>
      <c r="Y395" s="300"/>
    </row>
    <row r="396" spans="1:52" ht="27" customHeight="1" x14ac:dyDescent="0.25">
      <c r="A396" s="55" t="s">
        <v>532</v>
      </c>
      <c r="B396" s="55" t="s">
        <v>533</v>
      </c>
      <c r="C396" s="32">
        <v>4301170008</v>
      </c>
      <c r="D396" s="384">
        <v>4680115882980</v>
      </c>
      <c r="E396" s="328"/>
      <c r="F396" s="303">
        <v>0.13</v>
      </c>
      <c r="G396" s="33">
        <v>10</v>
      </c>
      <c r="H396" s="303">
        <v>1.3</v>
      </c>
      <c r="I396" s="303">
        <v>1.46</v>
      </c>
      <c r="J396" s="33">
        <v>200</v>
      </c>
      <c r="K396" s="34" t="s">
        <v>501</v>
      </c>
      <c r="L396" s="33">
        <v>150</v>
      </c>
      <c r="M396" s="598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6" s="386"/>
      <c r="O396" s="386"/>
      <c r="P396" s="386"/>
      <c r="Q396" s="328"/>
      <c r="R396" s="35"/>
      <c r="S396" s="35"/>
      <c r="T396" s="36" t="s">
        <v>63</v>
      </c>
      <c r="U396" s="304">
        <v>0</v>
      </c>
      <c r="V396" s="305">
        <f>IFERROR(IF(U396="",0,CEILING((U396/$H396),1)*$H396),"")</f>
        <v>0</v>
      </c>
      <c r="W396" s="37" t="str">
        <f>IFERROR(IF(V396=0,"",ROUNDUP(V396/H396,0)*0.00673),"")</f>
        <v/>
      </c>
      <c r="X396" s="57"/>
      <c r="Y396" s="58"/>
      <c r="AC396" s="59"/>
      <c r="AZ396" s="269" t="s">
        <v>1</v>
      </c>
    </row>
    <row r="397" spans="1:52" x14ac:dyDescent="0.2">
      <c r="A397" s="388"/>
      <c r="B397" s="312"/>
      <c r="C397" s="312"/>
      <c r="D397" s="312"/>
      <c r="E397" s="312"/>
      <c r="F397" s="312"/>
      <c r="G397" s="312"/>
      <c r="H397" s="312"/>
      <c r="I397" s="312"/>
      <c r="J397" s="312"/>
      <c r="K397" s="312"/>
      <c r="L397" s="389"/>
      <c r="M397" s="387" t="s">
        <v>64</v>
      </c>
      <c r="N397" s="340"/>
      <c r="O397" s="340"/>
      <c r="P397" s="340"/>
      <c r="Q397" s="340"/>
      <c r="R397" s="340"/>
      <c r="S397" s="341"/>
      <c r="T397" s="38" t="s">
        <v>65</v>
      </c>
      <c r="U397" s="306">
        <f>IFERROR(U396/H396,"0")</f>
        <v>0</v>
      </c>
      <c r="V397" s="306">
        <f>IFERROR(V396/H396,"0")</f>
        <v>0</v>
      </c>
      <c r="W397" s="306">
        <f>IFERROR(IF(W396="",0,W396),"0")</f>
        <v>0</v>
      </c>
      <c r="X397" s="307"/>
      <c r="Y397" s="307"/>
    </row>
    <row r="398" spans="1:52" x14ac:dyDescent="0.2">
      <c r="A398" s="312"/>
      <c r="B398" s="312"/>
      <c r="C398" s="312"/>
      <c r="D398" s="312"/>
      <c r="E398" s="312"/>
      <c r="F398" s="312"/>
      <c r="G398" s="312"/>
      <c r="H398" s="312"/>
      <c r="I398" s="312"/>
      <c r="J398" s="312"/>
      <c r="K398" s="312"/>
      <c r="L398" s="389"/>
      <c r="M398" s="387" t="s">
        <v>64</v>
      </c>
      <c r="N398" s="340"/>
      <c r="O398" s="340"/>
      <c r="P398" s="340"/>
      <c r="Q398" s="340"/>
      <c r="R398" s="340"/>
      <c r="S398" s="341"/>
      <c r="T398" s="38" t="s">
        <v>63</v>
      </c>
      <c r="U398" s="306">
        <f>IFERROR(SUM(U396:U396),"0")</f>
        <v>0</v>
      </c>
      <c r="V398" s="306">
        <f>IFERROR(SUM(V396:V396),"0")</f>
        <v>0</v>
      </c>
      <c r="W398" s="38"/>
      <c r="X398" s="307"/>
      <c r="Y398" s="307"/>
    </row>
    <row r="399" spans="1:52" ht="27.75" customHeight="1" x14ac:dyDescent="0.2">
      <c r="A399" s="380" t="s">
        <v>534</v>
      </c>
      <c r="B399" s="381"/>
      <c r="C399" s="381"/>
      <c r="D399" s="381"/>
      <c r="E399" s="381"/>
      <c r="F399" s="381"/>
      <c r="G399" s="381"/>
      <c r="H399" s="381"/>
      <c r="I399" s="381"/>
      <c r="J399" s="381"/>
      <c r="K399" s="381"/>
      <c r="L399" s="381"/>
      <c r="M399" s="381"/>
      <c r="N399" s="381"/>
      <c r="O399" s="381"/>
      <c r="P399" s="381"/>
      <c r="Q399" s="381"/>
      <c r="R399" s="381"/>
      <c r="S399" s="381"/>
      <c r="T399" s="381"/>
      <c r="U399" s="381"/>
      <c r="V399" s="381"/>
      <c r="W399" s="381"/>
      <c r="X399" s="49"/>
      <c r="Y399" s="49"/>
    </row>
    <row r="400" spans="1:52" ht="16.5" customHeight="1" x14ac:dyDescent="0.25">
      <c r="A400" s="382" t="s">
        <v>534</v>
      </c>
      <c r="B400" s="312"/>
      <c r="C400" s="312"/>
      <c r="D400" s="312"/>
      <c r="E400" s="312"/>
      <c r="F400" s="312"/>
      <c r="G400" s="312"/>
      <c r="H400" s="312"/>
      <c r="I400" s="312"/>
      <c r="J400" s="312"/>
      <c r="K400" s="312"/>
      <c r="L400" s="312"/>
      <c r="M400" s="312"/>
      <c r="N400" s="312"/>
      <c r="O400" s="312"/>
      <c r="P400" s="312"/>
      <c r="Q400" s="312"/>
      <c r="R400" s="312"/>
      <c r="S400" s="312"/>
      <c r="T400" s="312"/>
      <c r="U400" s="312"/>
      <c r="V400" s="312"/>
      <c r="W400" s="312"/>
      <c r="X400" s="299"/>
      <c r="Y400" s="299"/>
    </row>
    <row r="401" spans="1:52" ht="14.25" customHeight="1" x14ac:dyDescent="0.25">
      <c r="A401" s="383" t="s">
        <v>100</v>
      </c>
      <c r="B401" s="312"/>
      <c r="C401" s="312"/>
      <c r="D401" s="312"/>
      <c r="E401" s="312"/>
      <c r="F401" s="312"/>
      <c r="G401" s="312"/>
      <c r="H401" s="312"/>
      <c r="I401" s="312"/>
      <c r="J401" s="312"/>
      <c r="K401" s="312"/>
      <c r="L401" s="312"/>
      <c r="M401" s="312"/>
      <c r="N401" s="312"/>
      <c r="O401" s="312"/>
      <c r="P401" s="312"/>
      <c r="Q401" s="312"/>
      <c r="R401" s="312"/>
      <c r="S401" s="312"/>
      <c r="T401" s="312"/>
      <c r="U401" s="312"/>
      <c r="V401" s="312"/>
      <c r="W401" s="312"/>
      <c r="X401" s="300"/>
      <c r="Y401" s="300"/>
    </row>
    <row r="402" spans="1:52" ht="27" customHeight="1" x14ac:dyDescent="0.25">
      <c r="A402" s="55" t="s">
        <v>535</v>
      </c>
      <c r="B402" s="55" t="s">
        <v>536</v>
      </c>
      <c r="C402" s="32">
        <v>4301011371</v>
      </c>
      <c r="D402" s="384">
        <v>4607091389067</v>
      </c>
      <c r="E402" s="328"/>
      <c r="F402" s="303">
        <v>0.88</v>
      </c>
      <c r="G402" s="33">
        <v>6</v>
      </c>
      <c r="H402" s="303">
        <v>5.28</v>
      </c>
      <c r="I402" s="303">
        <v>5.64</v>
      </c>
      <c r="J402" s="33">
        <v>104</v>
      </c>
      <c r="K402" s="34" t="s">
        <v>124</v>
      </c>
      <c r="L402" s="33">
        <v>55</v>
      </c>
      <c r="M402" s="59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2" s="386"/>
      <c r="O402" s="386"/>
      <c r="P402" s="386"/>
      <c r="Q402" s="328"/>
      <c r="R402" s="35"/>
      <c r="S402" s="35"/>
      <c r="T402" s="36" t="s">
        <v>63</v>
      </c>
      <c r="U402" s="304">
        <v>0</v>
      </c>
      <c r="V402" s="305">
        <f t="shared" ref="V402:V410" si="18">IFERROR(IF(U402="",0,CEILING((U402/$H402),1)*$H402),"")</f>
        <v>0</v>
      </c>
      <c r="W402" s="37" t="str">
        <f>IFERROR(IF(V402=0,"",ROUNDUP(V402/H402,0)*0.01196),"")</f>
        <v/>
      </c>
      <c r="X402" s="57"/>
      <c r="Y402" s="58"/>
      <c r="AC402" s="59"/>
      <c r="AZ402" s="270" t="s">
        <v>1</v>
      </c>
    </row>
    <row r="403" spans="1:52" ht="27" customHeight="1" x14ac:dyDescent="0.25">
      <c r="A403" s="55" t="s">
        <v>537</v>
      </c>
      <c r="B403" s="55" t="s">
        <v>538</v>
      </c>
      <c r="C403" s="32">
        <v>4301011363</v>
      </c>
      <c r="D403" s="384">
        <v>4607091383522</v>
      </c>
      <c r="E403" s="328"/>
      <c r="F403" s="303">
        <v>0.88</v>
      </c>
      <c r="G403" s="33">
        <v>6</v>
      </c>
      <c r="H403" s="303">
        <v>5.28</v>
      </c>
      <c r="I403" s="303">
        <v>5.64</v>
      </c>
      <c r="J403" s="33">
        <v>104</v>
      </c>
      <c r="K403" s="34" t="s">
        <v>96</v>
      </c>
      <c r="L403" s="33">
        <v>55</v>
      </c>
      <c r="M403" s="60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3" s="386"/>
      <c r="O403" s="386"/>
      <c r="P403" s="386"/>
      <c r="Q403" s="328"/>
      <c r="R403" s="35"/>
      <c r="S403" s="35"/>
      <c r="T403" s="36" t="s">
        <v>63</v>
      </c>
      <c r="U403" s="304">
        <v>0</v>
      </c>
      <c r="V403" s="305">
        <f t="shared" si="18"/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539</v>
      </c>
      <c r="B404" s="55" t="s">
        <v>540</v>
      </c>
      <c r="C404" s="32">
        <v>4301011431</v>
      </c>
      <c r="D404" s="384">
        <v>4607091384437</v>
      </c>
      <c r="E404" s="328"/>
      <c r="F404" s="303">
        <v>0.88</v>
      </c>
      <c r="G404" s="33">
        <v>6</v>
      </c>
      <c r="H404" s="303">
        <v>5.28</v>
      </c>
      <c r="I404" s="303">
        <v>5.64</v>
      </c>
      <c r="J404" s="33">
        <v>104</v>
      </c>
      <c r="K404" s="34" t="s">
        <v>96</v>
      </c>
      <c r="L404" s="33">
        <v>50</v>
      </c>
      <c r="M404" s="601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4" s="386"/>
      <c r="O404" s="386"/>
      <c r="P404" s="386"/>
      <c r="Q404" s="328"/>
      <c r="R404" s="35"/>
      <c r="S404" s="35"/>
      <c r="T404" s="36" t="s">
        <v>63</v>
      </c>
      <c r="U404" s="304">
        <v>0</v>
      </c>
      <c r="V404" s="305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541</v>
      </c>
      <c r="B405" s="55" t="s">
        <v>542</v>
      </c>
      <c r="C405" s="32">
        <v>4301011365</v>
      </c>
      <c r="D405" s="384">
        <v>4607091389104</v>
      </c>
      <c r="E405" s="328"/>
      <c r="F405" s="303">
        <v>0.88</v>
      </c>
      <c r="G405" s="33">
        <v>6</v>
      </c>
      <c r="H405" s="303">
        <v>5.28</v>
      </c>
      <c r="I405" s="303">
        <v>5.64</v>
      </c>
      <c r="J405" s="33">
        <v>104</v>
      </c>
      <c r="K405" s="34" t="s">
        <v>96</v>
      </c>
      <c r="L405" s="33">
        <v>55</v>
      </c>
      <c r="M405" s="60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5" s="386"/>
      <c r="O405" s="386"/>
      <c r="P405" s="386"/>
      <c r="Q405" s="328"/>
      <c r="R405" s="35"/>
      <c r="S405" s="35"/>
      <c r="T405" s="36" t="s">
        <v>63</v>
      </c>
      <c r="U405" s="304">
        <v>0</v>
      </c>
      <c r="V405" s="305">
        <f t="shared" si="18"/>
        <v>0</v>
      </c>
      <c r="W405" s="37" t="str">
        <f>IFERROR(IF(V405=0,"",ROUNDUP(V405/H405,0)*0.01196),"")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543</v>
      </c>
      <c r="B406" s="55" t="s">
        <v>544</v>
      </c>
      <c r="C406" s="32">
        <v>4301011367</v>
      </c>
      <c r="D406" s="384">
        <v>4680115880603</v>
      </c>
      <c r="E406" s="328"/>
      <c r="F406" s="303">
        <v>0.6</v>
      </c>
      <c r="G406" s="33">
        <v>6</v>
      </c>
      <c r="H406" s="303">
        <v>3.6</v>
      </c>
      <c r="I406" s="303">
        <v>3.84</v>
      </c>
      <c r="J406" s="33">
        <v>120</v>
      </c>
      <c r="K406" s="34" t="s">
        <v>96</v>
      </c>
      <c r="L406" s="33">
        <v>55</v>
      </c>
      <c r="M406" s="60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6" s="386"/>
      <c r="O406" s="386"/>
      <c r="P406" s="386"/>
      <c r="Q406" s="328"/>
      <c r="R406" s="35"/>
      <c r="S406" s="35"/>
      <c r="T406" s="36" t="s">
        <v>63</v>
      </c>
      <c r="U406" s="304">
        <v>0</v>
      </c>
      <c r="V406" s="305">
        <f t="shared" si="18"/>
        <v>0</v>
      </c>
      <c r="W406" s="37" t="str">
        <f>IFERROR(IF(V406=0,"",ROUNDUP(V406/H406,0)*0.00937),"")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545</v>
      </c>
      <c r="B407" s="55" t="s">
        <v>546</v>
      </c>
      <c r="C407" s="32">
        <v>4301011168</v>
      </c>
      <c r="D407" s="384">
        <v>4607091389999</v>
      </c>
      <c r="E407" s="328"/>
      <c r="F407" s="303">
        <v>0.6</v>
      </c>
      <c r="G407" s="33">
        <v>6</v>
      </c>
      <c r="H407" s="303">
        <v>3.6</v>
      </c>
      <c r="I407" s="303">
        <v>3.84</v>
      </c>
      <c r="J407" s="33">
        <v>120</v>
      </c>
      <c r="K407" s="34" t="s">
        <v>96</v>
      </c>
      <c r="L407" s="33">
        <v>55</v>
      </c>
      <c r="M407" s="60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7" s="386"/>
      <c r="O407" s="386"/>
      <c r="P407" s="386"/>
      <c r="Q407" s="328"/>
      <c r="R407" s="35"/>
      <c r="S407" s="35"/>
      <c r="T407" s="36" t="s">
        <v>63</v>
      </c>
      <c r="U407" s="304">
        <v>0</v>
      </c>
      <c r="V407" s="305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547</v>
      </c>
      <c r="B408" s="55" t="s">
        <v>548</v>
      </c>
      <c r="C408" s="32">
        <v>4301011372</v>
      </c>
      <c r="D408" s="384">
        <v>4680115882782</v>
      </c>
      <c r="E408" s="328"/>
      <c r="F408" s="303">
        <v>0.6</v>
      </c>
      <c r="G408" s="33">
        <v>6</v>
      </c>
      <c r="H408" s="303">
        <v>3.6</v>
      </c>
      <c r="I408" s="303">
        <v>3.84</v>
      </c>
      <c r="J408" s="33">
        <v>120</v>
      </c>
      <c r="K408" s="34" t="s">
        <v>96</v>
      </c>
      <c r="L408" s="33">
        <v>50</v>
      </c>
      <c r="M408" s="60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8" s="386"/>
      <c r="O408" s="386"/>
      <c r="P408" s="386"/>
      <c r="Q408" s="328"/>
      <c r="R408" s="35"/>
      <c r="S408" s="35"/>
      <c r="T408" s="36" t="s">
        <v>63</v>
      </c>
      <c r="U408" s="304">
        <v>0</v>
      </c>
      <c r="V408" s="305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549</v>
      </c>
      <c r="B409" s="55" t="s">
        <v>550</v>
      </c>
      <c r="C409" s="32">
        <v>4301011190</v>
      </c>
      <c r="D409" s="384">
        <v>4607091389098</v>
      </c>
      <c r="E409" s="328"/>
      <c r="F409" s="303">
        <v>0.4</v>
      </c>
      <c r="G409" s="33">
        <v>6</v>
      </c>
      <c r="H409" s="303">
        <v>2.4</v>
      </c>
      <c r="I409" s="303">
        <v>2.6</v>
      </c>
      <c r="J409" s="33">
        <v>156</v>
      </c>
      <c r="K409" s="34" t="s">
        <v>124</v>
      </c>
      <c r="L409" s="33">
        <v>50</v>
      </c>
      <c r="M409" s="60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9" s="386"/>
      <c r="O409" s="386"/>
      <c r="P409" s="386"/>
      <c r="Q409" s="328"/>
      <c r="R409" s="35"/>
      <c r="S409" s="35"/>
      <c r="T409" s="36" t="s">
        <v>63</v>
      </c>
      <c r="U409" s="304">
        <v>0</v>
      </c>
      <c r="V409" s="305">
        <f t="shared" si="18"/>
        <v>0</v>
      </c>
      <c r="W409" s="37" t="str">
        <f>IFERROR(IF(V409=0,"",ROUNDUP(V409/H409,0)*0.00753),"")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551</v>
      </c>
      <c r="B410" s="55" t="s">
        <v>552</v>
      </c>
      <c r="C410" s="32">
        <v>4301011366</v>
      </c>
      <c r="D410" s="384">
        <v>4607091389982</v>
      </c>
      <c r="E410" s="328"/>
      <c r="F410" s="303">
        <v>0.6</v>
      </c>
      <c r="G410" s="33">
        <v>6</v>
      </c>
      <c r="H410" s="303">
        <v>3.6</v>
      </c>
      <c r="I410" s="303">
        <v>3.84</v>
      </c>
      <c r="J410" s="33">
        <v>120</v>
      </c>
      <c r="K410" s="34" t="s">
        <v>96</v>
      </c>
      <c r="L410" s="33">
        <v>55</v>
      </c>
      <c r="M410" s="60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0" s="386"/>
      <c r="O410" s="386"/>
      <c r="P410" s="386"/>
      <c r="Q410" s="328"/>
      <c r="R410" s="35"/>
      <c r="S410" s="35"/>
      <c r="T410" s="36" t="s">
        <v>63</v>
      </c>
      <c r="U410" s="304">
        <v>0</v>
      </c>
      <c r="V410" s="305">
        <f t="shared" si="18"/>
        <v>0</v>
      </c>
      <c r="W410" s="37" t="str">
        <f>IFERROR(IF(V410=0,"",ROUNDUP(V410/H410,0)*0.00937),"")</f>
        <v/>
      </c>
      <c r="X410" s="57"/>
      <c r="Y410" s="58"/>
      <c r="AC410" s="59"/>
      <c r="AZ410" s="278" t="s">
        <v>1</v>
      </c>
    </row>
    <row r="411" spans="1:52" x14ac:dyDescent="0.2">
      <c r="A411" s="388"/>
      <c r="B411" s="312"/>
      <c r="C411" s="312"/>
      <c r="D411" s="312"/>
      <c r="E411" s="312"/>
      <c r="F411" s="312"/>
      <c r="G411" s="312"/>
      <c r="H411" s="312"/>
      <c r="I411" s="312"/>
      <c r="J411" s="312"/>
      <c r="K411" s="312"/>
      <c r="L411" s="389"/>
      <c r="M411" s="387" t="s">
        <v>64</v>
      </c>
      <c r="N411" s="340"/>
      <c r="O411" s="340"/>
      <c r="P411" s="340"/>
      <c r="Q411" s="340"/>
      <c r="R411" s="340"/>
      <c r="S411" s="341"/>
      <c r="T411" s="38" t="s">
        <v>65</v>
      </c>
      <c r="U411" s="306">
        <f>IFERROR(U402/H402,"0")+IFERROR(U403/H403,"0")+IFERROR(U404/H404,"0")+IFERROR(U405/H405,"0")+IFERROR(U406/H406,"0")+IFERROR(U407/H407,"0")+IFERROR(U408/H408,"0")+IFERROR(U409/H409,"0")+IFERROR(U410/H410,"0")</f>
        <v>0</v>
      </c>
      <c r="V411" s="306">
        <f>IFERROR(V402/H402,"0")+IFERROR(V403/H403,"0")+IFERROR(V404/H404,"0")+IFERROR(V405/H405,"0")+IFERROR(V406/H406,"0")+IFERROR(V407/H407,"0")+IFERROR(V408/H408,"0")+IFERROR(V409/H409,"0")+IFERROR(V410/H410,"0")</f>
        <v>0</v>
      </c>
      <c r="W411" s="306">
        <f>IFERROR(IF(W402="",0,W402),"0")+IFERROR(IF(W403="",0,W403),"0")+IFERROR(IF(W404="",0,W404),"0")+IFERROR(IF(W405="",0,W405),"0")+IFERROR(IF(W406="",0,W406),"0")+IFERROR(IF(W407="",0,W407),"0")+IFERROR(IF(W408="",0,W408),"0")+IFERROR(IF(W409="",0,W409),"0")+IFERROR(IF(W410="",0,W410),"0")</f>
        <v>0</v>
      </c>
      <c r="X411" s="307"/>
      <c r="Y411" s="307"/>
    </row>
    <row r="412" spans="1:52" x14ac:dyDescent="0.2">
      <c r="A412" s="312"/>
      <c r="B412" s="312"/>
      <c r="C412" s="312"/>
      <c r="D412" s="312"/>
      <c r="E412" s="312"/>
      <c r="F412" s="312"/>
      <c r="G412" s="312"/>
      <c r="H412" s="312"/>
      <c r="I412" s="312"/>
      <c r="J412" s="312"/>
      <c r="K412" s="312"/>
      <c r="L412" s="389"/>
      <c r="M412" s="387" t="s">
        <v>64</v>
      </c>
      <c r="N412" s="340"/>
      <c r="O412" s="340"/>
      <c r="P412" s="340"/>
      <c r="Q412" s="340"/>
      <c r="R412" s="340"/>
      <c r="S412" s="341"/>
      <c r="T412" s="38" t="s">
        <v>63</v>
      </c>
      <c r="U412" s="306">
        <f>IFERROR(SUM(U402:U410),"0")</f>
        <v>0</v>
      </c>
      <c r="V412" s="306">
        <f>IFERROR(SUM(V402:V410),"0")</f>
        <v>0</v>
      </c>
      <c r="W412" s="38"/>
      <c r="X412" s="307"/>
      <c r="Y412" s="307"/>
    </row>
    <row r="413" spans="1:52" ht="14.25" customHeight="1" x14ac:dyDescent="0.25">
      <c r="A413" s="383" t="s">
        <v>93</v>
      </c>
      <c r="B413" s="312"/>
      <c r="C413" s="312"/>
      <c r="D413" s="312"/>
      <c r="E413" s="312"/>
      <c r="F413" s="312"/>
      <c r="G413" s="312"/>
      <c r="H413" s="312"/>
      <c r="I413" s="312"/>
      <c r="J413" s="312"/>
      <c r="K413" s="312"/>
      <c r="L413" s="312"/>
      <c r="M413" s="312"/>
      <c r="N413" s="312"/>
      <c r="O413" s="312"/>
      <c r="P413" s="312"/>
      <c r="Q413" s="312"/>
      <c r="R413" s="312"/>
      <c r="S413" s="312"/>
      <c r="T413" s="312"/>
      <c r="U413" s="312"/>
      <c r="V413" s="312"/>
      <c r="W413" s="312"/>
      <c r="X413" s="300"/>
      <c r="Y413" s="300"/>
    </row>
    <row r="414" spans="1:52" ht="16.5" customHeight="1" x14ac:dyDescent="0.25">
      <c r="A414" s="55" t="s">
        <v>553</v>
      </c>
      <c r="B414" s="55" t="s">
        <v>554</v>
      </c>
      <c r="C414" s="32">
        <v>4301020222</v>
      </c>
      <c r="D414" s="384">
        <v>4607091388930</v>
      </c>
      <c r="E414" s="328"/>
      <c r="F414" s="303">
        <v>0.88</v>
      </c>
      <c r="G414" s="33">
        <v>6</v>
      </c>
      <c r="H414" s="303">
        <v>5.28</v>
      </c>
      <c r="I414" s="303">
        <v>5.64</v>
      </c>
      <c r="J414" s="33">
        <v>104</v>
      </c>
      <c r="K414" s="34" t="s">
        <v>96</v>
      </c>
      <c r="L414" s="33">
        <v>55</v>
      </c>
      <c r="M414" s="60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4" s="386"/>
      <c r="O414" s="386"/>
      <c r="P414" s="386"/>
      <c r="Q414" s="328"/>
      <c r="R414" s="35"/>
      <c r="S414" s="35"/>
      <c r="T414" s="36" t="s">
        <v>63</v>
      </c>
      <c r="U414" s="304">
        <v>0</v>
      </c>
      <c r="V414" s="305">
        <f>IFERROR(IF(U414="",0,CEILING((U414/$H414),1)*$H414),"")</f>
        <v>0</v>
      </c>
      <c r="W414" s="37" t="str">
        <f>IFERROR(IF(V414=0,"",ROUNDUP(V414/H414,0)*0.01196),"")</f>
        <v/>
      </c>
      <c r="X414" s="57"/>
      <c r="Y414" s="58"/>
      <c r="AC414" s="59"/>
      <c r="AZ414" s="279" t="s">
        <v>1</v>
      </c>
    </row>
    <row r="415" spans="1:52" ht="16.5" customHeight="1" x14ac:dyDescent="0.25">
      <c r="A415" s="55" t="s">
        <v>555</v>
      </c>
      <c r="B415" s="55" t="s">
        <v>556</v>
      </c>
      <c r="C415" s="32">
        <v>4301020206</v>
      </c>
      <c r="D415" s="384">
        <v>4680115880054</v>
      </c>
      <c r="E415" s="328"/>
      <c r="F415" s="303">
        <v>0.6</v>
      </c>
      <c r="G415" s="33">
        <v>6</v>
      </c>
      <c r="H415" s="303">
        <v>3.6</v>
      </c>
      <c r="I415" s="303">
        <v>3.84</v>
      </c>
      <c r="J415" s="33">
        <v>120</v>
      </c>
      <c r="K415" s="34" t="s">
        <v>96</v>
      </c>
      <c r="L415" s="33">
        <v>55</v>
      </c>
      <c r="M415" s="60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5" s="386"/>
      <c r="O415" s="386"/>
      <c r="P415" s="386"/>
      <c r="Q415" s="328"/>
      <c r="R415" s="35"/>
      <c r="S415" s="35"/>
      <c r="T415" s="36" t="s">
        <v>63</v>
      </c>
      <c r="U415" s="304">
        <v>0</v>
      </c>
      <c r="V415" s="305">
        <f>IFERROR(IF(U415="",0,CEILING((U415/$H415),1)*$H415),"")</f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x14ac:dyDescent="0.2">
      <c r="A416" s="388"/>
      <c r="B416" s="312"/>
      <c r="C416" s="312"/>
      <c r="D416" s="312"/>
      <c r="E416" s="312"/>
      <c r="F416" s="312"/>
      <c r="G416" s="312"/>
      <c r="H416" s="312"/>
      <c r="I416" s="312"/>
      <c r="J416" s="312"/>
      <c r="K416" s="312"/>
      <c r="L416" s="389"/>
      <c r="M416" s="387" t="s">
        <v>64</v>
      </c>
      <c r="N416" s="340"/>
      <c r="O416" s="340"/>
      <c r="P416" s="340"/>
      <c r="Q416" s="340"/>
      <c r="R416" s="340"/>
      <c r="S416" s="341"/>
      <c r="T416" s="38" t="s">
        <v>65</v>
      </c>
      <c r="U416" s="306">
        <f>IFERROR(U414/H414,"0")+IFERROR(U415/H415,"0")</f>
        <v>0</v>
      </c>
      <c r="V416" s="306">
        <f>IFERROR(V414/H414,"0")+IFERROR(V415/H415,"0")</f>
        <v>0</v>
      </c>
      <c r="W416" s="306">
        <f>IFERROR(IF(W414="",0,W414),"0")+IFERROR(IF(W415="",0,W415),"0")</f>
        <v>0</v>
      </c>
      <c r="X416" s="307"/>
      <c r="Y416" s="307"/>
    </row>
    <row r="417" spans="1:52" x14ac:dyDescent="0.2">
      <c r="A417" s="312"/>
      <c r="B417" s="312"/>
      <c r="C417" s="312"/>
      <c r="D417" s="312"/>
      <c r="E417" s="312"/>
      <c r="F417" s="312"/>
      <c r="G417" s="312"/>
      <c r="H417" s="312"/>
      <c r="I417" s="312"/>
      <c r="J417" s="312"/>
      <c r="K417" s="312"/>
      <c r="L417" s="389"/>
      <c r="M417" s="387" t="s">
        <v>64</v>
      </c>
      <c r="N417" s="340"/>
      <c r="O417" s="340"/>
      <c r="P417" s="340"/>
      <c r="Q417" s="340"/>
      <c r="R417" s="340"/>
      <c r="S417" s="341"/>
      <c r="T417" s="38" t="s">
        <v>63</v>
      </c>
      <c r="U417" s="306">
        <f>IFERROR(SUM(U414:U415),"0")</f>
        <v>0</v>
      </c>
      <c r="V417" s="306">
        <f>IFERROR(SUM(V414:V415),"0")</f>
        <v>0</v>
      </c>
      <c r="W417" s="38"/>
      <c r="X417" s="307"/>
      <c r="Y417" s="307"/>
    </row>
    <row r="418" spans="1:52" ht="14.25" customHeight="1" x14ac:dyDescent="0.25">
      <c r="A418" s="383" t="s">
        <v>59</v>
      </c>
      <c r="B418" s="312"/>
      <c r="C418" s="312"/>
      <c r="D418" s="312"/>
      <c r="E418" s="312"/>
      <c r="F418" s="312"/>
      <c r="G418" s="312"/>
      <c r="H418" s="312"/>
      <c r="I418" s="312"/>
      <c r="J418" s="312"/>
      <c r="K418" s="312"/>
      <c r="L418" s="312"/>
      <c r="M418" s="312"/>
      <c r="N418" s="312"/>
      <c r="O418" s="312"/>
      <c r="P418" s="312"/>
      <c r="Q418" s="312"/>
      <c r="R418" s="312"/>
      <c r="S418" s="312"/>
      <c r="T418" s="312"/>
      <c r="U418" s="312"/>
      <c r="V418" s="312"/>
      <c r="W418" s="312"/>
      <c r="X418" s="300"/>
      <c r="Y418" s="300"/>
    </row>
    <row r="419" spans="1:52" ht="27" customHeight="1" x14ac:dyDescent="0.25">
      <c r="A419" s="55" t="s">
        <v>557</v>
      </c>
      <c r="B419" s="55" t="s">
        <v>558</v>
      </c>
      <c r="C419" s="32">
        <v>4301031252</v>
      </c>
      <c r="D419" s="384">
        <v>4680115883116</v>
      </c>
      <c r="E419" s="328"/>
      <c r="F419" s="303">
        <v>0.88</v>
      </c>
      <c r="G419" s="33">
        <v>6</v>
      </c>
      <c r="H419" s="303">
        <v>5.28</v>
      </c>
      <c r="I419" s="303">
        <v>5.64</v>
      </c>
      <c r="J419" s="33">
        <v>104</v>
      </c>
      <c r="K419" s="34" t="s">
        <v>96</v>
      </c>
      <c r="L419" s="33">
        <v>60</v>
      </c>
      <c r="M419" s="61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9" s="386"/>
      <c r="O419" s="386"/>
      <c r="P419" s="386"/>
      <c r="Q419" s="328"/>
      <c r="R419" s="35"/>
      <c r="S419" s="35"/>
      <c r="T419" s="36" t="s">
        <v>63</v>
      </c>
      <c r="U419" s="304">
        <v>0</v>
      </c>
      <c r="V419" s="305">
        <f t="shared" ref="V419:V424" si="19">IFERROR(IF(U419="",0,CEILING((U419/$H419),1)*$H419),"")</f>
        <v>0</v>
      </c>
      <c r="W419" s="37" t="str">
        <f>IFERROR(IF(V419=0,"",ROUNDUP(V419/H419,0)*0.01196),"")</f>
        <v/>
      </c>
      <c r="X419" s="57"/>
      <c r="Y419" s="58"/>
      <c r="AC419" s="59"/>
      <c r="AZ419" s="281" t="s">
        <v>1</v>
      </c>
    </row>
    <row r="420" spans="1:52" ht="27" customHeight="1" x14ac:dyDescent="0.25">
      <c r="A420" s="55" t="s">
        <v>559</v>
      </c>
      <c r="B420" s="55" t="s">
        <v>560</v>
      </c>
      <c r="C420" s="32">
        <v>4301031248</v>
      </c>
      <c r="D420" s="384">
        <v>4680115883093</v>
      </c>
      <c r="E420" s="328"/>
      <c r="F420" s="303">
        <v>0.88</v>
      </c>
      <c r="G420" s="33">
        <v>6</v>
      </c>
      <c r="H420" s="303">
        <v>5.28</v>
      </c>
      <c r="I420" s="303">
        <v>5.64</v>
      </c>
      <c r="J420" s="33">
        <v>104</v>
      </c>
      <c r="K420" s="34" t="s">
        <v>62</v>
      </c>
      <c r="L420" s="33">
        <v>60</v>
      </c>
      <c r="M420" s="61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0" s="386"/>
      <c r="O420" s="386"/>
      <c r="P420" s="386"/>
      <c r="Q420" s="328"/>
      <c r="R420" s="35"/>
      <c r="S420" s="35"/>
      <c r="T420" s="36" t="s">
        <v>63</v>
      </c>
      <c r="U420" s="304">
        <v>0</v>
      </c>
      <c r="V420" s="305">
        <f t="shared" si="19"/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561</v>
      </c>
      <c r="B421" s="55" t="s">
        <v>562</v>
      </c>
      <c r="C421" s="32">
        <v>4301031250</v>
      </c>
      <c r="D421" s="384">
        <v>4680115883109</v>
      </c>
      <c r="E421" s="328"/>
      <c r="F421" s="303">
        <v>0.88</v>
      </c>
      <c r="G421" s="33">
        <v>6</v>
      </c>
      <c r="H421" s="303">
        <v>5.28</v>
      </c>
      <c r="I421" s="303">
        <v>5.64</v>
      </c>
      <c r="J421" s="33">
        <v>104</v>
      </c>
      <c r="K421" s="34" t="s">
        <v>62</v>
      </c>
      <c r="L421" s="33">
        <v>60</v>
      </c>
      <c r="M421" s="61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1" s="386"/>
      <c r="O421" s="386"/>
      <c r="P421" s="386"/>
      <c r="Q421" s="328"/>
      <c r="R421" s="35"/>
      <c r="S421" s="35"/>
      <c r="T421" s="36" t="s">
        <v>63</v>
      </c>
      <c r="U421" s="304">
        <v>30</v>
      </c>
      <c r="V421" s="305">
        <f t="shared" si="19"/>
        <v>31.68</v>
      </c>
      <c r="W421" s="37">
        <f>IFERROR(IF(V421=0,"",ROUNDUP(V421/H421,0)*0.01196),"")</f>
        <v>7.1760000000000004E-2</v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563</v>
      </c>
      <c r="B422" s="55" t="s">
        <v>564</v>
      </c>
      <c r="C422" s="32">
        <v>4301031249</v>
      </c>
      <c r="D422" s="384">
        <v>4680115882072</v>
      </c>
      <c r="E422" s="328"/>
      <c r="F422" s="303">
        <v>0.6</v>
      </c>
      <c r="G422" s="33">
        <v>6</v>
      </c>
      <c r="H422" s="303">
        <v>3.6</v>
      </c>
      <c r="I422" s="303">
        <v>3.84</v>
      </c>
      <c r="J422" s="33">
        <v>120</v>
      </c>
      <c r="K422" s="34" t="s">
        <v>96</v>
      </c>
      <c r="L422" s="33">
        <v>60</v>
      </c>
      <c r="M422" s="613" t="s">
        <v>565</v>
      </c>
      <c r="N422" s="386"/>
      <c r="O422" s="386"/>
      <c r="P422" s="386"/>
      <c r="Q422" s="328"/>
      <c r="R422" s="35"/>
      <c r="S422" s="35"/>
      <c r="T422" s="36" t="s">
        <v>63</v>
      </c>
      <c r="U422" s="304">
        <v>0</v>
      </c>
      <c r="V422" s="305">
        <f t="shared" si="19"/>
        <v>0</v>
      </c>
      <c r="W422" s="37" t="str">
        <f>IFERROR(IF(V422=0,"",ROUNDUP(V422/H422,0)*0.00937),"")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566</v>
      </c>
      <c r="B423" s="55" t="s">
        <v>567</v>
      </c>
      <c r="C423" s="32">
        <v>4301031251</v>
      </c>
      <c r="D423" s="384">
        <v>4680115882102</v>
      </c>
      <c r="E423" s="328"/>
      <c r="F423" s="303">
        <v>0.6</v>
      </c>
      <c r="G423" s="33">
        <v>6</v>
      </c>
      <c r="H423" s="303">
        <v>3.6</v>
      </c>
      <c r="I423" s="303">
        <v>3.81</v>
      </c>
      <c r="J423" s="33">
        <v>120</v>
      </c>
      <c r="K423" s="34" t="s">
        <v>62</v>
      </c>
      <c r="L423" s="33">
        <v>60</v>
      </c>
      <c r="M423" s="614" t="s">
        <v>568</v>
      </c>
      <c r="N423" s="386"/>
      <c r="O423" s="386"/>
      <c r="P423" s="386"/>
      <c r="Q423" s="328"/>
      <c r="R423" s="35"/>
      <c r="S423" s="35"/>
      <c r="T423" s="36" t="s">
        <v>63</v>
      </c>
      <c r="U423" s="304">
        <v>0</v>
      </c>
      <c r="V423" s="305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569</v>
      </c>
      <c r="B424" s="55" t="s">
        <v>570</v>
      </c>
      <c r="C424" s="32">
        <v>4301031253</v>
      </c>
      <c r="D424" s="384">
        <v>4680115882096</v>
      </c>
      <c r="E424" s="328"/>
      <c r="F424" s="303">
        <v>0.6</v>
      </c>
      <c r="G424" s="33">
        <v>6</v>
      </c>
      <c r="H424" s="303">
        <v>3.6</v>
      </c>
      <c r="I424" s="303">
        <v>3.81</v>
      </c>
      <c r="J424" s="33">
        <v>120</v>
      </c>
      <c r="K424" s="34" t="s">
        <v>62</v>
      </c>
      <c r="L424" s="33">
        <v>60</v>
      </c>
      <c r="M424" s="615" t="s">
        <v>571</v>
      </c>
      <c r="N424" s="386"/>
      <c r="O424" s="386"/>
      <c r="P424" s="386"/>
      <c r="Q424" s="328"/>
      <c r="R424" s="35"/>
      <c r="S424" s="35"/>
      <c r="T424" s="36" t="s">
        <v>63</v>
      </c>
      <c r="U424" s="304">
        <v>0</v>
      </c>
      <c r="V424" s="305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x14ac:dyDescent="0.2">
      <c r="A425" s="388"/>
      <c r="B425" s="312"/>
      <c r="C425" s="312"/>
      <c r="D425" s="312"/>
      <c r="E425" s="312"/>
      <c r="F425" s="312"/>
      <c r="G425" s="312"/>
      <c r="H425" s="312"/>
      <c r="I425" s="312"/>
      <c r="J425" s="312"/>
      <c r="K425" s="312"/>
      <c r="L425" s="389"/>
      <c r="M425" s="387" t="s">
        <v>64</v>
      </c>
      <c r="N425" s="340"/>
      <c r="O425" s="340"/>
      <c r="P425" s="340"/>
      <c r="Q425" s="340"/>
      <c r="R425" s="340"/>
      <c r="S425" s="341"/>
      <c r="T425" s="38" t="s">
        <v>65</v>
      </c>
      <c r="U425" s="306">
        <f>IFERROR(U419/H419,"0")+IFERROR(U420/H420,"0")+IFERROR(U421/H421,"0")+IFERROR(U422/H422,"0")+IFERROR(U423/H423,"0")+IFERROR(U424/H424,"0")</f>
        <v>5.6818181818181817</v>
      </c>
      <c r="V425" s="306">
        <f>IFERROR(V419/H419,"0")+IFERROR(V420/H420,"0")+IFERROR(V421/H421,"0")+IFERROR(V422/H422,"0")+IFERROR(V423/H423,"0")+IFERROR(V424/H424,"0")</f>
        <v>6</v>
      </c>
      <c r="W425" s="306">
        <f>IFERROR(IF(W419="",0,W419),"0")+IFERROR(IF(W420="",0,W420),"0")+IFERROR(IF(W421="",0,W421),"0")+IFERROR(IF(W422="",0,W422),"0")+IFERROR(IF(W423="",0,W423),"0")+IFERROR(IF(W424="",0,W424),"0")</f>
        <v>7.1760000000000004E-2</v>
      </c>
      <c r="X425" s="307"/>
      <c r="Y425" s="307"/>
    </row>
    <row r="426" spans="1:52" x14ac:dyDescent="0.2">
      <c r="A426" s="312"/>
      <c r="B426" s="312"/>
      <c r="C426" s="312"/>
      <c r="D426" s="312"/>
      <c r="E426" s="312"/>
      <c r="F426" s="312"/>
      <c r="G426" s="312"/>
      <c r="H426" s="312"/>
      <c r="I426" s="312"/>
      <c r="J426" s="312"/>
      <c r="K426" s="312"/>
      <c r="L426" s="389"/>
      <c r="M426" s="387" t="s">
        <v>64</v>
      </c>
      <c r="N426" s="340"/>
      <c r="O426" s="340"/>
      <c r="P426" s="340"/>
      <c r="Q426" s="340"/>
      <c r="R426" s="340"/>
      <c r="S426" s="341"/>
      <c r="T426" s="38" t="s">
        <v>63</v>
      </c>
      <c r="U426" s="306">
        <f>IFERROR(SUM(U419:U424),"0")</f>
        <v>30</v>
      </c>
      <c r="V426" s="306">
        <f>IFERROR(SUM(V419:V424),"0")</f>
        <v>31.68</v>
      </c>
      <c r="W426" s="38"/>
      <c r="X426" s="307"/>
      <c r="Y426" s="307"/>
    </row>
    <row r="427" spans="1:52" ht="14.25" customHeight="1" x14ac:dyDescent="0.25">
      <c r="A427" s="383" t="s">
        <v>66</v>
      </c>
      <c r="B427" s="312"/>
      <c r="C427" s="312"/>
      <c r="D427" s="312"/>
      <c r="E427" s="312"/>
      <c r="F427" s="312"/>
      <c r="G427" s="312"/>
      <c r="H427" s="312"/>
      <c r="I427" s="312"/>
      <c r="J427" s="312"/>
      <c r="K427" s="312"/>
      <c r="L427" s="312"/>
      <c r="M427" s="312"/>
      <c r="N427" s="312"/>
      <c r="O427" s="312"/>
      <c r="P427" s="312"/>
      <c r="Q427" s="312"/>
      <c r="R427" s="312"/>
      <c r="S427" s="312"/>
      <c r="T427" s="312"/>
      <c r="U427" s="312"/>
      <c r="V427" s="312"/>
      <c r="W427" s="312"/>
      <c r="X427" s="300"/>
      <c r="Y427" s="300"/>
    </row>
    <row r="428" spans="1:52" ht="16.5" customHeight="1" x14ac:dyDescent="0.25">
      <c r="A428" s="55" t="s">
        <v>572</v>
      </c>
      <c r="B428" s="55" t="s">
        <v>573</v>
      </c>
      <c r="C428" s="32">
        <v>4301051230</v>
      </c>
      <c r="D428" s="384">
        <v>4607091383409</v>
      </c>
      <c r="E428" s="328"/>
      <c r="F428" s="303">
        <v>1.3</v>
      </c>
      <c r="G428" s="33">
        <v>6</v>
      </c>
      <c r="H428" s="303">
        <v>7.8</v>
      </c>
      <c r="I428" s="303">
        <v>8.3460000000000001</v>
      </c>
      <c r="J428" s="33">
        <v>56</v>
      </c>
      <c r="K428" s="34" t="s">
        <v>62</v>
      </c>
      <c r="L428" s="33">
        <v>45</v>
      </c>
      <c r="M428" s="61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8" s="386"/>
      <c r="O428" s="386"/>
      <c r="P428" s="386"/>
      <c r="Q428" s="328"/>
      <c r="R428" s="35"/>
      <c r="S428" s="35"/>
      <c r="T428" s="36" t="s">
        <v>63</v>
      </c>
      <c r="U428" s="304">
        <v>0</v>
      </c>
      <c r="V428" s="305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59"/>
      <c r="AZ428" s="287" t="s">
        <v>1</v>
      </c>
    </row>
    <row r="429" spans="1:52" ht="16.5" customHeight="1" x14ac:dyDescent="0.25">
      <c r="A429" s="55" t="s">
        <v>574</v>
      </c>
      <c r="B429" s="55" t="s">
        <v>575</v>
      </c>
      <c r="C429" s="32">
        <v>4301051231</v>
      </c>
      <c r="D429" s="384">
        <v>4607091383416</v>
      </c>
      <c r="E429" s="328"/>
      <c r="F429" s="303">
        <v>1.3</v>
      </c>
      <c r="G429" s="33">
        <v>6</v>
      </c>
      <c r="H429" s="303">
        <v>7.8</v>
      </c>
      <c r="I429" s="303">
        <v>8.3460000000000001</v>
      </c>
      <c r="J429" s="33">
        <v>56</v>
      </c>
      <c r="K429" s="34" t="s">
        <v>62</v>
      </c>
      <c r="L429" s="33">
        <v>45</v>
      </c>
      <c r="M429" s="61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9" s="386"/>
      <c r="O429" s="386"/>
      <c r="P429" s="386"/>
      <c r="Q429" s="328"/>
      <c r="R429" s="35"/>
      <c r="S429" s="35"/>
      <c r="T429" s="36" t="s">
        <v>63</v>
      </c>
      <c r="U429" s="304">
        <v>0</v>
      </c>
      <c r="V429" s="305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x14ac:dyDescent="0.2">
      <c r="A430" s="388"/>
      <c r="B430" s="312"/>
      <c r="C430" s="312"/>
      <c r="D430" s="312"/>
      <c r="E430" s="312"/>
      <c r="F430" s="312"/>
      <c r="G430" s="312"/>
      <c r="H430" s="312"/>
      <c r="I430" s="312"/>
      <c r="J430" s="312"/>
      <c r="K430" s="312"/>
      <c r="L430" s="389"/>
      <c r="M430" s="387" t="s">
        <v>64</v>
      </c>
      <c r="N430" s="340"/>
      <c r="O430" s="340"/>
      <c r="P430" s="340"/>
      <c r="Q430" s="340"/>
      <c r="R430" s="340"/>
      <c r="S430" s="341"/>
      <c r="T430" s="38" t="s">
        <v>65</v>
      </c>
      <c r="U430" s="306">
        <f>IFERROR(U428/H428,"0")+IFERROR(U429/H429,"0")</f>
        <v>0</v>
      </c>
      <c r="V430" s="306">
        <f>IFERROR(V428/H428,"0")+IFERROR(V429/H429,"0")</f>
        <v>0</v>
      </c>
      <c r="W430" s="306">
        <f>IFERROR(IF(W428="",0,W428),"0")+IFERROR(IF(W429="",0,W429),"0")</f>
        <v>0</v>
      </c>
      <c r="X430" s="307"/>
      <c r="Y430" s="307"/>
    </row>
    <row r="431" spans="1:52" x14ac:dyDescent="0.2">
      <c r="A431" s="312"/>
      <c r="B431" s="312"/>
      <c r="C431" s="312"/>
      <c r="D431" s="312"/>
      <c r="E431" s="312"/>
      <c r="F431" s="312"/>
      <c r="G431" s="312"/>
      <c r="H431" s="312"/>
      <c r="I431" s="312"/>
      <c r="J431" s="312"/>
      <c r="K431" s="312"/>
      <c r="L431" s="389"/>
      <c r="M431" s="387" t="s">
        <v>64</v>
      </c>
      <c r="N431" s="340"/>
      <c r="O431" s="340"/>
      <c r="P431" s="340"/>
      <c r="Q431" s="340"/>
      <c r="R431" s="340"/>
      <c r="S431" s="341"/>
      <c r="T431" s="38" t="s">
        <v>63</v>
      </c>
      <c r="U431" s="306">
        <f>IFERROR(SUM(U428:U429),"0")</f>
        <v>0</v>
      </c>
      <c r="V431" s="306">
        <f>IFERROR(SUM(V428:V429),"0")</f>
        <v>0</v>
      </c>
      <c r="W431" s="38"/>
      <c r="X431" s="307"/>
      <c r="Y431" s="307"/>
    </row>
    <row r="432" spans="1:52" ht="27.75" customHeight="1" x14ac:dyDescent="0.2">
      <c r="A432" s="380" t="s">
        <v>576</v>
      </c>
      <c r="B432" s="381"/>
      <c r="C432" s="381"/>
      <c r="D432" s="381"/>
      <c r="E432" s="381"/>
      <c r="F432" s="381"/>
      <c r="G432" s="381"/>
      <c r="H432" s="381"/>
      <c r="I432" s="381"/>
      <c r="J432" s="381"/>
      <c r="K432" s="381"/>
      <c r="L432" s="381"/>
      <c r="M432" s="381"/>
      <c r="N432" s="381"/>
      <c r="O432" s="381"/>
      <c r="P432" s="381"/>
      <c r="Q432" s="381"/>
      <c r="R432" s="381"/>
      <c r="S432" s="381"/>
      <c r="T432" s="381"/>
      <c r="U432" s="381"/>
      <c r="V432" s="381"/>
      <c r="W432" s="381"/>
      <c r="X432" s="49"/>
      <c r="Y432" s="49"/>
    </row>
    <row r="433" spans="1:52" ht="16.5" customHeight="1" x14ac:dyDescent="0.25">
      <c r="A433" s="382" t="s">
        <v>577</v>
      </c>
      <c r="B433" s="312"/>
      <c r="C433" s="312"/>
      <c r="D433" s="312"/>
      <c r="E433" s="312"/>
      <c r="F433" s="312"/>
      <c r="G433" s="312"/>
      <c r="H433" s="312"/>
      <c r="I433" s="312"/>
      <c r="J433" s="312"/>
      <c r="K433" s="312"/>
      <c r="L433" s="312"/>
      <c r="M433" s="312"/>
      <c r="N433" s="312"/>
      <c r="O433" s="312"/>
      <c r="P433" s="312"/>
      <c r="Q433" s="312"/>
      <c r="R433" s="312"/>
      <c r="S433" s="312"/>
      <c r="T433" s="312"/>
      <c r="U433" s="312"/>
      <c r="V433" s="312"/>
      <c r="W433" s="312"/>
      <c r="X433" s="299"/>
      <c r="Y433" s="299"/>
    </row>
    <row r="434" spans="1:52" ht="14.25" customHeight="1" x14ac:dyDescent="0.25">
      <c r="A434" s="383" t="s">
        <v>100</v>
      </c>
      <c r="B434" s="312"/>
      <c r="C434" s="312"/>
      <c r="D434" s="312"/>
      <c r="E434" s="312"/>
      <c r="F434" s="312"/>
      <c r="G434" s="312"/>
      <c r="H434" s="312"/>
      <c r="I434" s="312"/>
      <c r="J434" s="312"/>
      <c r="K434" s="312"/>
      <c r="L434" s="312"/>
      <c r="M434" s="312"/>
      <c r="N434" s="312"/>
      <c r="O434" s="312"/>
      <c r="P434" s="312"/>
      <c r="Q434" s="312"/>
      <c r="R434" s="312"/>
      <c r="S434" s="312"/>
      <c r="T434" s="312"/>
      <c r="U434" s="312"/>
      <c r="V434" s="312"/>
      <c r="W434" s="312"/>
      <c r="X434" s="300"/>
      <c r="Y434" s="300"/>
    </row>
    <row r="435" spans="1:52" ht="27" customHeight="1" x14ac:dyDescent="0.25">
      <c r="A435" s="55" t="s">
        <v>578</v>
      </c>
      <c r="B435" s="55" t="s">
        <v>579</v>
      </c>
      <c r="C435" s="32">
        <v>4301011434</v>
      </c>
      <c r="D435" s="384">
        <v>4680115881099</v>
      </c>
      <c r="E435" s="328"/>
      <c r="F435" s="303">
        <v>1.5</v>
      </c>
      <c r="G435" s="33">
        <v>8</v>
      </c>
      <c r="H435" s="303">
        <v>12</v>
      </c>
      <c r="I435" s="303">
        <v>12.48</v>
      </c>
      <c r="J435" s="33">
        <v>56</v>
      </c>
      <c r="K435" s="34" t="s">
        <v>96</v>
      </c>
      <c r="L435" s="33">
        <v>50</v>
      </c>
      <c r="M435" s="618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5" s="386"/>
      <c r="O435" s="386"/>
      <c r="P435" s="386"/>
      <c r="Q435" s="328"/>
      <c r="R435" s="35"/>
      <c r="S435" s="35"/>
      <c r="T435" s="36" t="s">
        <v>63</v>
      </c>
      <c r="U435" s="304">
        <v>0</v>
      </c>
      <c r="V435" s="305">
        <f>IFERROR(IF(U435="",0,CEILING((U435/$H435),1)*$H435),"")</f>
        <v>0</v>
      </c>
      <c r="W435" s="37" t="str">
        <f>IFERROR(IF(V435=0,"",ROUNDUP(V435/H435,0)*0.02175),"")</f>
        <v/>
      </c>
      <c r="X435" s="57"/>
      <c r="Y435" s="58"/>
      <c r="AC435" s="59"/>
      <c r="AZ435" s="289" t="s">
        <v>1</v>
      </c>
    </row>
    <row r="436" spans="1:52" ht="27" customHeight="1" x14ac:dyDescent="0.25">
      <c r="A436" s="55" t="s">
        <v>580</v>
      </c>
      <c r="B436" s="55" t="s">
        <v>581</v>
      </c>
      <c r="C436" s="32">
        <v>4301011435</v>
      </c>
      <c r="D436" s="384">
        <v>4680115881150</v>
      </c>
      <c r="E436" s="328"/>
      <c r="F436" s="303">
        <v>1.5</v>
      </c>
      <c r="G436" s="33">
        <v>8</v>
      </c>
      <c r="H436" s="303">
        <v>12</v>
      </c>
      <c r="I436" s="303">
        <v>12.48</v>
      </c>
      <c r="J436" s="33">
        <v>56</v>
      </c>
      <c r="K436" s="34" t="s">
        <v>96</v>
      </c>
      <c r="L436" s="33">
        <v>50</v>
      </c>
      <c r="M436" s="619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6" s="386"/>
      <c r="O436" s="386"/>
      <c r="P436" s="386"/>
      <c r="Q436" s="328"/>
      <c r="R436" s="35"/>
      <c r="S436" s="35"/>
      <c r="T436" s="36" t="s">
        <v>63</v>
      </c>
      <c r="U436" s="304">
        <v>0</v>
      </c>
      <c r="V436" s="305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x14ac:dyDescent="0.2">
      <c r="A437" s="388"/>
      <c r="B437" s="312"/>
      <c r="C437" s="312"/>
      <c r="D437" s="312"/>
      <c r="E437" s="312"/>
      <c r="F437" s="312"/>
      <c r="G437" s="312"/>
      <c r="H437" s="312"/>
      <c r="I437" s="312"/>
      <c r="J437" s="312"/>
      <c r="K437" s="312"/>
      <c r="L437" s="389"/>
      <c r="M437" s="387" t="s">
        <v>64</v>
      </c>
      <c r="N437" s="340"/>
      <c r="O437" s="340"/>
      <c r="P437" s="340"/>
      <c r="Q437" s="340"/>
      <c r="R437" s="340"/>
      <c r="S437" s="341"/>
      <c r="T437" s="38" t="s">
        <v>65</v>
      </c>
      <c r="U437" s="306">
        <f>IFERROR(U435/H435,"0")+IFERROR(U436/H436,"0")</f>
        <v>0</v>
      </c>
      <c r="V437" s="306">
        <f>IFERROR(V435/H435,"0")+IFERROR(V436/H436,"0")</f>
        <v>0</v>
      </c>
      <c r="W437" s="306">
        <f>IFERROR(IF(W435="",0,W435),"0")+IFERROR(IF(W436="",0,W436),"0")</f>
        <v>0</v>
      </c>
      <c r="X437" s="307"/>
      <c r="Y437" s="307"/>
    </row>
    <row r="438" spans="1:52" x14ac:dyDescent="0.2">
      <c r="A438" s="312"/>
      <c r="B438" s="312"/>
      <c r="C438" s="312"/>
      <c r="D438" s="312"/>
      <c r="E438" s="312"/>
      <c r="F438" s="312"/>
      <c r="G438" s="312"/>
      <c r="H438" s="312"/>
      <c r="I438" s="312"/>
      <c r="J438" s="312"/>
      <c r="K438" s="312"/>
      <c r="L438" s="389"/>
      <c r="M438" s="387" t="s">
        <v>64</v>
      </c>
      <c r="N438" s="340"/>
      <c r="O438" s="340"/>
      <c r="P438" s="340"/>
      <c r="Q438" s="340"/>
      <c r="R438" s="340"/>
      <c r="S438" s="341"/>
      <c r="T438" s="38" t="s">
        <v>63</v>
      </c>
      <c r="U438" s="306">
        <f>IFERROR(SUM(U435:U436),"0")</f>
        <v>0</v>
      </c>
      <c r="V438" s="306">
        <f>IFERROR(SUM(V435:V436),"0")</f>
        <v>0</v>
      </c>
      <c r="W438" s="38"/>
      <c r="X438" s="307"/>
      <c r="Y438" s="307"/>
    </row>
    <row r="439" spans="1:52" ht="14.25" customHeight="1" x14ac:dyDescent="0.25">
      <c r="A439" s="383" t="s">
        <v>93</v>
      </c>
      <c r="B439" s="312"/>
      <c r="C439" s="312"/>
      <c r="D439" s="312"/>
      <c r="E439" s="312"/>
      <c r="F439" s="312"/>
      <c r="G439" s="312"/>
      <c r="H439" s="312"/>
      <c r="I439" s="312"/>
      <c r="J439" s="312"/>
      <c r="K439" s="312"/>
      <c r="L439" s="312"/>
      <c r="M439" s="312"/>
      <c r="N439" s="312"/>
      <c r="O439" s="312"/>
      <c r="P439" s="312"/>
      <c r="Q439" s="312"/>
      <c r="R439" s="312"/>
      <c r="S439" s="312"/>
      <c r="T439" s="312"/>
      <c r="U439" s="312"/>
      <c r="V439" s="312"/>
      <c r="W439" s="312"/>
      <c r="X439" s="300"/>
      <c r="Y439" s="300"/>
    </row>
    <row r="440" spans="1:52" ht="27" customHeight="1" x14ac:dyDescent="0.25">
      <c r="A440" s="55" t="s">
        <v>582</v>
      </c>
      <c r="B440" s="55" t="s">
        <v>583</v>
      </c>
      <c r="C440" s="32">
        <v>4301020231</v>
      </c>
      <c r="D440" s="384">
        <v>4680115881129</v>
      </c>
      <c r="E440" s="328"/>
      <c r="F440" s="303">
        <v>1.8</v>
      </c>
      <c r="G440" s="33">
        <v>6</v>
      </c>
      <c r="H440" s="303">
        <v>10.8</v>
      </c>
      <c r="I440" s="303">
        <v>11.28</v>
      </c>
      <c r="J440" s="33">
        <v>56</v>
      </c>
      <c r="K440" s="34" t="s">
        <v>96</v>
      </c>
      <c r="L440" s="33">
        <v>50</v>
      </c>
      <c r="M440" s="620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0" s="386"/>
      <c r="O440" s="386"/>
      <c r="P440" s="386"/>
      <c r="Q440" s="328"/>
      <c r="R440" s="35"/>
      <c r="S440" s="35"/>
      <c r="T440" s="36" t="s">
        <v>63</v>
      </c>
      <c r="U440" s="304">
        <v>0</v>
      </c>
      <c r="V440" s="305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ht="16.5" customHeight="1" x14ac:dyDescent="0.25">
      <c r="A441" s="55" t="s">
        <v>584</v>
      </c>
      <c r="B441" s="55" t="s">
        <v>585</v>
      </c>
      <c r="C441" s="32">
        <v>4301020230</v>
      </c>
      <c r="D441" s="384">
        <v>4680115881112</v>
      </c>
      <c r="E441" s="328"/>
      <c r="F441" s="303">
        <v>1.35</v>
      </c>
      <c r="G441" s="33">
        <v>8</v>
      </c>
      <c r="H441" s="303">
        <v>10.8</v>
      </c>
      <c r="I441" s="303">
        <v>11.28</v>
      </c>
      <c r="J441" s="33">
        <v>56</v>
      </c>
      <c r="K441" s="34" t="s">
        <v>96</v>
      </c>
      <c r="L441" s="33">
        <v>50</v>
      </c>
      <c r="M441" s="621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1" s="386"/>
      <c r="O441" s="386"/>
      <c r="P441" s="386"/>
      <c r="Q441" s="328"/>
      <c r="R441" s="35"/>
      <c r="S441" s="35"/>
      <c r="T441" s="36" t="s">
        <v>63</v>
      </c>
      <c r="U441" s="304">
        <v>0</v>
      </c>
      <c r="V441" s="305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x14ac:dyDescent="0.2">
      <c r="A442" s="388"/>
      <c r="B442" s="312"/>
      <c r="C442" s="312"/>
      <c r="D442" s="312"/>
      <c r="E442" s="312"/>
      <c r="F442" s="312"/>
      <c r="G442" s="312"/>
      <c r="H442" s="312"/>
      <c r="I442" s="312"/>
      <c r="J442" s="312"/>
      <c r="K442" s="312"/>
      <c r="L442" s="389"/>
      <c r="M442" s="387" t="s">
        <v>64</v>
      </c>
      <c r="N442" s="340"/>
      <c r="O442" s="340"/>
      <c r="P442" s="340"/>
      <c r="Q442" s="340"/>
      <c r="R442" s="340"/>
      <c r="S442" s="341"/>
      <c r="T442" s="38" t="s">
        <v>65</v>
      </c>
      <c r="U442" s="306">
        <f>IFERROR(U440/H440,"0")+IFERROR(U441/H441,"0")</f>
        <v>0</v>
      </c>
      <c r="V442" s="306">
        <f>IFERROR(V440/H440,"0")+IFERROR(V441/H441,"0")</f>
        <v>0</v>
      </c>
      <c r="W442" s="306">
        <f>IFERROR(IF(W440="",0,W440),"0")+IFERROR(IF(W441="",0,W441),"0")</f>
        <v>0</v>
      </c>
      <c r="X442" s="307"/>
      <c r="Y442" s="307"/>
    </row>
    <row r="443" spans="1:52" x14ac:dyDescent="0.2">
      <c r="A443" s="312"/>
      <c r="B443" s="312"/>
      <c r="C443" s="312"/>
      <c r="D443" s="312"/>
      <c r="E443" s="312"/>
      <c r="F443" s="312"/>
      <c r="G443" s="312"/>
      <c r="H443" s="312"/>
      <c r="I443" s="312"/>
      <c r="J443" s="312"/>
      <c r="K443" s="312"/>
      <c r="L443" s="389"/>
      <c r="M443" s="387" t="s">
        <v>64</v>
      </c>
      <c r="N443" s="340"/>
      <c r="O443" s="340"/>
      <c r="P443" s="340"/>
      <c r="Q443" s="340"/>
      <c r="R443" s="340"/>
      <c r="S443" s="341"/>
      <c r="T443" s="38" t="s">
        <v>63</v>
      </c>
      <c r="U443" s="306">
        <f>IFERROR(SUM(U440:U441),"0")</f>
        <v>0</v>
      </c>
      <c r="V443" s="306">
        <f>IFERROR(SUM(V440:V441),"0")</f>
        <v>0</v>
      </c>
      <c r="W443" s="38"/>
      <c r="X443" s="307"/>
      <c r="Y443" s="307"/>
    </row>
    <row r="444" spans="1:52" ht="14.25" customHeight="1" x14ac:dyDescent="0.25">
      <c r="A444" s="383" t="s">
        <v>59</v>
      </c>
      <c r="B444" s="312"/>
      <c r="C444" s="312"/>
      <c r="D444" s="312"/>
      <c r="E444" s="312"/>
      <c r="F444" s="312"/>
      <c r="G444" s="312"/>
      <c r="H444" s="312"/>
      <c r="I444" s="312"/>
      <c r="J444" s="312"/>
      <c r="K444" s="312"/>
      <c r="L444" s="312"/>
      <c r="M444" s="312"/>
      <c r="N444" s="312"/>
      <c r="O444" s="312"/>
      <c r="P444" s="312"/>
      <c r="Q444" s="312"/>
      <c r="R444" s="312"/>
      <c r="S444" s="312"/>
      <c r="T444" s="312"/>
      <c r="U444" s="312"/>
      <c r="V444" s="312"/>
      <c r="W444" s="312"/>
      <c r="X444" s="300"/>
      <c r="Y444" s="300"/>
    </row>
    <row r="445" spans="1:52" ht="27" customHeight="1" x14ac:dyDescent="0.25">
      <c r="A445" s="55" t="s">
        <v>586</v>
      </c>
      <c r="B445" s="55" t="s">
        <v>587</v>
      </c>
      <c r="C445" s="32">
        <v>4301031192</v>
      </c>
      <c r="D445" s="384">
        <v>4680115881167</v>
      </c>
      <c r="E445" s="328"/>
      <c r="F445" s="303">
        <v>0.73</v>
      </c>
      <c r="G445" s="33">
        <v>6</v>
      </c>
      <c r="H445" s="303">
        <v>4.38</v>
      </c>
      <c r="I445" s="303">
        <v>4.6399999999999997</v>
      </c>
      <c r="J445" s="33">
        <v>156</v>
      </c>
      <c r="K445" s="34" t="s">
        <v>62</v>
      </c>
      <c r="L445" s="33">
        <v>40</v>
      </c>
      <c r="M445" s="622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5" s="386"/>
      <c r="O445" s="386"/>
      <c r="P445" s="386"/>
      <c r="Q445" s="328"/>
      <c r="R445" s="35"/>
      <c r="S445" s="35"/>
      <c r="T445" s="36" t="s">
        <v>63</v>
      </c>
      <c r="U445" s="304">
        <v>0</v>
      </c>
      <c r="V445" s="305">
        <f>IFERROR(IF(U445="",0,CEILING((U445/$H445),1)*$H445),"")</f>
        <v>0</v>
      </c>
      <c r="W445" s="37" t="str">
        <f>IFERROR(IF(V445=0,"",ROUNDUP(V445/H445,0)*0.00753),"")</f>
        <v/>
      </c>
      <c r="X445" s="57"/>
      <c r="Y445" s="58"/>
      <c r="AC445" s="59"/>
      <c r="AZ445" s="293" t="s">
        <v>1</v>
      </c>
    </row>
    <row r="446" spans="1:52" ht="27" customHeight="1" x14ac:dyDescent="0.25">
      <c r="A446" s="55" t="s">
        <v>588</v>
      </c>
      <c r="B446" s="55" t="s">
        <v>589</v>
      </c>
      <c r="C446" s="32">
        <v>4301031193</v>
      </c>
      <c r="D446" s="384">
        <v>4680115881136</v>
      </c>
      <c r="E446" s="328"/>
      <c r="F446" s="303">
        <v>0.73</v>
      </c>
      <c r="G446" s="33">
        <v>6</v>
      </c>
      <c r="H446" s="303">
        <v>4.38</v>
      </c>
      <c r="I446" s="303">
        <v>4.6399999999999997</v>
      </c>
      <c r="J446" s="33">
        <v>156</v>
      </c>
      <c r="K446" s="34" t="s">
        <v>62</v>
      </c>
      <c r="L446" s="33">
        <v>40</v>
      </c>
      <c r="M446" s="623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6" s="386"/>
      <c r="O446" s="386"/>
      <c r="P446" s="386"/>
      <c r="Q446" s="328"/>
      <c r="R446" s="35"/>
      <c r="S446" s="35"/>
      <c r="T446" s="36" t="s">
        <v>63</v>
      </c>
      <c r="U446" s="304">
        <v>0</v>
      </c>
      <c r="V446" s="305">
        <f>IFERROR(IF(U446="",0,CEILING((U446/$H446),1)*$H446),"")</f>
        <v>0</v>
      </c>
      <c r="W446" s="37" t="str">
        <f>IFERROR(IF(V446=0,"",ROUNDUP(V446/H446,0)*0.00753),"")</f>
        <v/>
      </c>
      <c r="X446" s="57"/>
      <c r="Y446" s="58"/>
      <c r="AC446" s="59"/>
      <c r="AZ446" s="294" t="s">
        <v>1</v>
      </c>
    </row>
    <row r="447" spans="1:52" x14ac:dyDescent="0.2">
      <c r="A447" s="388"/>
      <c r="B447" s="312"/>
      <c r="C447" s="312"/>
      <c r="D447" s="312"/>
      <c r="E447" s="312"/>
      <c r="F447" s="312"/>
      <c r="G447" s="312"/>
      <c r="H447" s="312"/>
      <c r="I447" s="312"/>
      <c r="J447" s="312"/>
      <c r="K447" s="312"/>
      <c r="L447" s="389"/>
      <c r="M447" s="387" t="s">
        <v>64</v>
      </c>
      <c r="N447" s="340"/>
      <c r="O447" s="340"/>
      <c r="P447" s="340"/>
      <c r="Q447" s="340"/>
      <c r="R447" s="340"/>
      <c r="S447" s="341"/>
      <c r="T447" s="38" t="s">
        <v>65</v>
      </c>
      <c r="U447" s="306">
        <f>IFERROR(U445/H445,"0")+IFERROR(U446/H446,"0")</f>
        <v>0</v>
      </c>
      <c r="V447" s="306">
        <f>IFERROR(V445/H445,"0")+IFERROR(V446/H446,"0")</f>
        <v>0</v>
      </c>
      <c r="W447" s="306">
        <f>IFERROR(IF(W445="",0,W445),"0")+IFERROR(IF(W446="",0,W446),"0")</f>
        <v>0</v>
      </c>
      <c r="X447" s="307"/>
      <c r="Y447" s="307"/>
    </row>
    <row r="448" spans="1:52" x14ac:dyDescent="0.2">
      <c r="A448" s="312"/>
      <c r="B448" s="312"/>
      <c r="C448" s="312"/>
      <c r="D448" s="312"/>
      <c r="E448" s="312"/>
      <c r="F448" s="312"/>
      <c r="G448" s="312"/>
      <c r="H448" s="312"/>
      <c r="I448" s="312"/>
      <c r="J448" s="312"/>
      <c r="K448" s="312"/>
      <c r="L448" s="389"/>
      <c r="M448" s="387" t="s">
        <v>64</v>
      </c>
      <c r="N448" s="340"/>
      <c r="O448" s="340"/>
      <c r="P448" s="340"/>
      <c r="Q448" s="340"/>
      <c r="R448" s="340"/>
      <c r="S448" s="341"/>
      <c r="T448" s="38" t="s">
        <v>63</v>
      </c>
      <c r="U448" s="306">
        <f>IFERROR(SUM(U445:U446),"0")</f>
        <v>0</v>
      </c>
      <c r="V448" s="306">
        <f>IFERROR(SUM(V445:V446),"0")</f>
        <v>0</v>
      </c>
      <c r="W448" s="38"/>
      <c r="X448" s="307"/>
      <c r="Y448" s="307"/>
    </row>
    <row r="449" spans="1:52" ht="14.25" customHeight="1" x14ac:dyDescent="0.25">
      <c r="A449" s="383" t="s">
        <v>66</v>
      </c>
      <c r="B449" s="312"/>
      <c r="C449" s="312"/>
      <c r="D449" s="312"/>
      <c r="E449" s="312"/>
      <c r="F449" s="312"/>
      <c r="G449" s="312"/>
      <c r="H449" s="312"/>
      <c r="I449" s="312"/>
      <c r="J449" s="312"/>
      <c r="K449" s="312"/>
      <c r="L449" s="312"/>
      <c r="M449" s="312"/>
      <c r="N449" s="312"/>
      <c r="O449" s="312"/>
      <c r="P449" s="312"/>
      <c r="Q449" s="312"/>
      <c r="R449" s="312"/>
      <c r="S449" s="312"/>
      <c r="T449" s="312"/>
      <c r="U449" s="312"/>
      <c r="V449" s="312"/>
      <c r="W449" s="312"/>
      <c r="X449" s="300"/>
      <c r="Y449" s="300"/>
    </row>
    <row r="450" spans="1:52" ht="27" customHeight="1" x14ac:dyDescent="0.25">
      <c r="A450" s="55" t="s">
        <v>590</v>
      </c>
      <c r="B450" s="55" t="s">
        <v>591</v>
      </c>
      <c r="C450" s="32">
        <v>4301051381</v>
      </c>
      <c r="D450" s="384">
        <v>4680115881068</v>
      </c>
      <c r="E450" s="328"/>
      <c r="F450" s="303">
        <v>1.3</v>
      </c>
      <c r="G450" s="33">
        <v>6</v>
      </c>
      <c r="H450" s="303">
        <v>7.8</v>
      </c>
      <c r="I450" s="303">
        <v>8.2799999999999994</v>
      </c>
      <c r="J450" s="33">
        <v>56</v>
      </c>
      <c r="K450" s="34" t="s">
        <v>62</v>
      </c>
      <c r="L450" s="33">
        <v>30</v>
      </c>
      <c r="M450" s="624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0" s="386"/>
      <c r="O450" s="386"/>
      <c r="P450" s="386"/>
      <c r="Q450" s="328"/>
      <c r="R450" s="35"/>
      <c r="S450" s="35"/>
      <c r="T450" s="36" t="s">
        <v>63</v>
      </c>
      <c r="U450" s="304">
        <v>0</v>
      </c>
      <c r="V450" s="305">
        <f>IFERROR(IF(U450="",0,CEILING((U450/$H450),1)*$H450),"")</f>
        <v>0</v>
      </c>
      <c r="W450" s="37" t="str">
        <f>IFERROR(IF(V450=0,"",ROUNDUP(V450/H450,0)*0.02175),"")</f>
        <v/>
      </c>
      <c r="X450" s="57"/>
      <c r="Y450" s="58"/>
      <c r="AC450" s="59"/>
      <c r="AZ450" s="295" t="s">
        <v>1</v>
      </c>
    </row>
    <row r="451" spans="1:52" ht="27" customHeight="1" x14ac:dyDescent="0.25">
      <c r="A451" s="55" t="s">
        <v>592</v>
      </c>
      <c r="B451" s="55" t="s">
        <v>593</v>
      </c>
      <c r="C451" s="32">
        <v>4301051382</v>
      </c>
      <c r="D451" s="384">
        <v>4680115881075</v>
      </c>
      <c r="E451" s="328"/>
      <c r="F451" s="303">
        <v>0.5</v>
      </c>
      <c r="G451" s="33">
        <v>6</v>
      </c>
      <c r="H451" s="303">
        <v>3</v>
      </c>
      <c r="I451" s="303">
        <v>3.2</v>
      </c>
      <c r="J451" s="33">
        <v>156</v>
      </c>
      <c r="K451" s="34" t="s">
        <v>62</v>
      </c>
      <c r="L451" s="33">
        <v>30</v>
      </c>
      <c r="M451" s="625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1" s="386"/>
      <c r="O451" s="386"/>
      <c r="P451" s="386"/>
      <c r="Q451" s="328"/>
      <c r="R451" s="35"/>
      <c r="S451" s="35"/>
      <c r="T451" s="36" t="s">
        <v>63</v>
      </c>
      <c r="U451" s="304">
        <v>0</v>
      </c>
      <c r="V451" s="305">
        <f>IFERROR(IF(U451="",0,CEILING((U451/$H451),1)*$H451),"")</f>
        <v>0</v>
      </c>
      <c r="W451" s="37" t="str">
        <f>IFERROR(IF(V451=0,"",ROUNDUP(V451/H451,0)*0.00753),"")</f>
        <v/>
      </c>
      <c r="X451" s="57"/>
      <c r="Y451" s="58"/>
      <c r="AC451" s="59"/>
      <c r="AZ451" s="296" t="s">
        <v>1</v>
      </c>
    </row>
    <row r="452" spans="1:52" x14ac:dyDescent="0.2">
      <c r="A452" s="388"/>
      <c r="B452" s="312"/>
      <c r="C452" s="312"/>
      <c r="D452" s="312"/>
      <c r="E452" s="312"/>
      <c r="F452" s="312"/>
      <c r="G452" s="312"/>
      <c r="H452" s="312"/>
      <c r="I452" s="312"/>
      <c r="J452" s="312"/>
      <c r="K452" s="312"/>
      <c r="L452" s="389"/>
      <c r="M452" s="387" t="s">
        <v>64</v>
      </c>
      <c r="N452" s="340"/>
      <c r="O452" s="340"/>
      <c r="P452" s="340"/>
      <c r="Q452" s="340"/>
      <c r="R452" s="340"/>
      <c r="S452" s="341"/>
      <c r="T452" s="38" t="s">
        <v>65</v>
      </c>
      <c r="U452" s="306">
        <f>IFERROR(U450/H450,"0")+IFERROR(U451/H451,"0")</f>
        <v>0</v>
      </c>
      <c r="V452" s="306">
        <f>IFERROR(V450/H450,"0")+IFERROR(V451/H451,"0")</f>
        <v>0</v>
      </c>
      <c r="W452" s="306">
        <f>IFERROR(IF(W450="",0,W450),"0")+IFERROR(IF(W451="",0,W451),"0")</f>
        <v>0</v>
      </c>
      <c r="X452" s="307"/>
      <c r="Y452" s="307"/>
    </row>
    <row r="453" spans="1:52" x14ac:dyDescent="0.2">
      <c r="A453" s="312"/>
      <c r="B453" s="312"/>
      <c r="C453" s="312"/>
      <c r="D453" s="312"/>
      <c r="E453" s="312"/>
      <c r="F453" s="312"/>
      <c r="G453" s="312"/>
      <c r="H453" s="312"/>
      <c r="I453" s="312"/>
      <c r="J453" s="312"/>
      <c r="K453" s="312"/>
      <c r="L453" s="389"/>
      <c r="M453" s="387" t="s">
        <v>64</v>
      </c>
      <c r="N453" s="340"/>
      <c r="O453" s="340"/>
      <c r="P453" s="340"/>
      <c r="Q453" s="340"/>
      <c r="R453" s="340"/>
      <c r="S453" s="341"/>
      <c r="T453" s="38" t="s">
        <v>63</v>
      </c>
      <c r="U453" s="306">
        <f>IFERROR(SUM(U450:U451),"0")</f>
        <v>0</v>
      </c>
      <c r="V453" s="306">
        <f>IFERROR(SUM(V450:V451),"0")</f>
        <v>0</v>
      </c>
      <c r="W453" s="38"/>
      <c r="X453" s="307"/>
      <c r="Y453" s="307"/>
    </row>
    <row r="454" spans="1:52" ht="16.5" customHeight="1" x14ac:dyDescent="0.25">
      <c r="A454" s="382" t="s">
        <v>594</v>
      </c>
      <c r="B454" s="312"/>
      <c r="C454" s="312"/>
      <c r="D454" s="312"/>
      <c r="E454" s="312"/>
      <c r="F454" s="312"/>
      <c r="G454" s="312"/>
      <c r="H454" s="312"/>
      <c r="I454" s="312"/>
      <c r="J454" s="312"/>
      <c r="K454" s="312"/>
      <c r="L454" s="312"/>
      <c r="M454" s="312"/>
      <c r="N454" s="312"/>
      <c r="O454" s="312"/>
      <c r="P454" s="312"/>
      <c r="Q454" s="312"/>
      <c r="R454" s="312"/>
      <c r="S454" s="312"/>
      <c r="T454" s="312"/>
      <c r="U454" s="312"/>
      <c r="V454" s="312"/>
      <c r="W454" s="312"/>
      <c r="X454" s="299"/>
      <c r="Y454" s="299"/>
    </row>
    <row r="455" spans="1:52" ht="14.25" customHeight="1" x14ac:dyDescent="0.25">
      <c r="A455" s="383" t="s">
        <v>66</v>
      </c>
      <c r="B455" s="312"/>
      <c r="C455" s="312"/>
      <c r="D455" s="312"/>
      <c r="E455" s="312"/>
      <c r="F455" s="312"/>
      <c r="G455" s="312"/>
      <c r="H455" s="312"/>
      <c r="I455" s="312"/>
      <c r="J455" s="312"/>
      <c r="K455" s="312"/>
      <c r="L455" s="312"/>
      <c r="M455" s="312"/>
      <c r="N455" s="312"/>
      <c r="O455" s="312"/>
      <c r="P455" s="312"/>
      <c r="Q455" s="312"/>
      <c r="R455" s="312"/>
      <c r="S455" s="312"/>
      <c r="T455" s="312"/>
      <c r="U455" s="312"/>
      <c r="V455" s="312"/>
      <c r="W455" s="312"/>
      <c r="X455" s="300"/>
      <c r="Y455" s="300"/>
    </row>
    <row r="456" spans="1:52" ht="16.5" customHeight="1" x14ac:dyDescent="0.25">
      <c r="A456" s="55" t="s">
        <v>595</v>
      </c>
      <c r="B456" s="55" t="s">
        <v>596</v>
      </c>
      <c r="C456" s="32">
        <v>4301051310</v>
      </c>
      <c r="D456" s="384">
        <v>4680115880870</v>
      </c>
      <c r="E456" s="328"/>
      <c r="F456" s="303">
        <v>1.3</v>
      </c>
      <c r="G456" s="33">
        <v>6</v>
      </c>
      <c r="H456" s="303">
        <v>7.8</v>
      </c>
      <c r="I456" s="303">
        <v>8.3640000000000008</v>
      </c>
      <c r="J456" s="33">
        <v>56</v>
      </c>
      <c r="K456" s="34" t="s">
        <v>124</v>
      </c>
      <c r="L456" s="33">
        <v>40</v>
      </c>
      <c r="M456" s="62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6" s="386"/>
      <c r="O456" s="386"/>
      <c r="P456" s="386"/>
      <c r="Q456" s="328"/>
      <c r="R456" s="35"/>
      <c r="S456" s="35"/>
      <c r="T456" s="36" t="s">
        <v>63</v>
      </c>
      <c r="U456" s="304">
        <v>0</v>
      </c>
      <c r="V456" s="305">
        <f>IFERROR(IF(U456="",0,CEILING((U456/$H456),1)*$H456),"")</f>
        <v>0</v>
      </c>
      <c r="W456" s="37" t="str">
        <f>IFERROR(IF(V456=0,"",ROUNDUP(V456/H456,0)*0.02175),"")</f>
        <v/>
      </c>
      <c r="X456" s="57"/>
      <c r="Y456" s="58"/>
      <c r="AC456" s="59"/>
      <c r="AZ456" s="297" t="s">
        <v>1</v>
      </c>
    </row>
    <row r="457" spans="1:52" x14ac:dyDescent="0.2">
      <c r="A457" s="388"/>
      <c r="B457" s="312"/>
      <c r="C457" s="312"/>
      <c r="D457" s="312"/>
      <c r="E457" s="312"/>
      <c r="F457" s="312"/>
      <c r="G457" s="312"/>
      <c r="H457" s="312"/>
      <c r="I457" s="312"/>
      <c r="J457" s="312"/>
      <c r="K457" s="312"/>
      <c r="L457" s="389"/>
      <c r="M457" s="387" t="s">
        <v>64</v>
      </c>
      <c r="N457" s="340"/>
      <c r="O457" s="340"/>
      <c r="P457" s="340"/>
      <c r="Q457" s="340"/>
      <c r="R457" s="340"/>
      <c r="S457" s="341"/>
      <c r="T457" s="38" t="s">
        <v>65</v>
      </c>
      <c r="U457" s="306">
        <f>IFERROR(U456/H456,"0")</f>
        <v>0</v>
      </c>
      <c r="V457" s="306">
        <f>IFERROR(V456/H456,"0")</f>
        <v>0</v>
      </c>
      <c r="W457" s="306">
        <f>IFERROR(IF(W456="",0,W456),"0")</f>
        <v>0</v>
      </c>
      <c r="X457" s="307"/>
      <c r="Y457" s="307"/>
    </row>
    <row r="458" spans="1:52" x14ac:dyDescent="0.2">
      <c r="A458" s="312"/>
      <c r="B458" s="312"/>
      <c r="C458" s="312"/>
      <c r="D458" s="312"/>
      <c r="E458" s="312"/>
      <c r="F458" s="312"/>
      <c r="G458" s="312"/>
      <c r="H458" s="312"/>
      <c r="I458" s="312"/>
      <c r="J458" s="312"/>
      <c r="K458" s="312"/>
      <c r="L458" s="389"/>
      <c r="M458" s="387" t="s">
        <v>64</v>
      </c>
      <c r="N458" s="340"/>
      <c r="O458" s="340"/>
      <c r="P458" s="340"/>
      <c r="Q458" s="340"/>
      <c r="R458" s="340"/>
      <c r="S458" s="341"/>
      <c r="T458" s="38" t="s">
        <v>63</v>
      </c>
      <c r="U458" s="306">
        <f>IFERROR(SUM(U456:U456),"0")</f>
        <v>0</v>
      </c>
      <c r="V458" s="306">
        <f>IFERROR(SUM(V456:V456),"0")</f>
        <v>0</v>
      </c>
      <c r="W458" s="38"/>
      <c r="X458" s="307"/>
      <c r="Y458" s="307"/>
    </row>
    <row r="459" spans="1:52" ht="15" customHeight="1" x14ac:dyDescent="0.2">
      <c r="A459" s="628"/>
      <c r="B459" s="312"/>
      <c r="C459" s="312"/>
      <c r="D459" s="312"/>
      <c r="E459" s="312"/>
      <c r="F459" s="312"/>
      <c r="G459" s="312"/>
      <c r="H459" s="312"/>
      <c r="I459" s="312"/>
      <c r="J459" s="312"/>
      <c r="K459" s="312"/>
      <c r="L459" s="323"/>
      <c r="M459" s="627" t="s">
        <v>597</v>
      </c>
      <c r="N459" s="314"/>
      <c r="O459" s="314"/>
      <c r="P459" s="314"/>
      <c r="Q459" s="314"/>
      <c r="R459" s="314"/>
      <c r="S459" s="315"/>
      <c r="T459" s="38" t="s">
        <v>63</v>
      </c>
      <c r="U459" s="306">
        <f>IFERROR(U24+U33+U38+U42+U49+U56+U76+U85+U97+U108+U116+U124+U132+U144+U150+U155+U162+U182+U187+U206+U210+U217+U226+U233+U239+U245+U256+U261+U266+U272+U276+U280+U293+U298+U302+U306+U314+U319+U326+U330+U337+U353+U360+U364+U370+U374+U380+U390+U394+U398+U412+U417+U426+U431+U438+U443+U448+U453+U458,"0")</f>
        <v>1729.3500000000001</v>
      </c>
      <c r="V459" s="306">
        <f>IFERROR(V24+V33+V38+V42+V49+V56+V76+V85+V97+V108+V116+V124+V132+V144+V150+V155+V162+V182+V187+V206+V210+V217+V226+V233+V239+V245+V256+V261+V266+V272+V276+V280+V293+V298+V302+V306+V314+V319+V326+V330+V337+V353+V360+V364+V370+V374+V380+V390+V394+V398+V412+V417+V426+V431+V438+V443+V448+V453+V458,"0")</f>
        <v>1795.7800000000002</v>
      </c>
      <c r="W459" s="38"/>
      <c r="X459" s="307"/>
      <c r="Y459" s="307"/>
    </row>
    <row r="460" spans="1:52" x14ac:dyDescent="0.2">
      <c r="A460" s="312"/>
      <c r="B460" s="312"/>
      <c r="C460" s="312"/>
      <c r="D460" s="312"/>
      <c r="E460" s="312"/>
      <c r="F460" s="312"/>
      <c r="G460" s="312"/>
      <c r="H460" s="312"/>
      <c r="I460" s="312"/>
      <c r="J460" s="312"/>
      <c r="K460" s="312"/>
      <c r="L460" s="323"/>
      <c r="M460" s="627" t="s">
        <v>598</v>
      </c>
      <c r="N460" s="314"/>
      <c r="O460" s="314"/>
      <c r="P460" s="314"/>
      <c r="Q460" s="314"/>
      <c r="R460" s="314"/>
      <c r="S460" s="315"/>
      <c r="T460" s="38" t="s">
        <v>63</v>
      </c>
      <c r="U460" s="306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309*I309/H309,"0")+IFERROR(U310*I310/H310,"0")+IFERROR(U311*I311/H311,"0")+IFERROR(U312*I312/H312,"0")+IFERROR(U316*I316/H316,"0")+IFERROR(U317*I317/H317,"0")+IFERROR(U321*I321/H321,"0")+IFERROR(U322*I322/H322,"0")+IFERROR(U323*I323/H323,"0")+IFERROR(U324*I324/H324,"0")+IFERROR(U328*I328/H328,"0")+IFERROR(U334*I334/H334,"0")+IFERROR(U335*I335/H335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355*I355/H355,"0")+IFERROR(U356*I356/H356,"0")+IFERROR(U357*I357/H357,"0")+IFERROR(U358*I358/H358,"0")+IFERROR(U362*I362/H362,"0")+IFERROR(U366*I366/H366,"0")+IFERROR(U367*I367/H367,"0")+IFERROR(U368*I368/H368,"0")+IFERROR(U372*I372/H372,"0")+IFERROR(U377*I377/H377,"0")+IFERROR(U378*I378/H378,"0")+IFERROR(U382*I382/H382,"0")+IFERROR(U383*I383/H383,"0")+IFERROR(U384*I384/H384,"0")+IFERROR(U385*I385/H385,"0")+IFERROR(U386*I386/H386,"0")+IFERROR(U387*I387/H387,"0")+IFERROR(U388*I388/H388,"0")+IFERROR(U392*I392/H392,"0")+IFERROR(U396*I396/H396,"0")+IFERROR(U402*I402/H402,"0")+IFERROR(U403*I403/H403,"0")+IFERROR(U404*I404/H404,"0")+IFERROR(U405*I405/H405,"0")+IFERROR(U406*I406/H406,"0")+IFERROR(U407*I407/H407,"0")+IFERROR(U408*I408/H408,"0")+IFERROR(U409*I409/H409,"0")+IFERROR(U410*I410/H410,"0")+IFERROR(U414*I414/H414,"0")+IFERROR(U415*I415/H415,"0")+IFERROR(U419*I419/H419,"0")+IFERROR(U420*I420/H420,"0")+IFERROR(U421*I421/H421,"0")+IFERROR(U422*I422/H422,"0")+IFERROR(U423*I423/H423,"0")+IFERROR(U424*I424/H424,"0")+IFERROR(U428*I428/H428,"0")+IFERROR(U429*I429/H429,"0")+IFERROR(U435*I435/H435,"0")+IFERROR(U436*I436/H436,"0")+IFERROR(U440*I440/H440,"0")+IFERROR(U441*I441/H441,"0")+IFERROR(U445*I445/H445,"0")+IFERROR(U446*I446/H446,"0")+IFERROR(U450*I450/H450,"0")+IFERROR(U451*I451/H451,"0")+IFERROR(U456*I456/H456,"0"),"0")</f>
        <v>1808.2540998156658</v>
      </c>
      <c r="V460" s="306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309*I309/H309,"0")+IFERROR(V310*I310/H310,"0")+IFERROR(V311*I311/H311,"0")+IFERROR(V312*I312/H312,"0")+IFERROR(V316*I316/H316,"0")+IFERROR(V317*I317/H317,"0")+IFERROR(V321*I321/H321,"0")+IFERROR(V322*I322/H322,"0")+IFERROR(V323*I323/H323,"0")+IFERROR(V324*I324/H324,"0")+IFERROR(V328*I328/H328,"0")+IFERROR(V334*I334/H334,"0")+IFERROR(V335*I335/H335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355*I355/H355,"0")+IFERROR(V356*I356/H356,"0")+IFERROR(V357*I357/H357,"0")+IFERROR(V358*I358/H358,"0")+IFERROR(V362*I362/H362,"0")+IFERROR(V366*I366/H366,"0")+IFERROR(V367*I367/H367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446*I446/H446,"0")+IFERROR(V450*I450/H450,"0")+IFERROR(V451*I451/H451,"0")+IFERROR(V456*I456/H456,"0"),"0")</f>
        <v>1878.6640000000002</v>
      </c>
      <c r="W460" s="38"/>
      <c r="X460" s="307"/>
      <c r="Y460" s="307"/>
    </row>
    <row r="461" spans="1:52" x14ac:dyDescent="0.2">
      <c r="A461" s="312"/>
      <c r="B461" s="312"/>
      <c r="C461" s="312"/>
      <c r="D461" s="312"/>
      <c r="E461" s="312"/>
      <c r="F461" s="312"/>
      <c r="G461" s="312"/>
      <c r="H461" s="312"/>
      <c r="I461" s="312"/>
      <c r="J461" s="312"/>
      <c r="K461" s="312"/>
      <c r="L461" s="323"/>
      <c r="M461" s="627" t="s">
        <v>599</v>
      </c>
      <c r="N461" s="314"/>
      <c r="O461" s="314"/>
      <c r="P461" s="314"/>
      <c r="Q461" s="314"/>
      <c r="R461" s="314"/>
      <c r="S461" s="315"/>
      <c r="T461" s="38" t="s">
        <v>600</v>
      </c>
      <c r="U461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264*(U264:U264/H264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309:J312*(U309:U312/H309:H312)),"0")+IFERROR(SUMPRODUCT(1/J316:J317*(U316:U317/H316:H317)),"0")+IFERROR(SUMPRODUCT(1/J321:J324*(U321:U324/H321:H324)),"0")+IFERROR(SUMPRODUCT(1/J328:J328*(U328:U328/H328:H328)),"0")+IFERROR(SUMPRODUCT(1/J334:J335*(U334:U335/H334:H335)),"0")+IFERROR(SUMPRODUCT(1/J339:J351*(U339:U351/H339:H351)),"0")+IFERROR(SUMPRODUCT(1/J355:J358*(U355:U358/H355:H358)),"0")+IFERROR(SUMPRODUCT(1/J362:J362*(U362:U362/H362:H362)),"0")+IFERROR(SUMPRODUCT(1/J366:J368*(U366:U368/H366:H368)),"0")+IFERROR(SUMPRODUCT(1/J372:J372*(U372:U372/H372:H372)),"0")+IFERROR(SUMPRODUCT(1/J377:J378*(U377:U378/H377:H378)),"0")+IFERROR(SUMPRODUCT(1/J382:J388*(U382:U388/H382:H388)),"0")+IFERROR(SUMPRODUCT(1/J392:J392*(U392:U392/H392:H392)),"0")+IFERROR(SUMPRODUCT(1/J396:J396*(U396:U396/H396:H396)),"0")+IFERROR(SUMPRODUCT(1/J402:J410*(U402:U410/H402:H410)),"0")+IFERROR(SUMPRODUCT(1/J414:J415*(U414:U415/H414:H415)),"0")+IFERROR(SUMPRODUCT(1/J419:J424*(U419:U424/H419:H424)),"0")+IFERROR(SUMPRODUCT(1/J428:J429*(U428:U429/H428:H429)),"0")+IFERROR(SUMPRODUCT(1/J435:J436*(U435:U436/H435:H436)),"0")+IFERROR(SUMPRODUCT(1/J440:J441*(U440:U441/H440:H441)),"0")+IFERROR(SUMPRODUCT(1/J445:J446*(U445:U446/H445:H446)),"0")+IFERROR(SUMPRODUCT(1/J450:J451*(U450:U451/H450:H451)),"0")+IFERROR(SUMPRODUCT(1/J456:J456*(U456:U456/H456:H456)),"0"),0)</f>
        <v>3</v>
      </c>
      <c r="V461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264*(V264:V264/H264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309:J312*(V309:V312/H309:H312)),"0")+IFERROR(SUMPRODUCT(1/J316:J317*(V316:V317/H316:H317)),"0")+IFERROR(SUMPRODUCT(1/J321:J324*(V321:V324/H321:H324)),"0")+IFERROR(SUMPRODUCT(1/J328:J328*(V328:V328/H328:H328)),"0")+IFERROR(SUMPRODUCT(1/J334:J335*(V334:V335/H334:H335)),"0")+IFERROR(SUMPRODUCT(1/J339:J351*(V339:V351/H339:H351)),"0")+IFERROR(SUMPRODUCT(1/J355:J358*(V355:V358/H355:H358)),"0")+IFERROR(SUMPRODUCT(1/J362:J362*(V362:V362/H362:H362)),"0")+IFERROR(SUMPRODUCT(1/J366:J368*(V366:V368/H366:H368)),"0")+IFERROR(SUMPRODUCT(1/J372:J372*(V372:V372/H372:H372)),"0")+IFERROR(SUMPRODUCT(1/J377:J378*(V377:V378/H377:H378)),"0")+IFERROR(SUMPRODUCT(1/J382:J388*(V382:V388/H382:H388)),"0")+IFERROR(SUMPRODUCT(1/J392:J392*(V392:V392/H392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446*(V445:V446/H445:H446)),"0")+IFERROR(SUMPRODUCT(1/J450:J451*(V450:V451/H450:H451)),"0")+IFERROR(SUMPRODUCT(1/J456:J456*(V456:V456/H456:H456)),"0"),0)</f>
        <v>3</v>
      </c>
      <c r="W461" s="38"/>
      <c r="X461" s="307"/>
      <c r="Y461" s="307"/>
    </row>
    <row r="462" spans="1:52" x14ac:dyDescent="0.2">
      <c r="A462" s="312"/>
      <c r="B462" s="312"/>
      <c r="C462" s="312"/>
      <c r="D462" s="312"/>
      <c r="E462" s="312"/>
      <c r="F462" s="312"/>
      <c r="G462" s="312"/>
      <c r="H462" s="312"/>
      <c r="I462" s="312"/>
      <c r="J462" s="312"/>
      <c r="K462" s="312"/>
      <c r="L462" s="323"/>
      <c r="M462" s="627" t="s">
        <v>601</v>
      </c>
      <c r="N462" s="314"/>
      <c r="O462" s="314"/>
      <c r="P462" s="314"/>
      <c r="Q462" s="314"/>
      <c r="R462" s="314"/>
      <c r="S462" s="315"/>
      <c r="T462" s="38" t="s">
        <v>63</v>
      </c>
      <c r="U462" s="306">
        <f>GrossWeightTotal+PalletQtyTotal*25</f>
        <v>1883.2540998156658</v>
      </c>
      <c r="V462" s="306">
        <f>GrossWeightTotalR+PalletQtyTotalR*25</f>
        <v>1953.6640000000002</v>
      </c>
      <c r="W462" s="38"/>
      <c r="X462" s="307"/>
      <c r="Y462" s="307"/>
    </row>
    <row r="463" spans="1:52" x14ac:dyDescent="0.2">
      <c r="A463" s="312"/>
      <c r="B463" s="312"/>
      <c r="C463" s="312"/>
      <c r="D463" s="312"/>
      <c r="E463" s="312"/>
      <c r="F463" s="312"/>
      <c r="G463" s="312"/>
      <c r="H463" s="312"/>
      <c r="I463" s="312"/>
      <c r="J463" s="312"/>
      <c r="K463" s="312"/>
      <c r="L463" s="323"/>
      <c r="M463" s="627" t="s">
        <v>602</v>
      </c>
      <c r="N463" s="314"/>
      <c r="O463" s="314"/>
      <c r="P463" s="314"/>
      <c r="Q463" s="314"/>
      <c r="R463" s="314"/>
      <c r="S463" s="315"/>
      <c r="T463" s="38" t="s">
        <v>600</v>
      </c>
      <c r="U463" s="306">
        <f>IFERROR(U23+U32+U37+U41+U48+U55+U75+U84+U96+U107+U115+U123+U131+U143+U149+U154+U161+U181+U186+U205+U209+U216+U225+U232+U238+U244+U255+U260+U265+U271+U275+U279+U292+U297+U301+U305+U313+U318+U325+U329+U336+U352+U359+U363+U369+U373+U379+U389+U393+U397+U411+U416+U425+U430+U437+U442+U447+U452+U457,"0")</f>
        <v>212.71536412175683</v>
      </c>
      <c r="V463" s="306">
        <f>IFERROR(V23+V32+V37+V41+V48+V55+V75+V84+V96+V107+V115+V123+V131+V143+V149+V154+V161+V181+V186+V205+V209+V216+V225+V232+V238+V244+V255+V260+V265+V271+V275+V279+V292+V297+V301+V305+V313+V318+V325+V329+V336+V352+V359+V363+V369+V373+V379+V389+V393+V397+V411+V416+V425+V430+V437+V442+V447+V452+V457,"0")</f>
        <v>226</v>
      </c>
      <c r="W463" s="38"/>
      <c r="X463" s="307"/>
      <c r="Y463" s="307"/>
    </row>
    <row r="464" spans="1:52" ht="14.25" customHeight="1" x14ac:dyDescent="0.2">
      <c r="A464" s="312"/>
      <c r="B464" s="312"/>
      <c r="C464" s="312"/>
      <c r="D464" s="312"/>
      <c r="E464" s="312"/>
      <c r="F464" s="312"/>
      <c r="G464" s="312"/>
      <c r="H464" s="312"/>
      <c r="I464" s="312"/>
      <c r="J464" s="312"/>
      <c r="K464" s="312"/>
      <c r="L464" s="323"/>
      <c r="M464" s="627" t="s">
        <v>603</v>
      </c>
      <c r="N464" s="314"/>
      <c r="O464" s="314"/>
      <c r="P464" s="314"/>
      <c r="Q464" s="314"/>
      <c r="R464" s="314"/>
      <c r="S464" s="315"/>
      <c r="T464" s="40" t="s">
        <v>604</v>
      </c>
      <c r="U464" s="38"/>
      <c r="V464" s="38"/>
      <c r="W464" s="38">
        <f>IFERROR(W23+W32+W37+W41+W48+W55+W75+W84+W96+W107+W115+W123+W131+W143+W149+W154+W161+W181+W186+W205+W209+W216+W225+W232+W238+W244+W255+W260+W265+W271+W275+W279+W292+W297+W301+W305+W313+W318+W325+W329+W336+W352+W359+W363+W369+W373+W379+W389+W393+W397+W411+W416+W425+W430+W437+W442+W447+W452+W457,"0")</f>
        <v>3.3440699999999999</v>
      </c>
      <c r="X464" s="307"/>
      <c r="Y464" s="307"/>
    </row>
    <row r="465" spans="1:28" ht="13.5" customHeight="1" thickBot="1" x14ac:dyDescent="0.25"/>
    <row r="466" spans="1:28" ht="27" customHeight="1" thickTop="1" thickBot="1" x14ac:dyDescent="0.25">
      <c r="A466" s="41" t="s">
        <v>605</v>
      </c>
      <c r="B466" s="298" t="s">
        <v>58</v>
      </c>
      <c r="C466" s="629" t="s">
        <v>91</v>
      </c>
      <c r="D466" s="630"/>
      <c r="E466" s="630"/>
      <c r="F466" s="631"/>
      <c r="G466" s="629" t="s">
        <v>220</v>
      </c>
      <c r="H466" s="630"/>
      <c r="I466" s="630"/>
      <c r="J466" s="630"/>
      <c r="K466" s="630"/>
      <c r="L466" s="631"/>
      <c r="M466" s="629" t="s">
        <v>409</v>
      </c>
      <c r="N466" s="631"/>
      <c r="O466" s="629" t="s">
        <v>456</v>
      </c>
      <c r="P466" s="631"/>
      <c r="Q466" s="298" t="s">
        <v>534</v>
      </c>
      <c r="R466" s="629" t="s">
        <v>576</v>
      </c>
      <c r="S466" s="631"/>
      <c r="T466" s="1"/>
      <c r="Y466" s="53"/>
      <c r="AB466" s="1"/>
    </row>
    <row r="467" spans="1:28" ht="14.25" customHeight="1" thickTop="1" x14ac:dyDescent="0.2">
      <c r="A467" s="632" t="s">
        <v>606</v>
      </c>
      <c r="B467" s="629" t="s">
        <v>58</v>
      </c>
      <c r="C467" s="629" t="s">
        <v>92</v>
      </c>
      <c r="D467" s="629" t="s">
        <v>99</v>
      </c>
      <c r="E467" s="629" t="s">
        <v>91</v>
      </c>
      <c r="F467" s="629" t="s">
        <v>211</v>
      </c>
      <c r="G467" s="629" t="s">
        <v>221</v>
      </c>
      <c r="H467" s="629" t="s">
        <v>228</v>
      </c>
      <c r="I467" s="629" t="s">
        <v>245</v>
      </c>
      <c r="J467" s="629" t="s">
        <v>302</v>
      </c>
      <c r="K467" s="629" t="s">
        <v>378</v>
      </c>
      <c r="L467" s="629" t="s">
        <v>396</v>
      </c>
      <c r="M467" s="629" t="s">
        <v>410</v>
      </c>
      <c r="N467" s="629" t="s">
        <v>433</v>
      </c>
      <c r="O467" s="629" t="s">
        <v>457</v>
      </c>
      <c r="P467" s="629" t="s">
        <v>510</v>
      </c>
      <c r="Q467" s="629" t="s">
        <v>534</v>
      </c>
      <c r="R467" s="629" t="s">
        <v>577</v>
      </c>
      <c r="S467" s="629" t="s">
        <v>594</v>
      </c>
      <c r="T467" s="1"/>
      <c r="Y467" s="53"/>
      <c r="AB467" s="1"/>
    </row>
    <row r="468" spans="1:28" ht="13.5" customHeight="1" thickBot="1" x14ac:dyDescent="0.25">
      <c r="A468" s="633"/>
      <c r="B468" s="634"/>
      <c r="C468" s="634"/>
      <c r="D468" s="634"/>
      <c r="E468" s="634"/>
      <c r="F468" s="634"/>
      <c r="G468" s="634"/>
      <c r="H468" s="634"/>
      <c r="I468" s="634"/>
      <c r="J468" s="634"/>
      <c r="K468" s="634"/>
      <c r="L468" s="634"/>
      <c r="M468" s="634"/>
      <c r="N468" s="634"/>
      <c r="O468" s="634"/>
      <c r="P468" s="634"/>
      <c r="Q468" s="634"/>
      <c r="R468" s="634"/>
      <c r="S468" s="634"/>
      <c r="T468" s="1"/>
      <c r="Y468" s="53"/>
      <c r="AB468" s="1"/>
    </row>
    <row r="469" spans="1:28" ht="18" customHeight="1" thickTop="1" thickBot="1" x14ac:dyDescent="0.25">
      <c r="A469" s="41" t="s">
        <v>607</v>
      </c>
      <c r="B469" s="47">
        <f>IFERROR(V22*1,"0")+IFERROR(V26*1,"0")+IFERROR(V27*1,"0")+IFERROR(V28*1,"0")+IFERROR(V29*1,"0")+IFERROR(V30*1,"0")+IFERROR(V31*1,"0")+IFERROR(V35*1,"0")+IFERROR(V36*1,"0")+IFERROR(V40*1,"0")</f>
        <v>0</v>
      </c>
      <c r="C469" s="47">
        <f>IFERROR(V46*1,"0")+IFERROR(V47*1,"0")</f>
        <v>272.70000000000005</v>
      </c>
      <c r="D469" s="47">
        <f>IFERROR(V52*1,"0")+IFERROR(V53*1,"0")+IFERROR(V54*1,"0")</f>
        <v>67.5</v>
      </c>
      <c r="E469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>17.46</v>
      </c>
      <c r="F469" s="47">
        <f>IFERROR(V119*1,"0")+IFERROR(V120*1,"0")+IFERROR(V121*1,"0")+IFERROR(V122*1,"0")</f>
        <v>2.7</v>
      </c>
      <c r="G469" s="47">
        <f>IFERROR(V128*1,"0")+IFERROR(V129*1,"0")+IFERROR(V130*1,"0")</f>
        <v>0</v>
      </c>
      <c r="H469" s="47">
        <f>IFERROR(V135*1,"0")+IFERROR(V136*1,"0")+IFERROR(V137*1,"0")+IFERROR(V138*1,"0")+IFERROR(V139*1,"0")+IFERROR(V140*1,"0")+IFERROR(V141*1,"0")+IFERROR(V142*1,"0")</f>
        <v>6.3000000000000007</v>
      </c>
      <c r="I469" s="47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>144.9</v>
      </c>
      <c r="J469" s="47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>323.7</v>
      </c>
      <c r="K469" s="47">
        <f>IFERROR(V248*1,"0")+IFERROR(V249*1,"0")+IFERROR(V250*1,"0")+IFERROR(V251*1,"0")+IFERROR(V252*1,"0")+IFERROR(V253*1,"0")+IFERROR(V254*1,"0")+IFERROR(V258*1,"0")+IFERROR(V259*1,"0")</f>
        <v>23.2</v>
      </c>
      <c r="L469" s="47">
        <f>IFERROR(V264*1,"0")+IFERROR(V268*1,"0")+IFERROR(V269*1,"0")+IFERROR(V270*1,"0")+IFERROR(V274*1,"0")+IFERROR(V278*1,"0")</f>
        <v>57.599999999999994</v>
      </c>
      <c r="M469" s="47">
        <f>IFERROR(V284*1,"0")+IFERROR(V285*1,"0")+IFERROR(V286*1,"0")+IFERROR(V287*1,"0")+IFERROR(V288*1,"0")+IFERROR(V289*1,"0")+IFERROR(V290*1,"0")+IFERROR(V291*1,"0")+IFERROR(V295*1,"0")+IFERROR(V296*1,"0")+IFERROR(V300*1,"0")+IFERROR(V304*1,"0")</f>
        <v>795</v>
      </c>
      <c r="N469" s="47">
        <f>IFERROR(V309*1,"0")+IFERROR(V310*1,"0")+IFERROR(V311*1,"0")+IFERROR(V312*1,"0")+IFERROR(V316*1,"0")+IFERROR(V317*1,"0")+IFERROR(V321*1,"0")+IFERROR(V322*1,"0")+IFERROR(V323*1,"0")+IFERROR(V324*1,"0")+IFERROR(V328*1,"0")</f>
        <v>13.14</v>
      </c>
      <c r="O469" s="47">
        <f>IFERROR(V334*1,"0")+IFERROR(V335*1,"0")+IFERROR(V339*1,"0")+IFERROR(V340*1,"0")+IFERROR(V341*1,"0")+IFERROR(V342*1,"0")+IFERROR(V343*1,"0")+IFERROR(V344*1,"0")+IFERROR(V345*1,"0")+IFERROR(V346*1,"0")+IFERROR(V347*1,"0")+IFERROR(V348*1,"0")+IFERROR(V349*1,"0")+IFERROR(V350*1,"0")+IFERROR(V351*1,"0")+IFERROR(V355*1,"0")+IFERROR(V356*1,"0")+IFERROR(V357*1,"0")+IFERROR(V358*1,"0")+IFERROR(V362*1,"0")+IFERROR(V366*1,"0")+IFERROR(V367*1,"0")+IFERROR(V368*1,"0")+IFERROR(V372*1,"0")</f>
        <v>25.2</v>
      </c>
      <c r="P469" s="47">
        <f>IFERROR(V377*1,"0")+IFERROR(V378*1,"0")+IFERROR(V382*1,"0")+IFERROR(V383*1,"0")+IFERROR(V384*1,"0")+IFERROR(V385*1,"0")+IFERROR(V386*1,"0")+IFERROR(V387*1,"0")+IFERROR(V388*1,"0")+IFERROR(V392*1,"0")+IFERROR(V396*1,"0")</f>
        <v>14.700000000000001</v>
      </c>
      <c r="Q469" s="47">
        <f>IFERROR(V402*1,"0")+IFERROR(V403*1,"0")+IFERROR(V404*1,"0")+IFERROR(V405*1,"0")+IFERROR(V406*1,"0")+IFERROR(V407*1,"0")+IFERROR(V408*1,"0")+IFERROR(V409*1,"0")+IFERROR(V410*1,"0")+IFERROR(V414*1,"0")+IFERROR(V415*1,"0")+IFERROR(V419*1,"0")+IFERROR(V420*1,"0")+IFERROR(V421*1,"0")+IFERROR(V422*1,"0")+IFERROR(V423*1,"0")+IFERROR(V424*1,"0")+IFERROR(V428*1,"0")+IFERROR(V429*1,"0")</f>
        <v>31.68</v>
      </c>
      <c r="R469" s="47">
        <f>IFERROR(V435*1,"0")+IFERROR(V436*1,"0")+IFERROR(V440*1,"0")+IFERROR(V441*1,"0")+IFERROR(V445*1,"0")+IFERROR(V446*1,"0")+IFERROR(V450*1,"0")+IFERROR(V451*1,"0")</f>
        <v>0</v>
      </c>
      <c r="S469" s="47">
        <f>IFERROR(V456*1,"0")</f>
        <v>0</v>
      </c>
      <c r="T469" s="1"/>
      <c r="Y469" s="53"/>
      <c r="AB469" s="1"/>
    </row>
  </sheetData>
  <sheetProtection algorithmName="SHA-512" hashValue="k3rwfbXrmHFGe+oBtgb6MAHBbg6lTAx583b6m55+xx81X9AibJ40j49RkSRpbl3lTNq1p10hYdi3V1RdwNlb7A==" saltValue="GWIUZoTPuykIk+UAXp/vlg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2">
    <mergeCell ref="C466:F466"/>
    <mergeCell ref="G466:L466"/>
    <mergeCell ref="M466:N466"/>
    <mergeCell ref="O466:P466"/>
    <mergeCell ref="R466:S466"/>
    <mergeCell ref="A467:A468"/>
    <mergeCell ref="B467:B468"/>
    <mergeCell ref="C467:C468"/>
    <mergeCell ref="D467:D468"/>
    <mergeCell ref="E467:E468"/>
    <mergeCell ref="F467:F468"/>
    <mergeCell ref="G467:G468"/>
    <mergeCell ref="H467:H468"/>
    <mergeCell ref="I467:I468"/>
    <mergeCell ref="J467:J468"/>
    <mergeCell ref="K467:K468"/>
    <mergeCell ref="L467:L468"/>
    <mergeCell ref="M467:M468"/>
    <mergeCell ref="N467:N468"/>
    <mergeCell ref="O467:O468"/>
    <mergeCell ref="P467:P468"/>
    <mergeCell ref="Q467:Q468"/>
    <mergeCell ref="R467:R468"/>
    <mergeCell ref="S467:S468"/>
    <mergeCell ref="D456:E456"/>
    <mergeCell ref="M456:Q456"/>
    <mergeCell ref="M457:S457"/>
    <mergeCell ref="A457:L458"/>
    <mergeCell ref="M458:S458"/>
    <mergeCell ref="M459:S459"/>
    <mergeCell ref="A459:L464"/>
    <mergeCell ref="M460:S460"/>
    <mergeCell ref="M461:S461"/>
    <mergeCell ref="M462:S462"/>
    <mergeCell ref="M463:S463"/>
    <mergeCell ref="M464:S464"/>
    <mergeCell ref="D450:E450"/>
    <mergeCell ref="M450:Q450"/>
    <mergeCell ref="D451:E451"/>
    <mergeCell ref="M451:Q451"/>
    <mergeCell ref="M452:S452"/>
    <mergeCell ref="A452:L453"/>
    <mergeCell ref="M453:S453"/>
    <mergeCell ref="A454:W454"/>
    <mergeCell ref="A455:W455"/>
    <mergeCell ref="A444:W444"/>
    <mergeCell ref="D445:E445"/>
    <mergeCell ref="M445:Q445"/>
    <mergeCell ref="D446:E446"/>
    <mergeCell ref="M446:Q446"/>
    <mergeCell ref="M447:S447"/>
    <mergeCell ref="A447:L448"/>
    <mergeCell ref="M448:S448"/>
    <mergeCell ref="A449:W449"/>
    <mergeCell ref="M437:S437"/>
    <mergeCell ref="A437:L438"/>
    <mergeCell ref="M438:S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M430:S430"/>
    <mergeCell ref="A430:L431"/>
    <mergeCell ref="M431:S431"/>
    <mergeCell ref="A432:W432"/>
    <mergeCell ref="A433:W433"/>
    <mergeCell ref="A434:W434"/>
    <mergeCell ref="D435:E435"/>
    <mergeCell ref="M435:Q435"/>
    <mergeCell ref="D436:E436"/>
    <mergeCell ref="M436:Q436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A413:W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M411:S411"/>
    <mergeCell ref="A411:L412"/>
    <mergeCell ref="M412:S412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A395:W395"/>
    <mergeCell ref="D396:E396"/>
    <mergeCell ref="M396:Q396"/>
    <mergeCell ref="M397:S397"/>
    <mergeCell ref="A397:L398"/>
    <mergeCell ref="M398:S398"/>
    <mergeCell ref="A399:W399"/>
    <mergeCell ref="A400:W400"/>
    <mergeCell ref="A401:W401"/>
    <mergeCell ref="M389:S389"/>
    <mergeCell ref="A389:L390"/>
    <mergeCell ref="M390:S390"/>
    <mergeCell ref="A391:W391"/>
    <mergeCell ref="D392:E392"/>
    <mergeCell ref="M392:Q392"/>
    <mergeCell ref="M393:S393"/>
    <mergeCell ref="A393:L394"/>
    <mergeCell ref="M394:S394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78:E378"/>
    <mergeCell ref="M378:Q378"/>
    <mergeCell ref="M379:S379"/>
    <mergeCell ref="A379:L380"/>
    <mergeCell ref="M380:S380"/>
    <mergeCell ref="A381:W381"/>
    <mergeCell ref="D382:E382"/>
    <mergeCell ref="M382:Q382"/>
    <mergeCell ref="D383:E383"/>
    <mergeCell ref="M383:Q383"/>
    <mergeCell ref="A371:W371"/>
    <mergeCell ref="D372:E372"/>
    <mergeCell ref="M372:Q372"/>
    <mergeCell ref="M373:S373"/>
    <mergeCell ref="A373:L374"/>
    <mergeCell ref="M374:S374"/>
    <mergeCell ref="A375:W375"/>
    <mergeCell ref="A376:W376"/>
    <mergeCell ref="D377:E377"/>
    <mergeCell ref="M377:Q377"/>
    <mergeCell ref="A365:W365"/>
    <mergeCell ref="D366:E366"/>
    <mergeCell ref="M366:Q366"/>
    <mergeCell ref="D367:E367"/>
    <mergeCell ref="M367:Q367"/>
    <mergeCell ref="D368:E368"/>
    <mergeCell ref="M368:Q368"/>
    <mergeCell ref="M369:S369"/>
    <mergeCell ref="A369:L370"/>
    <mergeCell ref="M370:S370"/>
    <mergeCell ref="D358:E358"/>
    <mergeCell ref="M358:Q358"/>
    <mergeCell ref="M359:S359"/>
    <mergeCell ref="A359:L360"/>
    <mergeCell ref="M360:S360"/>
    <mergeCell ref="A361:W361"/>
    <mergeCell ref="D362:E362"/>
    <mergeCell ref="M362:Q362"/>
    <mergeCell ref="M363:S363"/>
    <mergeCell ref="A363:L364"/>
    <mergeCell ref="M364:S364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M336:S336"/>
    <mergeCell ref="A336:L337"/>
    <mergeCell ref="M337:S337"/>
    <mergeCell ref="A338:W338"/>
    <mergeCell ref="D339:E339"/>
    <mergeCell ref="M339:Q339"/>
    <mergeCell ref="D340:E340"/>
    <mergeCell ref="M340:Q340"/>
    <mergeCell ref="D341:E341"/>
    <mergeCell ref="M341:Q341"/>
    <mergeCell ref="M329:S329"/>
    <mergeCell ref="A329:L330"/>
    <mergeCell ref="M330:S330"/>
    <mergeCell ref="A331:W331"/>
    <mergeCell ref="A332:W332"/>
    <mergeCell ref="A333:W333"/>
    <mergeCell ref="D334:E334"/>
    <mergeCell ref="M334:Q334"/>
    <mergeCell ref="D335:E335"/>
    <mergeCell ref="M335:Q335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M305:S305"/>
    <mergeCell ref="A305:L306"/>
    <mergeCell ref="M306:S306"/>
    <mergeCell ref="A307:W307"/>
    <mergeCell ref="A308:W308"/>
    <mergeCell ref="D309:E309"/>
    <mergeCell ref="M309:Q309"/>
    <mergeCell ref="D310:E310"/>
    <mergeCell ref="M310:Q310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A263:W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608</v>
      </c>
      <c r="H1" s="53"/>
    </row>
    <row r="3" spans="2:8" x14ac:dyDescent="0.2">
      <c r="B3" s="48" t="s">
        <v>609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610</v>
      </c>
      <c r="C6" s="48" t="s">
        <v>611</v>
      </c>
      <c r="D6" s="48" t="s">
        <v>612</v>
      </c>
      <c r="E6" s="48"/>
    </row>
    <row r="7" spans="2:8" x14ac:dyDescent="0.2">
      <c r="B7" s="48" t="s">
        <v>14</v>
      </c>
      <c r="C7" s="48" t="s">
        <v>613</v>
      </c>
      <c r="D7" s="48" t="s">
        <v>614</v>
      </c>
      <c r="E7" s="48"/>
    </row>
    <row r="8" spans="2:8" x14ac:dyDescent="0.2">
      <c r="B8" s="48" t="s">
        <v>615</v>
      </c>
      <c r="C8" s="48" t="s">
        <v>616</v>
      </c>
      <c r="D8" s="48" t="s">
        <v>617</v>
      </c>
      <c r="E8" s="48"/>
    </row>
    <row r="9" spans="2:8" x14ac:dyDescent="0.2">
      <c r="B9" s="48" t="s">
        <v>618</v>
      </c>
      <c r="C9" s="48" t="s">
        <v>619</v>
      </c>
      <c r="D9" s="48" t="s">
        <v>620</v>
      </c>
      <c r="E9" s="48"/>
    </row>
    <row r="10" spans="2:8" x14ac:dyDescent="0.2">
      <c r="B10" s="48" t="s">
        <v>621</v>
      </c>
      <c r="C10" s="48" t="s">
        <v>622</v>
      </c>
      <c r="D10" s="48" t="s">
        <v>623</v>
      </c>
      <c r="E10" s="48"/>
    </row>
    <row r="11" spans="2:8" x14ac:dyDescent="0.2">
      <c r="B11" s="48" t="s">
        <v>624</v>
      </c>
      <c r="C11" s="48" t="s">
        <v>625</v>
      </c>
      <c r="D11" s="48" t="s">
        <v>626</v>
      </c>
      <c r="E11" s="48"/>
    </row>
    <row r="13" spans="2:8" x14ac:dyDescent="0.2">
      <c r="B13" s="48" t="s">
        <v>627</v>
      </c>
      <c r="C13" s="48" t="s">
        <v>611</v>
      </c>
      <c r="D13" s="48"/>
      <c r="E13" s="48"/>
    </row>
    <row r="15" spans="2:8" x14ac:dyDescent="0.2">
      <c r="B15" s="48" t="s">
        <v>628</v>
      </c>
      <c r="C15" s="48" t="s">
        <v>613</v>
      </c>
      <c r="D15" s="48"/>
      <c r="E15" s="48"/>
    </row>
    <row r="17" spans="2:5" x14ac:dyDescent="0.2">
      <c r="B17" s="48" t="s">
        <v>629</v>
      </c>
      <c r="C17" s="48" t="s">
        <v>616</v>
      </c>
      <c r="D17" s="48"/>
      <c r="E17" s="48"/>
    </row>
    <row r="19" spans="2:5" x14ac:dyDescent="0.2">
      <c r="B19" s="48" t="s">
        <v>630</v>
      </c>
      <c r="C19" s="48" t="s">
        <v>619</v>
      </c>
      <c r="D19" s="48"/>
      <c r="E19" s="48"/>
    </row>
    <row r="21" spans="2:5" x14ac:dyDescent="0.2">
      <c r="B21" s="48" t="s">
        <v>631</v>
      </c>
      <c r="C21" s="48" t="s">
        <v>622</v>
      </c>
      <c r="D21" s="48"/>
      <c r="E21" s="48"/>
    </row>
    <row r="23" spans="2:5" x14ac:dyDescent="0.2">
      <c r="B23" s="48" t="s">
        <v>632</v>
      </c>
      <c r="C23" s="48" t="s">
        <v>625</v>
      </c>
      <c r="D23" s="48"/>
      <c r="E23" s="48"/>
    </row>
    <row r="25" spans="2:5" x14ac:dyDescent="0.2">
      <c r="B25" s="48" t="s">
        <v>633</v>
      </c>
      <c r="C25" s="48"/>
      <c r="D25" s="48"/>
      <c r="E25" s="48"/>
    </row>
    <row r="26" spans="2:5" x14ac:dyDescent="0.2">
      <c r="B26" s="48" t="s">
        <v>634</v>
      </c>
      <c r="C26" s="48"/>
      <c r="D26" s="48"/>
      <c r="E26" s="48"/>
    </row>
    <row r="27" spans="2:5" x14ac:dyDescent="0.2">
      <c r="B27" s="48" t="s">
        <v>635</v>
      </c>
      <c r="C27" s="48"/>
      <c r="D27" s="48"/>
      <c r="E27" s="48"/>
    </row>
    <row r="28" spans="2:5" x14ac:dyDescent="0.2">
      <c r="B28" s="48" t="s">
        <v>636</v>
      </c>
      <c r="C28" s="48"/>
      <c r="D28" s="48"/>
      <c r="E28" s="48"/>
    </row>
    <row r="29" spans="2:5" x14ac:dyDescent="0.2">
      <c r="B29" s="48" t="s">
        <v>637</v>
      </c>
      <c r="C29" s="48"/>
      <c r="D29" s="48"/>
      <c r="E29" s="48"/>
    </row>
    <row r="30" spans="2:5" x14ac:dyDescent="0.2">
      <c r="B30" s="48" t="s">
        <v>638</v>
      </c>
      <c r="C30" s="48"/>
      <c r="D30" s="48"/>
      <c r="E30" s="48"/>
    </row>
    <row r="31" spans="2:5" x14ac:dyDescent="0.2">
      <c r="B31" s="48" t="s">
        <v>639</v>
      </c>
      <c r="C31" s="48"/>
      <c r="D31" s="48"/>
      <c r="E31" s="48"/>
    </row>
    <row r="32" spans="2:5" x14ac:dyDescent="0.2">
      <c r="B32" s="48" t="s">
        <v>640</v>
      </c>
      <c r="C32" s="48"/>
      <c r="D32" s="48"/>
      <c r="E32" s="48"/>
    </row>
    <row r="33" spans="2:5" x14ac:dyDescent="0.2">
      <c r="B33" s="48" t="s">
        <v>641</v>
      </c>
      <c r="C33" s="48"/>
      <c r="D33" s="48"/>
      <c r="E33" s="48"/>
    </row>
    <row r="34" spans="2:5" x14ac:dyDescent="0.2">
      <c r="B34" s="48" t="s">
        <v>642</v>
      </c>
      <c r="C34" s="48"/>
      <c r="D34" s="48"/>
      <c r="E34" s="48"/>
    </row>
    <row r="35" spans="2:5" x14ac:dyDescent="0.2">
      <c r="B35" s="48" t="s">
        <v>643</v>
      </c>
      <c r="C35" s="48"/>
      <c r="D35" s="48"/>
      <c r="E35" s="48"/>
    </row>
  </sheetData>
  <sheetProtection algorithmName="SHA-512" hashValue="AqNSG5GKG0Xr5s8GPzVUCqCQbXRw2dh0lCPkC3LtgXNzsZF4VMaO5KCZP1dp0fxChDK/H+q4xRtpaEFN5vxp1w==" saltValue="gAHvh1kWpazWpYeV8NLEG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2023-09-19T10:54:48Z</dcterms:modified>
</cp:coreProperties>
</file>