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заказа'!$U$416:$U$416</definedName>
    <definedName name="GrossWeightTotalR">'Бланк заказа'!$V$416:$V$416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заказа'!$U$417:$U$417</definedName>
    <definedName name="PalletQtyTotalR">'Бланк заказа'!$V$417:$V$417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заказа'!$B$209:$B$209</definedName>
    <definedName name="ProductId124">'Бланк заказа'!$B$210:$B$210</definedName>
    <definedName name="ProductId125">'Бланк заказа'!$B$211:$B$211</definedName>
    <definedName name="ProductId126">'Бланк заказа'!$B$215:$B$215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заказа'!$B$233:$B$233</definedName>
    <definedName name="ProductId138">'Бланк заказа'!$B$234:$B$234</definedName>
    <definedName name="ProductId139">'Бланк заказа'!$B$239:$B$239</definedName>
    <definedName name="ProductId14">'Бланк заказа'!$B$56:$B$56</definedName>
    <definedName name="ProductId140">'Бланк заказа'!$B$240:$B$240</definedName>
    <definedName name="ProductId141">'Бланк заказа'!$B$244:$B$244</definedName>
    <definedName name="ProductId142">'Бланк заказа'!$B$245:$B$245</definedName>
    <definedName name="ProductId143">'Бланк заказа'!$B$246:$B$246</definedName>
    <definedName name="ProductId144">'Бланк заказа'!$B$250:$B$250</definedName>
    <definedName name="ProductId145">'Бланк заказа'!$B$254:$B$254</definedName>
    <definedName name="ProductId146">'Бланк заказа'!$B$258:$B$258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заказа'!$B$280:$B$280</definedName>
    <definedName name="ProductId158">'Бланк заказа'!$B$281:$B$281</definedName>
    <definedName name="ProductId159">'Бланк заказа'!$B$285:$B$285</definedName>
    <definedName name="ProductId16">'Бланк заказа'!$B$62:$B$62</definedName>
    <definedName name="ProductId160">'Бланк заказа'!$B$289:$B$289</definedName>
    <definedName name="ProductId161">'Бланк заказа'!$B$294:$B$294</definedName>
    <definedName name="ProductId162">'Бланк заказа'!$B$295:$B$295</definedName>
    <definedName name="ProductId163">'Бланк заказа'!$B$296:$B$296</definedName>
    <definedName name="ProductId164">'Бланк заказа'!$B$297:$B$297</definedName>
    <definedName name="ProductId165">'Бланк заказа'!$B$301:$B$301</definedName>
    <definedName name="ProductId166">'Бланк заказа'!$B$302:$B$302</definedName>
    <definedName name="ProductId167">'Бланк заказа'!$B$306:$B$306</definedName>
    <definedName name="ProductId168">'Бланк заказа'!$B$307:$B$307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заказа'!$B$380:$B$380</definedName>
    <definedName name="ProductId207">'Бланк заказа'!$B$381:$B$381</definedName>
    <definedName name="ProductId208">'Бланк заказа'!$B$382:$B$382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заказа'!$B$388:$B$388</definedName>
    <definedName name="ProductId212">'Бланк заказа'!$B$389:$B$389</definedName>
    <definedName name="ProductId213">'Бланк заказа'!$B$395:$B$395</definedName>
    <definedName name="ProductId214">'Бланк заказа'!$B$396:$B$396</definedName>
    <definedName name="ProductId215">'Бланк заказа'!$B$400:$B$400</definedName>
    <definedName name="ProductId216">'Бланк заказа'!$B$401:$B$401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заказа'!$U$209:$U$209</definedName>
    <definedName name="SalesQty124">'Бланк заказа'!$U$210:$U$210</definedName>
    <definedName name="SalesQty125">'Бланк заказа'!$U$211:$U$211</definedName>
    <definedName name="SalesQty126">'Бланк заказа'!$U$215:$U$215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заказа'!$U$233:$U$233</definedName>
    <definedName name="SalesQty138">'Бланк заказа'!$U$234:$U$234</definedName>
    <definedName name="SalesQty139">'Бланк заказа'!$U$239:$U$239</definedName>
    <definedName name="SalesQty14">'Бланк заказа'!$U$56:$U$56</definedName>
    <definedName name="SalesQty140">'Бланк заказа'!$U$240:$U$240</definedName>
    <definedName name="SalesQty141">'Бланк заказа'!$U$244:$U$244</definedName>
    <definedName name="SalesQty142">'Бланк заказа'!$U$245:$U$245</definedName>
    <definedName name="SalesQty143">'Бланк заказа'!$U$246:$U$246</definedName>
    <definedName name="SalesQty144">'Бланк заказа'!$U$250:$U$250</definedName>
    <definedName name="SalesQty145">'Бланк заказа'!$U$254:$U$254</definedName>
    <definedName name="SalesQty146">'Бланк заказа'!$U$258:$U$258</definedName>
    <definedName name="SalesQty147">'Бланк заказа'!$U$264:$U$264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заказа'!$U$275:$U$275</definedName>
    <definedName name="SalesQty156">'Бланк заказа'!$U$276:$U$276</definedName>
    <definedName name="SalesQty157">'Бланк заказа'!$U$280:$U$280</definedName>
    <definedName name="SalesQty158">'Бланк заказа'!$U$281:$U$281</definedName>
    <definedName name="SalesQty159">'Бланк заказа'!$U$285:$U$285</definedName>
    <definedName name="SalesQty16">'Бланк заказа'!$U$62:$U$62</definedName>
    <definedName name="SalesQty160">'Бланк заказа'!$U$289:$U$289</definedName>
    <definedName name="SalesQty161">'Бланк заказа'!$U$294:$U$294</definedName>
    <definedName name="SalesQty162">'Бланк заказа'!$U$295:$U$295</definedName>
    <definedName name="SalesQty163">'Бланк заказа'!$U$296:$U$296</definedName>
    <definedName name="SalesQty164">'Бланк заказа'!$U$297:$U$297</definedName>
    <definedName name="SalesQty165">'Бланк заказа'!$U$301:$U$301</definedName>
    <definedName name="SalesQty166">'Бланк заказа'!$U$302:$U$302</definedName>
    <definedName name="SalesQty167">'Бланк заказа'!$U$306:$U$306</definedName>
    <definedName name="SalesQty168">'Бланк заказа'!$U$307:$U$307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заказа'!$U$374:$U$374</definedName>
    <definedName name="SalesQty204">'Бланк заказа'!$U$375:$U$375</definedName>
    <definedName name="SalesQty205">'Бланк заказа'!$U$379:$U$379</definedName>
    <definedName name="SalesQty206">'Бланк заказа'!$U$380:$U$380</definedName>
    <definedName name="SalesQty207">'Бланк заказа'!$U$381:$U$381</definedName>
    <definedName name="SalesQty208">'Бланк заказа'!$U$382:$U$382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заказа'!$U$388:$U$388</definedName>
    <definedName name="SalesQty212">'Бланк заказа'!$U$389:$U$389</definedName>
    <definedName name="SalesQty213">'Бланк заказа'!$U$395:$U$395</definedName>
    <definedName name="SalesQty214">'Бланк заказа'!$U$396:$U$396</definedName>
    <definedName name="SalesQty215">'Бланк заказа'!$U$400:$U$400</definedName>
    <definedName name="SalesQty216">'Бланк заказа'!$U$401:$U$401</definedName>
    <definedName name="SalesQty217">'Бланк заказа'!$U$405:$U$405</definedName>
    <definedName name="SalesQty218">'Бланк заказа'!$U$406:$U$406</definedName>
    <definedName name="SalesQty219">'Бланк заказа'!$U$410:$U$410</definedName>
    <definedName name="SalesQty22">'Бланк заказа'!$U$68:$U$68</definedName>
    <definedName name="SalesQty220">'Бланк заказа'!$U$411:$U$411</definedName>
    <definedName name="SalesQty221">'Бланк заказа'!$U$412:$U$412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заказа'!$U$152:$U$152</definedName>
    <definedName name="SalesQty79">'Бланк заказа'!$U$153:$U$153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заказа'!$V$209:$V$209</definedName>
    <definedName name="SalesRoundBox124">'Бланк заказа'!$V$210:$V$210</definedName>
    <definedName name="SalesRoundBox125">'Бланк заказа'!$V$211:$V$211</definedName>
    <definedName name="SalesRoundBox126">'Бланк заказа'!$V$215:$V$215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заказа'!$V$233:$V$233</definedName>
    <definedName name="SalesRoundBox138">'Бланк заказа'!$V$234:$V$234</definedName>
    <definedName name="SalesRoundBox139">'Бланк заказа'!$V$239:$V$239</definedName>
    <definedName name="SalesRoundBox14">'Бланк заказа'!$V$56:$V$56</definedName>
    <definedName name="SalesRoundBox140">'Бланк заказа'!$V$240:$V$240</definedName>
    <definedName name="SalesRoundBox141">'Бланк заказа'!$V$244:$V$244</definedName>
    <definedName name="SalesRoundBox142">'Бланк заказа'!$V$245:$V$245</definedName>
    <definedName name="SalesRoundBox143">'Бланк заказа'!$V$246:$V$246</definedName>
    <definedName name="SalesRoundBox144">'Бланк заказа'!$V$250:$V$250</definedName>
    <definedName name="SalesRoundBox145">'Бланк заказа'!$V$254:$V$254</definedName>
    <definedName name="SalesRoundBox146">'Бланк заказа'!$V$258:$V$258</definedName>
    <definedName name="SalesRoundBox147">'Бланк заказа'!$V$264:$V$264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заказа'!$V$275:$V$275</definedName>
    <definedName name="SalesRoundBox156">'Бланк заказа'!$V$276:$V$276</definedName>
    <definedName name="SalesRoundBox157">'Бланк заказа'!$V$280:$V$280</definedName>
    <definedName name="SalesRoundBox158">'Бланк заказа'!$V$281:$V$281</definedName>
    <definedName name="SalesRoundBox159">'Бланк заказа'!$V$285:$V$285</definedName>
    <definedName name="SalesRoundBox16">'Бланк заказа'!$V$62:$V$62</definedName>
    <definedName name="SalesRoundBox160">'Бланк заказа'!$V$289:$V$289</definedName>
    <definedName name="SalesRoundBox161">'Бланк заказа'!$V$294:$V$294</definedName>
    <definedName name="SalesRoundBox162">'Бланк заказа'!$V$295:$V$295</definedName>
    <definedName name="SalesRoundBox163">'Бланк заказа'!$V$296:$V$296</definedName>
    <definedName name="SalesRoundBox164">'Бланк заказа'!$V$297:$V$297</definedName>
    <definedName name="SalesRoundBox165">'Бланк заказа'!$V$301:$V$301</definedName>
    <definedName name="SalesRoundBox166">'Бланк заказа'!$V$302:$V$302</definedName>
    <definedName name="SalesRoundBox167">'Бланк заказа'!$V$306:$V$306</definedName>
    <definedName name="SalesRoundBox168">'Бланк заказа'!$V$307:$V$307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заказа'!$V$374:$V$374</definedName>
    <definedName name="SalesRoundBox204">'Бланк заказа'!$V$375:$V$375</definedName>
    <definedName name="SalesRoundBox205">'Бланк заказа'!$V$379:$V$379</definedName>
    <definedName name="SalesRoundBox206">'Бланк заказа'!$V$380:$V$380</definedName>
    <definedName name="SalesRoundBox207">'Бланк заказа'!$V$381:$V$381</definedName>
    <definedName name="SalesRoundBox208">'Бланк заказа'!$V$382:$V$382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заказа'!$V$388:$V$388</definedName>
    <definedName name="SalesRoundBox212">'Бланк заказа'!$V$389:$V$389</definedName>
    <definedName name="SalesRoundBox213">'Бланк заказа'!$V$395:$V$395</definedName>
    <definedName name="SalesRoundBox214">'Бланк заказа'!$V$396:$V$396</definedName>
    <definedName name="SalesRoundBox215">'Бланк заказа'!$V$400:$V$400</definedName>
    <definedName name="SalesRoundBox216">'Бланк заказа'!$V$401:$V$401</definedName>
    <definedName name="SalesRoundBox217">'Бланк заказа'!$V$405:$V$405</definedName>
    <definedName name="SalesRoundBox218">'Бланк заказа'!$V$406:$V$406</definedName>
    <definedName name="SalesRoundBox219">'Бланк заказа'!$V$410:$V$410</definedName>
    <definedName name="SalesRoundBox22">'Бланк заказа'!$V$68:$V$68</definedName>
    <definedName name="SalesRoundBox220">'Бланк заказа'!$V$411:$V$411</definedName>
    <definedName name="SalesRoundBox221">'Бланк заказа'!$V$412:$V$412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заказа'!$V$152:$V$152</definedName>
    <definedName name="SalesRoundBox79">'Бланк заказа'!$V$153:$V$153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заказа'!$T$209:$T$209</definedName>
    <definedName name="UnitOfMeasure124">'Бланк заказа'!$T$210:$T$210</definedName>
    <definedName name="UnitOfMeasure125">'Бланк заказа'!$T$211:$T$211</definedName>
    <definedName name="UnitOfMeasure126">'Бланк заказа'!$T$215:$T$215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заказа'!$T$233:$T$233</definedName>
    <definedName name="UnitOfMeasure138">'Бланк заказа'!$T$234:$T$234</definedName>
    <definedName name="UnitOfMeasure139">'Бланк заказа'!$T$239:$T$239</definedName>
    <definedName name="UnitOfMeasure14">'Бланк заказа'!$T$56:$T$56</definedName>
    <definedName name="UnitOfMeasure140">'Бланк заказа'!$T$240:$T$240</definedName>
    <definedName name="UnitOfMeasure141">'Бланк заказа'!$T$244:$T$244</definedName>
    <definedName name="UnitOfMeasure142">'Бланк заказа'!$T$245:$T$245</definedName>
    <definedName name="UnitOfMeasure143">'Бланк заказа'!$T$246:$T$246</definedName>
    <definedName name="UnitOfMeasure144">'Бланк заказа'!$T$250:$T$250</definedName>
    <definedName name="UnitOfMeasure145">'Бланк заказа'!$T$254:$T$254</definedName>
    <definedName name="UnitOfMeasure146">'Бланк заказа'!$T$258:$T$258</definedName>
    <definedName name="UnitOfMeasure147">'Бланк заказа'!$T$264:$T$264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заказа'!$T$275:$T$275</definedName>
    <definedName name="UnitOfMeasure156">'Бланк заказа'!$T$276:$T$276</definedName>
    <definedName name="UnitOfMeasure157">'Бланк заказа'!$T$280:$T$280</definedName>
    <definedName name="UnitOfMeasure158">'Бланк заказа'!$T$281:$T$281</definedName>
    <definedName name="UnitOfMeasure159">'Бланк заказа'!$T$285:$T$285</definedName>
    <definedName name="UnitOfMeasure16">'Бланк заказа'!$T$62:$T$62</definedName>
    <definedName name="UnitOfMeasure160">'Бланк заказа'!$T$289:$T$289</definedName>
    <definedName name="UnitOfMeasure161">'Бланк заказа'!$T$294:$T$294</definedName>
    <definedName name="UnitOfMeasure162">'Бланк заказа'!$T$295:$T$295</definedName>
    <definedName name="UnitOfMeasure163">'Бланк заказа'!$T$296:$T$296</definedName>
    <definedName name="UnitOfMeasure164">'Бланк заказа'!$T$297:$T$297</definedName>
    <definedName name="UnitOfMeasure165">'Бланк заказа'!$T$301:$T$301</definedName>
    <definedName name="UnitOfMeasure166">'Бланк заказа'!$T$302:$T$302</definedName>
    <definedName name="UnitOfMeasure167">'Бланк заказа'!$T$306:$T$306</definedName>
    <definedName name="UnitOfMeasure168">'Бланк заказа'!$T$307:$T$307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заказа'!$T$374:$T$374</definedName>
    <definedName name="UnitOfMeasure204">'Бланк заказа'!$T$375:$T$375</definedName>
    <definedName name="UnitOfMeasure205">'Бланк заказа'!$T$379:$T$379</definedName>
    <definedName name="UnitOfMeasure206">'Бланк заказа'!$T$380:$T$380</definedName>
    <definedName name="UnitOfMeasure207">'Бланк заказа'!$T$381:$T$381</definedName>
    <definedName name="UnitOfMeasure208">'Бланк заказа'!$T$382:$T$382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заказа'!$T$388:$T$388</definedName>
    <definedName name="UnitOfMeasure212">'Бланк заказа'!$T$389:$T$389</definedName>
    <definedName name="UnitOfMeasure213">'Бланк заказа'!$T$395:$T$395</definedName>
    <definedName name="UnitOfMeasure214">'Бланк заказа'!$T$396:$T$396</definedName>
    <definedName name="UnitOfMeasure215">'Бланк заказа'!$T$400:$T$400</definedName>
    <definedName name="UnitOfMeasure216">'Бланк заказа'!$T$401:$T$401</definedName>
    <definedName name="UnitOfMeasure217">'Бланк заказа'!$T$405:$T$405</definedName>
    <definedName name="UnitOfMeasure218">'Бланк заказа'!$T$406:$T$406</definedName>
    <definedName name="UnitOfMeasure219">'Бланк заказа'!$T$410:$T$410</definedName>
    <definedName name="UnitOfMeasure22">'Бланк заказа'!$T$68:$T$68</definedName>
    <definedName name="UnitOfMeasure220">'Бланк заказа'!$T$411:$T$411</definedName>
    <definedName name="UnitOfMeasure221">'Бланк заказа'!$T$412:$T$412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заказа'!$T$152:$T$152</definedName>
    <definedName name="UnitOfMeasure79">'Бланк заказа'!$T$153:$T$153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26"/>
  <sheetViews>
    <sheetView showGridLines="0" tabSelected="1" zoomScale="93" zoomScaleNormal="93" zoomScaleSheetLayoutView="100" workbookViewId="0">
      <selection activeCell="A1" sqref="A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11.07.2023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67" t="n"/>
      <c r="C5" s="368" t="n"/>
      <c r="D5" s="77" t="n"/>
      <c r="E5" s="369" t="n"/>
      <c r="F5" s="78" t="inlineStr">
        <is>
          <t>Комментарий к заказу:</t>
        </is>
      </c>
      <c r="G5" s="368" t="n"/>
      <c r="H5" s="77" t="n"/>
      <c r="I5" s="370" t="n"/>
      <c r="J5" s="370" t="n"/>
      <c r="K5" s="369" t="n"/>
      <c r="M5" s="29" t="inlineStr">
        <is>
          <t>Дата загрузки</t>
        </is>
      </c>
      <c r="N5" s="371" t="n"/>
      <c r="O5" s="372" t="n"/>
      <c r="Q5" s="81" t="inlineStr">
        <is>
          <t>Способ доставки (доставка/самовывоз)</t>
        </is>
      </c>
      <c r="R5" s="373" t="n"/>
      <c r="S5" s="374" t="n"/>
      <c r="T5" s="372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67" t="n"/>
      <c r="C6" s="368" t="n"/>
      <c r="D6" s="84" t="n"/>
      <c r="E6" s="375" t="n"/>
      <c r="F6" s="375" t="n"/>
      <c r="G6" s="375" t="n"/>
      <c r="H6" s="375" t="n"/>
      <c r="I6" s="375" t="n"/>
      <c r="J6" s="375" t="n"/>
      <c r="K6" s="372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76" t="n"/>
      <c r="Q6" s="87" t="inlineStr">
        <is>
          <t>Наименование клиента</t>
        </is>
      </c>
      <c r="R6" s="373" t="n"/>
      <c r="S6" s="377" t="inlineStr">
        <is>
          <t>ОБЩЕСТВО С ОГРАНИЧЕННОЙ ОТВЕТСТВЕННОСТЬЮ "НОВОЕ ВРЕМЯ"</t>
        </is>
      </c>
      <c r="T6" s="378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79">
        <f>IFERROR(VLOOKUP(DeliveryAddress,Table,3,0),1)</f>
        <v/>
      </c>
      <c r="E7" s="380" t="n"/>
      <c r="F7" s="380" t="n"/>
      <c r="G7" s="380" t="n"/>
      <c r="H7" s="380" t="n"/>
      <c r="I7" s="380" t="n"/>
      <c r="J7" s="380" t="n"/>
      <c r="K7" s="381" t="n"/>
      <c r="M7" s="29" t="n"/>
      <c r="N7" s="49" t="n"/>
      <c r="O7" s="49" t="n"/>
      <c r="Q7" s="1" t="n"/>
      <c r="R7" s="373" t="n"/>
      <c r="S7" s="382" t="n"/>
      <c r="T7" s="383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84" t="n"/>
      <c r="C8" s="385" t="n"/>
      <c r="D8" s="98" t="n"/>
      <c r="E8" s="386" t="n"/>
      <c r="F8" s="386" t="n"/>
      <c r="G8" s="386" t="n"/>
      <c r="H8" s="386" t="n"/>
      <c r="I8" s="386" t="n"/>
      <c r="J8" s="386" t="n"/>
      <c r="K8" s="387" t="n"/>
      <c r="M8" s="29" t="inlineStr">
        <is>
          <t>Время загрузки</t>
        </is>
      </c>
      <c r="N8" s="99" t="n"/>
      <c r="O8" s="372" t="n"/>
      <c r="Q8" s="1" t="n"/>
      <c r="R8" s="373" t="n"/>
      <c r="S8" s="382" t="n"/>
      <c r="T8" s="383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1" t="n"/>
      <c r="O9" s="372" t="n"/>
      <c r="Q9" s="1" t="n"/>
      <c r="R9" s="373" t="n"/>
      <c r="S9" s="388" t="n"/>
      <c r="T9" s="38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2" t="n"/>
      <c r="R10" s="29" t="inlineStr">
        <is>
          <t>КОД Аксапты Клиента</t>
        </is>
      </c>
      <c r="S10" s="390" t="inlineStr">
        <is>
          <t>596383</t>
        </is>
      </c>
      <c r="T10" s="37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2" t="n"/>
      <c r="R11" s="29" t="inlineStr">
        <is>
          <t>Тип заказа</t>
        </is>
      </c>
      <c r="S11" s="107" t="inlineStr">
        <is>
          <t>Основной заказ</t>
        </is>
      </c>
      <c r="T11" s="39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67" t="n"/>
      <c r="C12" s="367" t="n"/>
      <c r="D12" s="367" t="n"/>
      <c r="E12" s="367" t="n"/>
      <c r="F12" s="367" t="n"/>
      <c r="G12" s="367" t="n"/>
      <c r="H12" s="367" t="n"/>
      <c r="I12" s="367" t="n"/>
      <c r="J12" s="367" t="n"/>
      <c r="K12" s="368" t="n"/>
      <c r="M12" s="29" t="inlineStr">
        <is>
          <t>Время доставки 3 машины</t>
        </is>
      </c>
      <c r="N12" s="109" t="n"/>
      <c r="O12" s="381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67" t="n"/>
      <c r="C13" s="367" t="n"/>
      <c r="D13" s="367" t="n"/>
      <c r="E13" s="367" t="n"/>
      <c r="F13" s="367" t="n"/>
      <c r="G13" s="367" t="n"/>
      <c r="H13" s="367" t="n"/>
      <c r="I13" s="367" t="n"/>
      <c r="J13" s="367" t="n"/>
      <c r="K13" s="368" t="n"/>
      <c r="L13" s="31" t="n"/>
      <c r="M13" s="31" t="inlineStr">
        <is>
          <t>Время доставки 4 машины</t>
        </is>
      </c>
      <c r="N13" s="107" t="n"/>
      <c r="O13" s="39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67" t="n"/>
      <c r="C14" s="367" t="n"/>
      <c r="D14" s="367" t="n"/>
      <c r="E14" s="367" t="n"/>
      <c r="F14" s="367" t="n"/>
      <c r="G14" s="367" t="n"/>
      <c r="H14" s="367" t="n"/>
      <c r="I14" s="367" t="n"/>
      <c r="J14" s="367" t="n"/>
      <c r="K14" s="36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67" t="n"/>
      <c r="C15" s="367" t="n"/>
      <c r="D15" s="367" t="n"/>
      <c r="E15" s="367" t="n"/>
      <c r="F15" s="367" t="n"/>
      <c r="G15" s="367" t="n"/>
      <c r="H15" s="367" t="n"/>
      <c r="I15" s="367" t="n"/>
      <c r="J15" s="367" t="n"/>
      <c r="K15" s="368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2" t="n"/>
      <c r="N16" s="392" t="n"/>
      <c r="O16" s="392" t="n"/>
      <c r="P16" s="392" t="n"/>
      <c r="Q16" s="39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3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394" t="n"/>
      <c r="O17" s="394" t="n"/>
      <c r="P17" s="394" t="n"/>
      <c r="Q17" s="393" t="n"/>
      <c r="R17" s="114" t="inlineStr">
        <is>
          <t>Доступно к отгрузке</t>
        </is>
      </c>
      <c r="S17" s="368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395" t="n"/>
      <c r="AB17" s="396" t="n"/>
    </row>
    <row r="18" ht="14.25" customHeight="1">
      <c r="A18" s="397" t="n"/>
      <c r="B18" s="397" t="n"/>
      <c r="C18" s="397" t="n"/>
      <c r="D18" s="398" t="n"/>
      <c r="E18" s="399" t="n"/>
      <c r="F18" s="397" t="n"/>
      <c r="G18" s="397" t="n"/>
      <c r="H18" s="397" t="n"/>
      <c r="I18" s="397" t="n"/>
      <c r="J18" s="397" t="n"/>
      <c r="K18" s="397" t="n"/>
      <c r="L18" s="397" t="n"/>
      <c r="M18" s="398" t="n"/>
      <c r="N18" s="400" t="n"/>
      <c r="O18" s="400" t="n"/>
      <c r="P18" s="400" t="n"/>
      <c r="Q18" s="399" t="n"/>
      <c r="R18" s="114" t="inlineStr">
        <is>
          <t>начиная с</t>
        </is>
      </c>
      <c r="S18" s="114" t="inlineStr">
        <is>
          <t>до</t>
        </is>
      </c>
      <c r="T18" s="397" t="n"/>
      <c r="U18" s="397" t="n"/>
      <c r="V18" s="401" t="n"/>
      <c r="W18" s="397" t="n"/>
      <c r="X18" s="402" t="n"/>
      <c r="Y18" s="402" t="n"/>
      <c r="Z18" s="403" t="n"/>
      <c r="AA18" s="404" t="n"/>
      <c r="AB18" s="405" t="n"/>
    </row>
    <row r="19" ht="27.75" customHeight="1">
      <c r="A19" s="128" t="inlineStr">
        <is>
          <t>Ядрена копоть</t>
        </is>
      </c>
      <c r="B19" s="406" t="n"/>
      <c r="C19" s="406" t="n"/>
      <c r="D19" s="406" t="n"/>
      <c r="E19" s="406" t="n"/>
      <c r="F19" s="406" t="n"/>
      <c r="G19" s="406" t="n"/>
      <c r="H19" s="406" t="n"/>
      <c r="I19" s="406" t="n"/>
      <c r="J19" s="406" t="n"/>
      <c r="K19" s="406" t="n"/>
      <c r="L19" s="406" t="n"/>
      <c r="M19" s="406" t="n"/>
      <c r="N19" s="406" t="n"/>
      <c r="O19" s="406" t="n"/>
      <c r="P19" s="406" t="n"/>
      <c r="Q19" s="406" t="n"/>
      <c r="R19" s="406" t="n"/>
      <c r="S19" s="406" t="n"/>
      <c r="T19" s="406" t="n"/>
      <c r="U19" s="406" t="n"/>
      <c r="V19" s="406" t="n"/>
      <c r="W19" s="406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76" t="n"/>
      <c r="F22" s="407" t="n">
        <v>0.3</v>
      </c>
      <c r="G22" s="38" t="n">
        <v>6</v>
      </c>
      <c r="H22" s="407" t="n">
        <v>1.8</v>
      </c>
      <c r="I22" s="407" t="n">
        <v>2</v>
      </c>
      <c r="J22" s="38" t="n">
        <v>156</v>
      </c>
      <c r="K22" s="39" t="inlineStr">
        <is>
          <t>СК2</t>
        </is>
      </c>
      <c r="L22" s="38" t="n">
        <v>35</v>
      </c>
      <c r="M22" s="408" t="inlineStr">
        <is>
          <t>В/к колбасы Колбаски Бюргерсы Ядрена копоть 0,3 Ядрена копоть</t>
        </is>
      </c>
      <c r="N22" s="409" t="n"/>
      <c r="O22" s="409" t="n"/>
      <c r="P22" s="409" t="n"/>
      <c r="Q22" s="376" t="n"/>
      <c r="R22" s="40" t="inlineStr"/>
      <c r="S22" s="40" t="inlineStr"/>
      <c r="T22" s="41" t="inlineStr">
        <is>
          <t>кг</t>
        </is>
      </c>
      <c r="U22" s="410" t="n">
        <v>0</v>
      </c>
      <c r="V22" s="411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2" t="n"/>
      <c r="M23" s="413" t="inlineStr">
        <is>
          <t>Итого</t>
        </is>
      </c>
      <c r="N23" s="384" t="n"/>
      <c r="O23" s="384" t="n"/>
      <c r="P23" s="384" t="n"/>
      <c r="Q23" s="384" t="n"/>
      <c r="R23" s="384" t="n"/>
      <c r="S23" s="385" t="n"/>
      <c r="T23" s="43" t="inlineStr">
        <is>
          <t>кор</t>
        </is>
      </c>
      <c r="U23" s="414">
        <f>IFERROR(U22/H22,"0")</f>
        <v/>
      </c>
      <c r="V23" s="414">
        <f>IFERROR(V22/H22,"0")</f>
        <v/>
      </c>
      <c r="W23" s="414">
        <f>IFERROR(IF(W22="",0,W22),"0")</f>
        <v/>
      </c>
      <c r="X23" s="415" t="n"/>
      <c r="Y23" s="41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2" t="n"/>
      <c r="M24" s="413" t="inlineStr">
        <is>
          <t>Итого</t>
        </is>
      </c>
      <c r="N24" s="384" t="n"/>
      <c r="O24" s="384" t="n"/>
      <c r="P24" s="384" t="n"/>
      <c r="Q24" s="384" t="n"/>
      <c r="R24" s="384" t="n"/>
      <c r="S24" s="385" t="n"/>
      <c r="T24" s="43" t="inlineStr">
        <is>
          <t>кг</t>
        </is>
      </c>
      <c r="U24" s="414">
        <f>IFERROR(SUM(U22:U22),"0")</f>
        <v/>
      </c>
      <c r="V24" s="414">
        <f>IFERROR(SUM(V22:V22),"0")</f>
        <v/>
      </c>
      <c r="W24" s="43" t="n"/>
      <c r="X24" s="415" t="n"/>
      <c r="Y24" s="415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76" t="n"/>
      <c r="F26" s="407" t="n">
        <v>0.33</v>
      </c>
      <c r="G26" s="38" t="n">
        <v>6</v>
      </c>
      <c r="H26" s="407" t="n">
        <v>1.98</v>
      </c>
      <c r="I26" s="407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16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409" t="n"/>
      <c r="O26" s="409" t="n"/>
      <c r="P26" s="409" t="n"/>
      <c r="Q26" s="376" t="n"/>
      <c r="R26" s="40" t="inlineStr"/>
      <c r="S26" s="40" t="inlineStr"/>
      <c r="T26" s="41" t="inlineStr">
        <is>
          <t>кг</t>
        </is>
      </c>
      <c r="U26" s="410" t="n">
        <v>0</v>
      </c>
      <c r="V26" s="411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76" t="n"/>
      <c r="F27" s="407" t="n">
        <v>0.42</v>
      </c>
      <c r="G27" s="38" t="n">
        <v>6</v>
      </c>
      <c r="H27" s="407" t="n">
        <v>2.52</v>
      </c>
      <c r="I27" s="407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17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409" t="n"/>
      <c r="O27" s="409" t="n"/>
      <c r="P27" s="409" t="n"/>
      <c r="Q27" s="376" t="n"/>
      <c r="R27" s="40" t="inlineStr"/>
      <c r="S27" s="40" t="inlineStr"/>
      <c r="T27" s="41" t="inlineStr">
        <is>
          <t>кг</t>
        </is>
      </c>
      <c r="U27" s="410" t="n">
        <v>100.8</v>
      </c>
      <c r="V27" s="411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76" t="n"/>
      <c r="F28" s="407" t="n">
        <v>0.33</v>
      </c>
      <c r="G28" s="38" t="n">
        <v>6</v>
      </c>
      <c r="H28" s="407" t="n">
        <v>1.98</v>
      </c>
      <c r="I28" s="407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18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409" t="n"/>
      <c r="O28" s="409" t="n"/>
      <c r="P28" s="409" t="n"/>
      <c r="Q28" s="376" t="n"/>
      <c r="R28" s="40" t="inlineStr"/>
      <c r="S28" s="40" t="inlineStr"/>
      <c r="T28" s="41" t="inlineStr">
        <is>
          <t>кг</t>
        </is>
      </c>
      <c r="U28" s="410" t="n">
        <v>0</v>
      </c>
      <c r="V28" s="411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76" t="n"/>
      <c r="F29" s="407" t="n">
        <v>0.33</v>
      </c>
      <c r="G29" s="38" t="n">
        <v>6</v>
      </c>
      <c r="H29" s="407" t="n">
        <v>1.98</v>
      </c>
      <c r="I29" s="407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19" t="inlineStr">
        <is>
          <t>Сосиски С соусом Барбекю Ядрена копоть Фикс.вес 0,33 ц/о мгс Ядрена копоть</t>
        </is>
      </c>
      <c r="N29" s="409" t="n"/>
      <c r="O29" s="409" t="n"/>
      <c r="P29" s="409" t="n"/>
      <c r="Q29" s="376" t="n"/>
      <c r="R29" s="40" t="inlineStr"/>
      <c r="S29" s="40" t="inlineStr"/>
      <c r="T29" s="41" t="inlineStr">
        <is>
          <t>кг</t>
        </is>
      </c>
      <c r="U29" s="410" t="n">
        <v>0</v>
      </c>
      <c r="V29" s="411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76" t="n"/>
      <c r="F30" s="407" t="n">
        <v>0.33</v>
      </c>
      <c r="G30" s="38" t="n">
        <v>6</v>
      </c>
      <c r="H30" s="407" t="n">
        <v>1.98</v>
      </c>
      <c r="I30" s="407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0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/>
      </c>
      <c r="N30" s="409" t="n"/>
      <c r="O30" s="409" t="n"/>
      <c r="P30" s="409" t="n"/>
      <c r="Q30" s="376" t="n"/>
      <c r="R30" s="40" t="inlineStr"/>
      <c r="S30" s="40" t="inlineStr"/>
      <c r="T30" s="41" t="inlineStr">
        <is>
          <t>кг</t>
        </is>
      </c>
      <c r="U30" s="410" t="n">
        <v>0</v>
      </c>
      <c r="V30" s="411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76" t="n"/>
      <c r="F31" s="407" t="n">
        <v>0.42</v>
      </c>
      <c r="G31" s="38" t="n">
        <v>6</v>
      </c>
      <c r="H31" s="407" t="n">
        <v>2.52</v>
      </c>
      <c r="I31" s="407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1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/>
      </c>
      <c r="N31" s="409" t="n"/>
      <c r="O31" s="409" t="n"/>
      <c r="P31" s="409" t="n"/>
      <c r="Q31" s="376" t="n"/>
      <c r="R31" s="40" t="inlineStr"/>
      <c r="S31" s="40" t="inlineStr"/>
      <c r="T31" s="41" t="inlineStr">
        <is>
          <t>кг</t>
        </is>
      </c>
      <c r="U31" s="410" t="n">
        <v>100.8</v>
      </c>
      <c r="V31" s="411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2" t="n"/>
      <c r="M32" s="413" t="inlineStr">
        <is>
          <t>Итого</t>
        </is>
      </c>
      <c r="N32" s="384" t="n"/>
      <c r="O32" s="384" t="n"/>
      <c r="P32" s="384" t="n"/>
      <c r="Q32" s="384" t="n"/>
      <c r="R32" s="384" t="n"/>
      <c r="S32" s="385" t="n"/>
      <c r="T32" s="43" t="inlineStr">
        <is>
          <t>кор</t>
        </is>
      </c>
      <c r="U32" s="414">
        <f>IFERROR(U26/H26,"0")+IFERROR(U27/H27,"0")+IFERROR(U28/H28,"0")+IFERROR(U29/H29,"0")+IFERROR(U30/H30,"0")+IFERROR(U31/H31,"0")</f>
        <v/>
      </c>
      <c r="V32" s="414">
        <f>IFERROR(V26/H26,"0")+IFERROR(V27/H27,"0")+IFERROR(V28/H28,"0")+IFERROR(V29/H29,"0")+IFERROR(V30/H30,"0")+IFERROR(V31/H31,"0")</f>
        <v/>
      </c>
      <c r="W32" s="414">
        <f>IFERROR(IF(W26="",0,W26),"0")+IFERROR(IF(W27="",0,W27),"0")+IFERROR(IF(W28="",0,W28),"0")+IFERROR(IF(W29="",0,W29),"0")+IFERROR(IF(W30="",0,W30),"0")+IFERROR(IF(W31="",0,W31),"0")</f>
        <v/>
      </c>
      <c r="X32" s="415" t="n"/>
      <c r="Y32" s="41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2" t="n"/>
      <c r="M33" s="413" t="inlineStr">
        <is>
          <t>Итого</t>
        </is>
      </c>
      <c r="N33" s="384" t="n"/>
      <c r="O33" s="384" t="n"/>
      <c r="P33" s="384" t="n"/>
      <c r="Q33" s="384" t="n"/>
      <c r="R33" s="384" t="n"/>
      <c r="S33" s="385" t="n"/>
      <c r="T33" s="43" t="inlineStr">
        <is>
          <t>кг</t>
        </is>
      </c>
      <c r="U33" s="414">
        <f>IFERROR(SUM(U26:U31),"0")</f>
        <v/>
      </c>
      <c r="V33" s="414">
        <f>IFERROR(SUM(V26:V31),"0")</f>
        <v/>
      </c>
      <c r="W33" s="43" t="n"/>
      <c r="X33" s="415" t="n"/>
      <c r="Y33" s="415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76" t="n"/>
      <c r="F35" s="407" t="n">
        <v>0.05</v>
      </c>
      <c r="G35" s="38" t="n">
        <v>12</v>
      </c>
      <c r="H35" s="407" t="n">
        <v>0.6</v>
      </c>
      <c r="I35" s="407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2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409" t="n"/>
      <c r="O35" s="409" t="n"/>
      <c r="P35" s="409" t="n"/>
      <c r="Q35" s="376" t="n"/>
      <c r="R35" s="40" t="inlineStr"/>
      <c r="S35" s="40" t="inlineStr"/>
      <c r="T35" s="41" t="inlineStr">
        <is>
          <t>кг</t>
        </is>
      </c>
      <c r="U35" s="410" t="n">
        <v>0</v>
      </c>
      <c r="V35" s="411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76" t="n"/>
      <c r="F36" s="407" t="n">
        <v>0.025</v>
      </c>
      <c r="G36" s="38" t="n">
        <v>10</v>
      </c>
      <c r="H36" s="407" t="n">
        <v>0.25</v>
      </c>
      <c r="I36" s="407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3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409" t="n"/>
      <c r="O36" s="409" t="n"/>
      <c r="P36" s="409" t="n"/>
      <c r="Q36" s="376" t="n"/>
      <c r="R36" s="40" t="inlineStr"/>
      <c r="S36" s="40" t="inlineStr"/>
      <c r="T36" s="41" t="inlineStr">
        <is>
          <t>кг</t>
        </is>
      </c>
      <c r="U36" s="410" t="n">
        <v>0</v>
      </c>
      <c r="V36" s="411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2" t="n"/>
      <c r="M37" s="413" t="inlineStr">
        <is>
          <t>Итого</t>
        </is>
      </c>
      <c r="N37" s="384" t="n"/>
      <c r="O37" s="384" t="n"/>
      <c r="P37" s="384" t="n"/>
      <c r="Q37" s="384" t="n"/>
      <c r="R37" s="384" t="n"/>
      <c r="S37" s="385" t="n"/>
      <c r="T37" s="43" t="inlineStr">
        <is>
          <t>кор</t>
        </is>
      </c>
      <c r="U37" s="414">
        <f>IFERROR(U35/H35,"0")+IFERROR(U36/H36,"0")</f>
        <v/>
      </c>
      <c r="V37" s="414">
        <f>IFERROR(V35/H35,"0")+IFERROR(V36/H36,"0")</f>
        <v/>
      </c>
      <c r="W37" s="414">
        <f>IFERROR(IF(W35="",0,W35),"0")+IFERROR(IF(W36="",0,W36),"0")</f>
        <v/>
      </c>
      <c r="X37" s="415" t="n"/>
      <c r="Y37" s="415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2" t="n"/>
      <c r="M38" s="413" t="inlineStr">
        <is>
          <t>Итого</t>
        </is>
      </c>
      <c r="N38" s="384" t="n"/>
      <c r="O38" s="384" t="n"/>
      <c r="P38" s="384" t="n"/>
      <c r="Q38" s="384" t="n"/>
      <c r="R38" s="384" t="n"/>
      <c r="S38" s="385" t="n"/>
      <c r="T38" s="43" t="inlineStr">
        <is>
          <t>кг</t>
        </is>
      </c>
      <c r="U38" s="414">
        <f>IFERROR(SUM(U35:U36),"0")</f>
        <v/>
      </c>
      <c r="V38" s="414">
        <f>IFERROR(SUM(V35:V36),"0")</f>
        <v/>
      </c>
      <c r="W38" s="43" t="n"/>
      <c r="X38" s="415" t="n"/>
      <c r="Y38" s="415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76" t="n"/>
      <c r="F40" s="407" t="n">
        <v>0.3</v>
      </c>
      <c r="G40" s="38" t="n">
        <v>6</v>
      </c>
      <c r="H40" s="407" t="n">
        <v>1.8</v>
      </c>
      <c r="I40" s="407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24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409" t="n"/>
      <c r="O40" s="409" t="n"/>
      <c r="P40" s="409" t="n"/>
      <c r="Q40" s="376" t="n"/>
      <c r="R40" s="40" t="inlineStr"/>
      <c r="S40" s="40" t="inlineStr"/>
      <c r="T40" s="41" t="inlineStr">
        <is>
          <t>кг</t>
        </is>
      </c>
      <c r="U40" s="410" t="n">
        <v>0</v>
      </c>
      <c r="V40" s="411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2" t="n"/>
      <c r="M41" s="413" t="inlineStr">
        <is>
          <t>Итого</t>
        </is>
      </c>
      <c r="N41" s="384" t="n"/>
      <c r="O41" s="384" t="n"/>
      <c r="P41" s="384" t="n"/>
      <c r="Q41" s="384" t="n"/>
      <c r="R41" s="384" t="n"/>
      <c r="S41" s="385" t="n"/>
      <c r="T41" s="43" t="inlineStr">
        <is>
          <t>кор</t>
        </is>
      </c>
      <c r="U41" s="414">
        <f>IFERROR(U40/H40,"0")</f>
        <v/>
      </c>
      <c r="V41" s="414">
        <f>IFERROR(V40/H40,"0")</f>
        <v/>
      </c>
      <c r="W41" s="414">
        <f>IFERROR(IF(W40="",0,W40),"0")</f>
        <v/>
      </c>
      <c r="X41" s="415" t="n"/>
      <c r="Y41" s="415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2" t="n"/>
      <c r="M42" s="413" t="inlineStr">
        <is>
          <t>Итого</t>
        </is>
      </c>
      <c r="N42" s="384" t="n"/>
      <c r="O42" s="384" t="n"/>
      <c r="P42" s="384" t="n"/>
      <c r="Q42" s="384" t="n"/>
      <c r="R42" s="384" t="n"/>
      <c r="S42" s="385" t="n"/>
      <c r="T42" s="43" t="inlineStr">
        <is>
          <t>кг</t>
        </is>
      </c>
      <c r="U42" s="414">
        <f>IFERROR(SUM(U40:U40),"0")</f>
        <v/>
      </c>
      <c r="V42" s="414">
        <f>IFERROR(SUM(V40:V40),"0")</f>
        <v/>
      </c>
      <c r="W42" s="43" t="n"/>
      <c r="X42" s="415" t="n"/>
      <c r="Y42" s="415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76" t="n"/>
      <c r="F44" s="407" t="n">
        <v>0.025</v>
      </c>
      <c r="G44" s="38" t="n">
        <v>10</v>
      </c>
      <c r="H44" s="407" t="n">
        <v>0.25</v>
      </c>
      <c r="I44" s="407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25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409" t="n"/>
      <c r="O44" s="409" t="n"/>
      <c r="P44" s="409" t="n"/>
      <c r="Q44" s="376" t="n"/>
      <c r="R44" s="40" t="inlineStr"/>
      <c r="S44" s="40" t="inlineStr"/>
      <c r="T44" s="41" t="inlineStr">
        <is>
          <t>кг</t>
        </is>
      </c>
      <c r="U44" s="410" t="n">
        <v>0</v>
      </c>
      <c r="V44" s="411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2" t="n"/>
      <c r="M45" s="413" t="inlineStr">
        <is>
          <t>Итого</t>
        </is>
      </c>
      <c r="N45" s="384" t="n"/>
      <c r="O45" s="384" t="n"/>
      <c r="P45" s="384" t="n"/>
      <c r="Q45" s="384" t="n"/>
      <c r="R45" s="384" t="n"/>
      <c r="S45" s="385" t="n"/>
      <c r="T45" s="43" t="inlineStr">
        <is>
          <t>кор</t>
        </is>
      </c>
      <c r="U45" s="414">
        <f>IFERROR(U44/H44,"0")</f>
        <v/>
      </c>
      <c r="V45" s="414">
        <f>IFERROR(V44/H44,"0")</f>
        <v/>
      </c>
      <c r="W45" s="414">
        <f>IFERROR(IF(W44="",0,W44),"0")</f>
        <v/>
      </c>
      <c r="X45" s="415" t="n"/>
      <c r="Y45" s="415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2" t="n"/>
      <c r="M46" s="413" t="inlineStr">
        <is>
          <t>Итого</t>
        </is>
      </c>
      <c r="N46" s="384" t="n"/>
      <c r="O46" s="384" t="n"/>
      <c r="P46" s="384" t="n"/>
      <c r="Q46" s="384" t="n"/>
      <c r="R46" s="384" t="n"/>
      <c r="S46" s="385" t="n"/>
      <c r="T46" s="43" t="inlineStr">
        <is>
          <t>кг</t>
        </is>
      </c>
      <c r="U46" s="414">
        <f>IFERROR(SUM(U44:U44),"0")</f>
        <v/>
      </c>
      <c r="V46" s="414">
        <f>IFERROR(SUM(V44:V44),"0")</f>
        <v/>
      </c>
      <c r="W46" s="43" t="n"/>
      <c r="X46" s="415" t="n"/>
      <c r="Y46" s="415" t="n"/>
    </row>
    <row r="47" ht="27.75" customHeight="1">
      <c r="A47" s="128" t="inlineStr">
        <is>
          <t>Вязанка</t>
        </is>
      </c>
      <c r="B47" s="406" t="n"/>
      <c r="C47" s="406" t="n"/>
      <c r="D47" s="406" t="n"/>
      <c r="E47" s="406" t="n"/>
      <c r="F47" s="406" t="n"/>
      <c r="G47" s="406" t="n"/>
      <c r="H47" s="406" t="n"/>
      <c r="I47" s="406" t="n"/>
      <c r="J47" s="406" t="n"/>
      <c r="K47" s="406" t="n"/>
      <c r="L47" s="406" t="n"/>
      <c r="M47" s="406" t="n"/>
      <c r="N47" s="406" t="n"/>
      <c r="O47" s="406" t="n"/>
      <c r="P47" s="406" t="n"/>
      <c r="Q47" s="406" t="n"/>
      <c r="R47" s="406" t="n"/>
      <c r="S47" s="406" t="n"/>
      <c r="T47" s="406" t="n"/>
      <c r="U47" s="406" t="n"/>
      <c r="V47" s="406" t="n"/>
      <c r="W47" s="406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76" t="n"/>
      <c r="F50" s="407" t="n">
        <v>1.35</v>
      </c>
      <c r="G50" s="38" t="n">
        <v>8</v>
      </c>
      <c r="H50" s="407" t="n">
        <v>10.8</v>
      </c>
      <c r="I50" s="407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26">
        <f>HYPERLINK("https://abiproduct.ru/products/Охлажденные/Вязанка/Столичная/Ветчины/P003234/","Ветчины «Филейская» Весовые Вектор ТМ «Вязанка»")</f>
        <v/>
      </c>
      <c r="N50" s="409" t="n"/>
      <c r="O50" s="409" t="n"/>
      <c r="P50" s="409" t="n"/>
      <c r="Q50" s="376" t="n"/>
      <c r="R50" s="40" t="inlineStr"/>
      <c r="S50" s="40" t="inlineStr"/>
      <c r="T50" s="41" t="inlineStr">
        <is>
          <t>кг</t>
        </is>
      </c>
      <c r="U50" s="410" t="n">
        <v>0</v>
      </c>
      <c r="V50" s="411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>
      <c r="A51" s="13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412" t="n"/>
      <c r="M51" s="413" t="inlineStr">
        <is>
          <t>Итого</t>
        </is>
      </c>
      <c r="N51" s="384" t="n"/>
      <c r="O51" s="384" t="n"/>
      <c r="P51" s="384" t="n"/>
      <c r="Q51" s="384" t="n"/>
      <c r="R51" s="384" t="n"/>
      <c r="S51" s="385" t="n"/>
      <c r="T51" s="43" t="inlineStr">
        <is>
          <t>кор</t>
        </is>
      </c>
      <c r="U51" s="414">
        <f>IFERROR(U50/H50,"0")</f>
        <v/>
      </c>
      <c r="V51" s="414">
        <f>IFERROR(V50/H50,"0")</f>
        <v/>
      </c>
      <c r="W51" s="414">
        <f>IFERROR(IF(W50="",0,W50),"0")</f>
        <v/>
      </c>
      <c r="X51" s="415" t="n"/>
      <c r="Y51" s="415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2" t="n"/>
      <c r="M52" s="413" t="inlineStr">
        <is>
          <t>Итого</t>
        </is>
      </c>
      <c r="N52" s="384" t="n"/>
      <c r="O52" s="384" t="n"/>
      <c r="P52" s="384" t="n"/>
      <c r="Q52" s="384" t="n"/>
      <c r="R52" s="384" t="n"/>
      <c r="S52" s="385" t="n"/>
      <c r="T52" s="43" t="inlineStr">
        <is>
          <t>кг</t>
        </is>
      </c>
      <c r="U52" s="414">
        <f>IFERROR(SUM(U50:U50),"0")</f>
        <v/>
      </c>
      <c r="V52" s="414">
        <f>IFERROR(SUM(V50:V50),"0")</f>
        <v/>
      </c>
      <c r="W52" s="43" t="n"/>
      <c r="X52" s="415" t="n"/>
      <c r="Y52" s="415" t="n"/>
    </row>
    <row r="53" ht="16.5" customHeight="1">
      <c r="A53" s="129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29" t="n"/>
      <c r="Y53" s="129" t="n"/>
    </row>
    <row r="54" ht="14.25" customHeight="1">
      <c r="A54" s="1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30" t="n"/>
      <c r="Y54" s="13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131" t="n">
        <v>4680115881426</v>
      </c>
      <c r="E55" s="376" t="n"/>
      <c r="F55" s="407" t="n">
        <v>1.35</v>
      </c>
      <c r="G55" s="38" t="n">
        <v>8</v>
      </c>
      <c r="H55" s="407" t="n">
        <v>10.8</v>
      </c>
      <c r="I55" s="407" t="n">
        <v>11.28</v>
      </c>
      <c r="J55" s="38" t="n">
        <v>56</v>
      </c>
      <c r="K55" s="39" t="inlineStr">
        <is>
          <t>СК1</t>
        </is>
      </c>
      <c r="L55" s="38" t="n">
        <v>50</v>
      </c>
      <c r="M55" s="427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/>
      </c>
      <c r="N55" s="409" t="n"/>
      <c r="O55" s="409" t="n"/>
      <c r="P55" s="409" t="n"/>
      <c r="Q55" s="376" t="n"/>
      <c r="R55" s="40" t="inlineStr"/>
      <c r="S55" s="40" t="inlineStr"/>
      <c r="T55" s="41" t="inlineStr">
        <is>
          <t>кг</t>
        </is>
      </c>
      <c r="U55" s="410" t="n">
        <v>0</v>
      </c>
      <c r="V55" s="411">
        <f>IFERROR(IF(U55="",0,CEILING((U55/$H55),1)*$H55),"")</f>
        <v/>
      </c>
      <c r="W55" s="42">
        <f>IFERROR(IF(V55=0,"",ROUNDUP(V55/H55,0)*0.02175),"")</f>
        <v/>
      </c>
      <c r="X55" s="69" t="inlineStr"/>
      <c r="Y55" s="70" t="inlineStr"/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131" t="n">
        <v>4680115881419</v>
      </c>
      <c r="E56" s="376" t="n"/>
      <c r="F56" s="407" t="n">
        <v>0.45</v>
      </c>
      <c r="G56" s="38" t="n">
        <v>10</v>
      </c>
      <c r="H56" s="407" t="n">
        <v>4.5</v>
      </c>
      <c r="I56" s="407" t="n">
        <v>4.74</v>
      </c>
      <c r="J56" s="38" t="n">
        <v>120</v>
      </c>
      <c r="K56" s="39" t="inlineStr">
        <is>
          <t>СК1</t>
        </is>
      </c>
      <c r="L56" s="38" t="n">
        <v>50</v>
      </c>
      <c r="M56" s="428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/>
      </c>
      <c r="N56" s="409" t="n"/>
      <c r="O56" s="409" t="n"/>
      <c r="P56" s="409" t="n"/>
      <c r="Q56" s="376" t="n"/>
      <c r="R56" s="40" t="inlineStr"/>
      <c r="S56" s="40" t="inlineStr"/>
      <c r="T56" s="41" t="inlineStr">
        <is>
          <t>кг</t>
        </is>
      </c>
      <c r="U56" s="410" t="n">
        <v>0</v>
      </c>
      <c r="V56" s="411">
        <f>IFERROR(IF(U56="",0,CEILING((U56/$H56),1)*$H56),"")</f>
        <v/>
      </c>
      <c r="W56" s="42">
        <f>IFERROR(IF(V56=0,"",ROUNDUP(V56/H56,0)*0.00937),"")</f>
        <v/>
      </c>
      <c r="X56" s="69" t="inlineStr"/>
      <c r="Y56" s="70" t="inlineStr"/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131" t="n">
        <v>4680115881525</v>
      </c>
      <c r="E57" s="376" t="n"/>
      <c r="F57" s="407" t="n">
        <v>0.4</v>
      </c>
      <c r="G57" s="38" t="n">
        <v>10</v>
      </c>
      <c r="H57" s="407" t="n">
        <v>4</v>
      </c>
      <c r="I57" s="407" t="n">
        <v>4.24</v>
      </c>
      <c r="J57" s="38" t="n">
        <v>120</v>
      </c>
      <c r="K57" s="39" t="inlineStr">
        <is>
          <t>СК1</t>
        </is>
      </c>
      <c r="L57" s="38" t="n">
        <v>50</v>
      </c>
      <c r="M57" s="429" t="inlineStr">
        <is>
          <t>Колбаса вареная Филейская ТМ Вязанка ТС Классическая полиамид ф/в 0,4 кг</t>
        </is>
      </c>
      <c r="N57" s="409" t="n"/>
      <c r="O57" s="409" t="n"/>
      <c r="P57" s="409" t="n"/>
      <c r="Q57" s="376" t="n"/>
      <c r="R57" s="40" t="inlineStr"/>
      <c r="S57" s="40" t="inlineStr"/>
      <c r="T57" s="41" t="inlineStr">
        <is>
          <t>кг</t>
        </is>
      </c>
      <c r="U57" s="410" t="n">
        <v>0</v>
      </c>
      <c r="V57" s="411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>
      <c r="A58" s="13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412" t="n"/>
      <c r="M58" s="413" t="inlineStr">
        <is>
          <t>Итого</t>
        </is>
      </c>
      <c r="N58" s="384" t="n"/>
      <c r="O58" s="384" t="n"/>
      <c r="P58" s="384" t="n"/>
      <c r="Q58" s="384" t="n"/>
      <c r="R58" s="384" t="n"/>
      <c r="S58" s="385" t="n"/>
      <c r="T58" s="43" t="inlineStr">
        <is>
          <t>кор</t>
        </is>
      </c>
      <c r="U58" s="414">
        <f>IFERROR(U55/H55,"0")+IFERROR(U56/H56,"0")+IFERROR(U57/H57,"0")</f>
        <v/>
      </c>
      <c r="V58" s="414">
        <f>IFERROR(V55/H55,"0")+IFERROR(V56/H56,"0")+IFERROR(V57/H57,"0")</f>
        <v/>
      </c>
      <c r="W58" s="414">
        <f>IFERROR(IF(W55="",0,W55),"0")+IFERROR(IF(W56="",0,W56),"0")+IFERROR(IF(W57="",0,W57),"0")</f>
        <v/>
      </c>
      <c r="X58" s="415" t="n"/>
      <c r="Y58" s="415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2" t="n"/>
      <c r="M59" s="413" t="inlineStr">
        <is>
          <t>Итого</t>
        </is>
      </c>
      <c r="N59" s="384" t="n"/>
      <c r="O59" s="384" t="n"/>
      <c r="P59" s="384" t="n"/>
      <c r="Q59" s="384" t="n"/>
      <c r="R59" s="384" t="n"/>
      <c r="S59" s="385" t="n"/>
      <c r="T59" s="43" t="inlineStr">
        <is>
          <t>кг</t>
        </is>
      </c>
      <c r="U59" s="414">
        <f>IFERROR(SUM(U55:U57),"0")</f>
        <v/>
      </c>
      <c r="V59" s="414">
        <f>IFERROR(SUM(V55:V57),"0")</f>
        <v/>
      </c>
      <c r="W59" s="43" t="n"/>
      <c r="X59" s="415" t="n"/>
      <c r="Y59" s="415" t="n"/>
    </row>
    <row r="60" ht="16.5" customHeight="1">
      <c r="A60" s="129" t="inlineStr">
        <is>
          <t>Вязанка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29" t="n"/>
      <c r="Y60" s="129" t="n"/>
    </row>
    <row r="61" ht="14.25" customHeight="1">
      <c r="A61" s="130" t="inlineStr">
        <is>
          <t>Вареные колбасы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30" t="n"/>
      <c r="Y61" s="130" t="n"/>
    </row>
    <row r="62" ht="27" customHeight="1">
      <c r="A62" s="64" t="inlineStr">
        <is>
          <t>SU000124</t>
        </is>
      </c>
      <c r="B62" s="64" t="inlineStr">
        <is>
          <t>P002478</t>
        </is>
      </c>
      <c r="C62" s="37" t="n">
        <v>4301011191</v>
      </c>
      <c r="D62" s="131" t="n">
        <v>4607091382945</v>
      </c>
      <c r="E62" s="376" t="n"/>
      <c r="F62" s="407" t="n">
        <v>1.35</v>
      </c>
      <c r="G62" s="38" t="n">
        <v>8</v>
      </c>
      <c r="H62" s="407" t="n">
        <v>10.8</v>
      </c>
      <c r="I62" s="407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430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/>
      </c>
      <c r="N62" s="409" t="n"/>
      <c r="O62" s="409" t="n"/>
      <c r="P62" s="409" t="n"/>
      <c r="Q62" s="376" t="n"/>
      <c r="R62" s="40" t="inlineStr"/>
      <c r="S62" s="40" t="inlineStr"/>
      <c r="T62" s="41" t="inlineStr">
        <is>
          <t>кг</t>
        </is>
      </c>
      <c r="U62" s="410" t="n">
        <v>0</v>
      </c>
      <c r="V62" s="411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</row>
    <row r="63" ht="27" customHeight="1">
      <c r="A63" s="64" t="inlineStr">
        <is>
          <t>SU000722</t>
        </is>
      </c>
      <c r="B63" s="64" t="inlineStr">
        <is>
          <t>P003011</t>
        </is>
      </c>
      <c r="C63" s="37" t="n">
        <v>4301011380</v>
      </c>
      <c r="D63" s="131" t="n">
        <v>4607091385670</v>
      </c>
      <c r="E63" s="376" t="n"/>
      <c r="F63" s="407" t="n">
        <v>1.35</v>
      </c>
      <c r="G63" s="38" t="n">
        <v>8</v>
      </c>
      <c r="H63" s="407" t="n">
        <v>10.8</v>
      </c>
      <c r="I63" s="407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1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/>
      </c>
      <c r="N63" s="409" t="n"/>
      <c r="O63" s="409" t="n"/>
      <c r="P63" s="409" t="n"/>
      <c r="Q63" s="376" t="n"/>
      <c r="R63" s="40" t="inlineStr"/>
      <c r="S63" s="40" t="inlineStr"/>
      <c r="T63" s="41" t="inlineStr">
        <is>
          <t>кг</t>
        </is>
      </c>
      <c r="U63" s="410" t="n">
        <v>0</v>
      </c>
      <c r="V63" s="411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131" t="n">
        <v>4680115881327</v>
      </c>
      <c r="E64" s="376" t="n"/>
      <c r="F64" s="407" t="n">
        <v>1.35</v>
      </c>
      <c r="G64" s="38" t="n">
        <v>8</v>
      </c>
      <c r="H64" s="407" t="n">
        <v>10.8</v>
      </c>
      <c r="I64" s="407" t="n">
        <v>11.28</v>
      </c>
      <c r="J64" s="38" t="n">
        <v>56</v>
      </c>
      <c r="K64" s="39" t="inlineStr">
        <is>
          <t>СК4</t>
        </is>
      </c>
      <c r="L64" s="38" t="n">
        <v>50</v>
      </c>
      <c r="M64" s="432">
        <f>HYPERLINK("https://abiproduct.ru/products/Охлажденные/Вязанка/Вязанка/Вареные колбасы/P003239/","Вареные колбасы Молокуша Вязанка Вес п/а Вязанка")</f>
        <v/>
      </c>
      <c r="N64" s="409" t="n"/>
      <c r="O64" s="409" t="n"/>
      <c r="P64" s="409" t="n"/>
      <c r="Q64" s="376" t="n"/>
      <c r="R64" s="40" t="inlineStr"/>
      <c r="S64" s="40" t="inlineStr"/>
      <c r="T64" s="41" t="inlineStr">
        <is>
          <t>кг</t>
        </is>
      </c>
      <c r="U64" s="410" t="n">
        <v>0</v>
      </c>
      <c r="V64" s="411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16.5" customHeight="1">
      <c r="A65" s="64" t="inlineStr">
        <is>
          <t>SU001904</t>
        </is>
      </c>
      <c r="B65" s="64" t="inlineStr">
        <is>
          <t>P001681</t>
        </is>
      </c>
      <c r="C65" s="37" t="n">
        <v>4301011348</v>
      </c>
      <c r="D65" s="131" t="n">
        <v>4607091388312</v>
      </c>
      <c r="E65" s="376" t="n"/>
      <c r="F65" s="407" t="n">
        <v>1.35</v>
      </c>
      <c r="G65" s="38" t="n">
        <v>8</v>
      </c>
      <c r="H65" s="407" t="n">
        <v>10.8</v>
      </c>
      <c r="I65" s="407" t="n">
        <v>11.28</v>
      </c>
      <c r="J65" s="38" t="n">
        <v>56</v>
      </c>
      <c r="K65" s="39" t="inlineStr">
        <is>
          <t>СК1</t>
        </is>
      </c>
      <c r="L65" s="38" t="n">
        <v>45</v>
      </c>
      <c r="M65" s="433">
        <f>HYPERLINK("https://abiproduct.ru/products/Охлажденные/Вязанка/Вязанка/Вареные колбасы/P001681/","Вареные колбасы с индейкой Вязанка Весовые вектор Вязанка")</f>
        <v/>
      </c>
      <c r="N65" s="409" t="n"/>
      <c r="O65" s="409" t="n"/>
      <c r="P65" s="409" t="n"/>
      <c r="Q65" s="376" t="n"/>
      <c r="R65" s="40" t="inlineStr"/>
      <c r="S65" s="40" t="inlineStr"/>
      <c r="T65" s="41" t="inlineStr">
        <is>
          <t>кг</t>
        </is>
      </c>
      <c r="U65" s="410" t="n">
        <v>0</v>
      </c>
      <c r="V65" s="411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131" t="n">
        <v>4680115882133</v>
      </c>
      <c r="E66" s="376" t="n"/>
      <c r="F66" s="407" t="n">
        <v>1.35</v>
      </c>
      <c r="G66" s="38" t="n">
        <v>8</v>
      </c>
      <c r="H66" s="407" t="n">
        <v>10.8</v>
      </c>
      <c r="I66" s="407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434" t="inlineStr">
        <is>
          <t>Вареные колбасы "Сливушка" Вес П/а ТМ "Вязанка"</t>
        </is>
      </c>
      <c r="N66" s="409" t="n"/>
      <c r="O66" s="409" t="n"/>
      <c r="P66" s="409" t="n"/>
      <c r="Q66" s="376" t="n"/>
      <c r="R66" s="40" t="inlineStr"/>
      <c r="S66" s="40" t="inlineStr"/>
      <c r="T66" s="41" t="inlineStr">
        <is>
          <t>кг</t>
        </is>
      </c>
      <c r="U66" s="410" t="n">
        <v>0</v>
      </c>
      <c r="V66" s="411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131" t="n">
        <v>4607091382952</v>
      </c>
      <c r="E67" s="376" t="n"/>
      <c r="F67" s="407" t="n">
        <v>0.5</v>
      </c>
      <c r="G67" s="38" t="n">
        <v>6</v>
      </c>
      <c r="H67" s="407" t="n">
        <v>3</v>
      </c>
      <c r="I67" s="407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435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409" t="n"/>
      <c r="O67" s="409" t="n"/>
      <c r="P67" s="409" t="n"/>
      <c r="Q67" s="376" t="n"/>
      <c r="R67" s="40" t="inlineStr"/>
      <c r="S67" s="40" t="inlineStr"/>
      <c r="T67" s="41" t="inlineStr">
        <is>
          <t>кг</t>
        </is>
      </c>
      <c r="U67" s="410" t="n">
        <v>0</v>
      </c>
      <c r="V67" s="411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131" t="n">
        <v>4607091385687</v>
      </c>
      <c r="E68" s="376" t="n"/>
      <c r="F68" s="407" t="n">
        <v>0.4</v>
      </c>
      <c r="G68" s="38" t="n">
        <v>10</v>
      </c>
      <c r="H68" s="407" t="n">
        <v>4</v>
      </c>
      <c r="I68" s="407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436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/>
      </c>
      <c r="N68" s="409" t="n"/>
      <c r="O68" s="409" t="n"/>
      <c r="P68" s="409" t="n"/>
      <c r="Q68" s="376" t="n"/>
      <c r="R68" s="40" t="inlineStr"/>
      <c r="S68" s="40" t="inlineStr"/>
      <c r="T68" s="41" t="inlineStr">
        <is>
          <t>кг</t>
        </is>
      </c>
      <c r="U68" s="410" t="n">
        <v>0</v>
      </c>
      <c r="V68" s="411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131" t="n">
        <v>4607091384604</v>
      </c>
      <c r="E69" s="376" t="n"/>
      <c r="F69" s="407" t="n">
        <v>0.4</v>
      </c>
      <c r="G69" s="38" t="n">
        <v>10</v>
      </c>
      <c r="H69" s="407" t="n">
        <v>4</v>
      </c>
      <c r="I69" s="407" t="n">
        <v>4.24</v>
      </c>
      <c r="J69" s="38" t="n">
        <v>120</v>
      </c>
      <c r="K69" s="39" t="inlineStr">
        <is>
          <t>СК1</t>
        </is>
      </c>
      <c r="L69" s="38" t="n">
        <v>50</v>
      </c>
      <c r="M69" s="437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/>
      </c>
      <c r="N69" s="409" t="n"/>
      <c r="O69" s="409" t="n"/>
      <c r="P69" s="409" t="n"/>
      <c r="Q69" s="376" t="n"/>
      <c r="R69" s="40" t="inlineStr"/>
      <c r="S69" s="40" t="inlineStr"/>
      <c r="T69" s="41" t="inlineStr">
        <is>
          <t>кг</t>
        </is>
      </c>
      <c r="U69" s="410" t="n">
        <v>0</v>
      </c>
      <c r="V69" s="411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131" t="n">
        <v>4680115880283</v>
      </c>
      <c r="E70" s="376" t="n"/>
      <c r="F70" s="407" t="n">
        <v>0.6</v>
      </c>
      <c r="G70" s="38" t="n">
        <v>8</v>
      </c>
      <c r="H70" s="407" t="n">
        <v>4.8</v>
      </c>
      <c r="I70" s="407" t="n">
        <v>5.04</v>
      </c>
      <c r="J70" s="38" t="n">
        <v>120</v>
      </c>
      <c r="K70" s="39" t="inlineStr">
        <is>
          <t>СК1</t>
        </is>
      </c>
      <c r="L70" s="38" t="n">
        <v>45</v>
      </c>
      <c r="M70" s="438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/>
      </c>
      <c r="N70" s="409" t="n"/>
      <c r="O70" s="409" t="n"/>
      <c r="P70" s="409" t="n"/>
      <c r="Q70" s="376" t="n"/>
      <c r="R70" s="40" t="inlineStr"/>
      <c r="S70" s="40" t="inlineStr"/>
      <c r="T70" s="41" t="inlineStr">
        <is>
          <t>кг</t>
        </is>
      </c>
      <c r="U70" s="410" t="n">
        <v>0</v>
      </c>
      <c r="V70" s="411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SU000084</t>
        </is>
      </c>
      <c r="B71" s="64" t="inlineStr">
        <is>
          <t>P003074</t>
        </is>
      </c>
      <c r="C71" s="37" t="n">
        <v>4301011414</v>
      </c>
      <c r="D71" s="131" t="n">
        <v>4607091381986</v>
      </c>
      <c r="E71" s="376" t="n"/>
      <c r="F71" s="407" t="n">
        <v>0.5</v>
      </c>
      <c r="G71" s="38" t="n">
        <v>10</v>
      </c>
      <c r="H71" s="407" t="n">
        <v>5</v>
      </c>
      <c r="I71" s="407" t="n">
        <v>5.24</v>
      </c>
      <c r="J71" s="38" t="n">
        <v>120</v>
      </c>
      <c r="K71" s="39" t="inlineStr">
        <is>
          <t>СК1</t>
        </is>
      </c>
      <c r="L71" s="38" t="n">
        <v>45</v>
      </c>
      <c r="M71" s="439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1" s="409" t="n"/>
      <c r="O71" s="409" t="n"/>
      <c r="P71" s="409" t="n"/>
      <c r="Q71" s="376" t="n"/>
      <c r="R71" s="40" t="inlineStr"/>
      <c r="S71" s="40" t="inlineStr"/>
      <c r="T71" s="41" t="inlineStr">
        <is>
          <t>кг</t>
        </is>
      </c>
      <c r="U71" s="410" t="n">
        <v>0</v>
      </c>
      <c r="V71" s="411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27" customHeight="1">
      <c r="A72" s="64" t="inlineStr">
        <is>
          <t>SU001905</t>
        </is>
      </c>
      <c r="B72" s="64" t="inlineStr">
        <is>
          <t>P001685</t>
        </is>
      </c>
      <c r="C72" s="37" t="n">
        <v>4301011352</v>
      </c>
      <c r="D72" s="131" t="n">
        <v>4607091388466</v>
      </c>
      <c r="E72" s="376" t="n"/>
      <c r="F72" s="407" t="n">
        <v>0.45</v>
      </c>
      <c r="G72" s="38" t="n">
        <v>6</v>
      </c>
      <c r="H72" s="407" t="n">
        <v>2.7</v>
      </c>
      <c r="I72" s="407" t="n">
        <v>2.9</v>
      </c>
      <c r="J72" s="38" t="n">
        <v>156</v>
      </c>
      <c r="K72" s="39" t="inlineStr">
        <is>
          <t>СК3</t>
        </is>
      </c>
      <c r="L72" s="38" t="n">
        <v>45</v>
      </c>
      <c r="M72" s="440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/>
      </c>
      <c r="N72" s="409" t="n"/>
      <c r="O72" s="409" t="n"/>
      <c r="P72" s="409" t="n"/>
      <c r="Q72" s="376" t="n"/>
      <c r="R72" s="40" t="inlineStr"/>
      <c r="S72" s="40" t="inlineStr"/>
      <c r="T72" s="41" t="inlineStr">
        <is>
          <t>кг</t>
        </is>
      </c>
      <c r="U72" s="410" t="n">
        <v>0</v>
      </c>
      <c r="V72" s="411">
        <f>IFERROR(IF(U72="",0,CEILING((U72/$H72),1)*$H72),"")</f>
        <v/>
      </c>
      <c r="W72" s="42">
        <f>IFERROR(IF(V72=0,"",ROUNDUP(V72/H72,0)*0.00753),"")</f>
        <v/>
      </c>
      <c r="X72" s="69" t="inlineStr"/>
      <c r="Y72" s="70" t="inlineStr"/>
    </row>
    <row r="73" ht="27" customHeight="1">
      <c r="A73" s="64" t="inlineStr">
        <is>
          <t>SU002733</t>
        </is>
      </c>
      <c r="B73" s="64" t="inlineStr">
        <is>
          <t>P003102</t>
        </is>
      </c>
      <c r="C73" s="37" t="n">
        <v>4301011417</v>
      </c>
      <c r="D73" s="131" t="n">
        <v>4680115880269</v>
      </c>
      <c r="E73" s="376" t="n"/>
      <c r="F73" s="407" t="n">
        <v>0.375</v>
      </c>
      <c r="G73" s="38" t="n">
        <v>10</v>
      </c>
      <c r="H73" s="407" t="n">
        <v>3.75</v>
      </c>
      <c r="I73" s="407" t="n">
        <v>3.99</v>
      </c>
      <c r="J73" s="38" t="n">
        <v>120</v>
      </c>
      <c r="K73" s="39" t="inlineStr">
        <is>
          <t>СК3</t>
        </is>
      </c>
      <c r="L73" s="38" t="n">
        <v>50</v>
      </c>
      <c r="M73" s="441">
        <f>HYPERLINK("https://abiproduct.ru/products/Охлажденные/Вязанка/Вязанка/Вареные колбасы/P003102/","Вареные колбасы Сливушка Вязанка Фикс.вес 0,375 П/а Вязанка")</f>
        <v/>
      </c>
      <c r="N73" s="409" t="n"/>
      <c r="O73" s="409" t="n"/>
      <c r="P73" s="409" t="n"/>
      <c r="Q73" s="376" t="n"/>
      <c r="R73" s="40" t="inlineStr"/>
      <c r="S73" s="40" t="inlineStr"/>
      <c r="T73" s="41" t="inlineStr">
        <is>
          <t>кг</t>
        </is>
      </c>
      <c r="U73" s="410" t="n">
        <v>0</v>
      </c>
      <c r="V73" s="411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16.5" customHeight="1">
      <c r="A74" s="64" t="inlineStr">
        <is>
          <t>SU002734</t>
        </is>
      </c>
      <c r="B74" s="64" t="inlineStr">
        <is>
          <t>P003103</t>
        </is>
      </c>
      <c r="C74" s="37" t="n">
        <v>4301011415</v>
      </c>
      <c r="D74" s="131" t="n">
        <v>4680115880429</v>
      </c>
      <c r="E74" s="376" t="n"/>
      <c r="F74" s="407" t="n">
        <v>0.45</v>
      </c>
      <c r="G74" s="38" t="n">
        <v>10</v>
      </c>
      <c r="H74" s="407" t="n">
        <v>4.5</v>
      </c>
      <c r="I74" s="407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442">
        <f>HYPERLINK("https://abiproduct.ru/products/Охлажденные/Вязанка/Вязанка/Вареные колбасы/P003103/","Вареные колбасы Сливушка Вязанка Фикс.вес 0,45 П/а Вязанка")</f>
        <v/>
      </c>
      <c r="N74" s="409" t="n"/>
      <c r="O74" s="409" t="n"/>
      <c r="P74" s="409" t="n"/>
      <c r="Q74" s="376" t="n"/>
      <c r="R74" s="40" t="inlineStr"/>
      <c r="S74" s="40" t="inlineStr"/>
      <c r="T74" s="41" t="inlineStr">
        <is>
          <t>кг</t>
        </is>
      </c>
      <c r="U74" s="410" t="n">
        <v>0</v>
      </c>
      <c r="V74" s="411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16.5" customHeight="1">
      <c r="A75" s="64" t="inlineStr">
        <is>
          <t>SU002827</t>
        </is>
      </c>
      <c r="B75" s="64" t="inlineStr">
        <is>
          <t>P003233</t>
        </is>
      </c>
      <c r="C75" s="37" t="n">
        <v>4301011462</v>
      </c>
      <c r="D75" s="131" t="n">
        <v>4680115881457</v>
      </c>
      <c r="E75" s="376" t="n"/>
      <c r="F75" s="407" t="n">
        <v>0.75</v>
      </c>
      <c r="G75" s="38" t="n">
        <v>6</v>
      </c>
      <c r="H75" s="407" t="n">
        <v>4.5</v>
      </c>
      <c r="I75" s="407" t="n">
        <v>4.74</v>
      </c>
      <c r="J75" s="38" t="n">
        <v>120</v>
      </c>
      <c r="K75" s="39" t="inlineStr">
        <is>
          <t>СК3</t>
        </is>
      </c>
      <c r="L75" s="38" t="n">
        <v>50</v>
      </c>
      <c r="M75" s="443">
        <f>HYPERLINK("https://abiproduct.ru/products/Охлажденные/Вязанка/Вязанка/Вареные колбасы/P003233/","Вареные колбасы Сливушка Вязанка Фикс.вес 0,75 П/а Вязанка")</f>
        <v/>
      </c>
      <c r="N75" s="409" t="n"/>
      <c r="O75" s="409" t="n"/>
      <c r="P75" s="409" t="n"/>
      <c r="Q75" s="376" t="n"/>
      <c r="R75" s="40" t="inlineStr"/>
      <c r="S75" s="40" t="inlineStr"/>
      <c r="T75" s="41" t="inlineStr">
        <is>
          <t>кг</t>
        </is>
      </c>
      <c r="U75" s="410" t="n">
        <v>0</v>
      </c>
      <c r="V75" s="411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</row>
    <row r="76">
      <c r="A76" s="13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412" t="n"/>
      <c r="M76" s="413" t="inlineStr">
        <is>
          <t>Итого</t>
        </is>
      </c>
      <c r="N76" s="384" t="n"/>
      <c r="O76" s="384" t="n"/>
      <c r="P76" s="384" t="n"/>
      <c r="Q76" s="384" t="n"/>
      <c r="R76" s="384" t="n"/>
      <c r="S76" s="385" t="n"/>
      <c r="T76" s="43" t="inlineStr">
        <is>
          <t>кор</t>
        </is>
      </c>
      <c r="U76" s="41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/>
      </c>
      <c r="V76" s="41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/>
      </c>
      <c r="W76" s="41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/>
      </c>
      <c r="X76" s="415" t="n"/>
      <c r="Y76" s="415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412" t="n"/>
      <c r="M77" s="413" t="inlineStr">
        <is>
          <t>Итого</t>
        </is>
      </c>
      <c r="N77" s="384" t="n"/>
      <c r="O77" s="384" t="n"/>
      <c r="P77" s="384" t="n"/>
      <c r="Q77" s="384" t="n"/>
      <c r="R77" s="384" t="n"/>
      <c r="S77" s="385" t="n"/>
      <c r="T77" s="43" t="inlineStr">
        <is>
          <t>кг</t>
        </is>
      </c>
      <c r="U77" s="414">
        <f>IFERROR(SUM(U62:U75),"0")</f>
        <v/>
      </c>
      <c r="V77" s="414">
        <f>IFERROR(SUM(V62:V75),"0")</f>
        <v/>
      </c>
      <c r="W77" s="43" t="n"/>
      <c r="X77" s="415" t="n"/>
      <c r="Y77" s="415" t="n"/>
    </row>
    <row r="78" ht="14.25" customHeight="1">
      <c r="A78" s="130" t="inlineStr">
        <is>
          <t>Ветчины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30" t="n"/>
      <c r="Y78" s="130" t="n"/>
    </row>
    <row r="79" ht="16.5" customHeight="1">
      <c r="A79" s="64" t="inlineStr">
        <is>
          <t>SU001944</t>
        </is>
      </c>
      <c r="B79" s="64" t="inlineStr">
        <is>
          <t>P001620</t>
        </is>
      </c>
      <c r="C79" s="37" t="n">
        <v>4301020204</v>
      </c>
      <c r="D79" s="131" t="n">
        <v>4607091388442</v>
      </c>
      <c r="E79" s="376" t="n"/>
      <c r="F79" s="407" t="n">
        <v>1.35</v>
      </c>
      <c r="G79" s="38" t="n">
        <v>8</v>
      </c>
      <c r="H79" s="407" t="n">
        <v>10.8</v>
      </c>
      <c r="I79" s="407" t="n">
        <v>11.28</v>
      </c>
      <c r="J79" s="38" t="n">
        <v>56</v>
      </c>
      <c r="K79" s="39" t="inlineStr">
        <is>
          <t>СК1</t>
        </is>
      </c>
      <c r="L79" s="38" t="n">
        <v>45</v>
      </c>
      <c r="M79" s="444">
        <f>HYPERLINK("https://abiproduct.ru/products/Охлажденные/Вязанка/Вязанка/Ветчины/P001620/","Ветчины Вязанка с индейкой Вязанка Весовые Вектор Вязанка")</f>
        <v/>
      </c>
      <c r="N79" s="409" t="n"/>
      <c r="O79" s="409" t="n"/>
      <c r="P79" s="409" t="n"/>
      <c r="Q79" s="376" t="n"/>
      <c r="R79" s="40" t="inlineStr"/>
      <c r="S79" s="40" t="inlineStr"/>
      <c r="T79" s="41" t="inlineStr">
        <is>
          <t>кг</t>
        </is>
      </c>
      <c r="U79" s="410" t="n">
        <v>0</v>
      </c>
      <c r="V79" s="411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131" t="n">
        <v>4607091384789</v>
      </c>
      <c r="E80" s="376" t="n"/>
      <c r="F80" s="407" t="n">
        <v>1</v>
      </c>
      <c r="G80" s="38" t="n">
        <v>6</v>
      </c>
      <c r="H80" s="407" t="n">
        <v>6</v>
      </c>
      <c r="I80" s="407" t="n">
        <v>6.36</v>
      </c>
      <c r="J80" s="38" t="n">
        <v>104</v>
      </c>
      <c r="K80" s="39" t="inlineStr">
        <is>
          <t>СК1</t>
        </is>
      </c>
      <c r="L80" s="38" t="n">
        <v>45</v>
      </c>
      <c r="M80" s="445" t="inlineStr">
        <is>
          <t>Ветчины Запекуша с сочным окороком Вязанка Весовые П/а Вязанка</t>
        </is>
      </c>
      <c r="N80" s="409" t="n"/>
      <c r="O80" s="409" t="n"/>
      <c r="P80" s="409" t="n"/>
      <c r="Q80" s="376" t="n"/>
      <c r="R80" s="40" t="inlineStr"/>
      <c r="S80" s="40" t="inlineStr"/>
      <c r="T80" s="41" t="inlineStr">
        <is>
          <t>кг</t>
        </is>
      </c>
      <c r="U80" s="410" t="n">
        <v>0</v>
      </c>
      <c r="V80" s="411">
        <f>IFERROR(IF(U80="",0,CEILING((U80/$H80),1)*$H80),"")</f>
        <v/>
      </c>
      <c r="W80" s="42">
        <f>IFERROR(IF(V80=0,"",ROUNDUP(V80/H80,0)*0.01196),"")</f>
        <v/>
      </c>
      <c r="X80" s="69" t="inlineStr"/>
      <c r="Y80" s="70" t="inlineStr"/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131" t="n">
        <v>4680115881488</v>
      </c>
      <c r="E81" s="376" t="n"/>
      <c r="F81" s="407" t="n">
        <v>1.35</v>
      </c>
      <c r="G81" s="38" t="n">
        <v>8</v>
      </c>
      <c r="H81" s="407" t="n">
        <v>10.8</v>
      </c>
      <c r="I81" s="407" t="n">
        <v>11.28</v>
      </c>
      <c r="J81" s="38" t="n">
        <v>48</v>
      </c>
      <c r="K81" s="39" t="inlineStr">
        <is>
          <t>СК1</t>
        </is>
      </c>
      <c r="L81" s="38" t="n">
        <v>50</v>
      </c>
      <c r="M81" s="446">
        <f>HYPERLINK("https://abiproduct.ru/products/Охлажденные/Вязанка/Вязанка/Ветчины/P003236/","Ветчины Сливушка с индейкой Вязанка вес П/а Вязанка")</f>
        <v/>
      </c>
      <c r="N81" s="409" t="n"/>
      <c r="O81" s="409" t="n"/>
      <c r="P81" s="409" t="n"/>
      <c r="Q81" s="376" t="n"/>
      <c r="R81" s="40" t="inlineStr"/>
      <c r="S81" s="40" t="inlineStr"/>
      <c r="T81" s="41" t="inlineStr">
        <is>
          <t>кг</t>
        </is>
      </c>
      <c r="U81" s="410" t="n">
        <v>0</v>
      </c>
      <c r="V81" s="411">
        <f>IFERROR(IF(U81="",0,CEILING((U81/$H81),1)*$H81),"")</f>
        <v/>
      </c>
      <c r="W81" s="42">
        <f>IFERROR(IF(V81=0,"",ROUNDUP(V81/H81,0)*0.02175),"")</f>
        <v/>
      </c>
      <c r="X81" s="69" t="inlineStr"/>
      <c r="Y81" s="70" t="inlineStr"/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131" t="n">
        <v>4607091384765</v>
      </c>
      <c r="E82" s="376" t="n"/>
      <c r="F82" s="407" t="n">
        <v>0.42</v>
      </c>
      <c r="G82" s="38" t="n">
        <v>6</v>
      </c>
      <c r="H82" s="407" t="n">
        <v>2.52</v>
      </c>
      <c r="I82" s="407" t="n">
        <v>2.72</v>
      </c>
      <c r="J82" s="38" t="n">
        <v>156</v>
      </c>
      <c r="K82" s="39" t="inlineStr">
        <is>
          <t>СК1</t>
        </is>
      </c>
      <c r="L82" s="38" t="n">
        <v>45</v>
      </c>
      <c r="M82" s="447" t="inlineStr">
        <is>
          <t>Ветчины Запекуша с сочным окороком Вязанка Фикс.вес 0,42 п/а Вязанка</t>
        </is>
      </c>
      <c r="N82" s="409" t="n"/>
      <c r="O82" s="409" t="n"/>
      <c r="P82" s="409" t="n"/>
      <c r="Q82" s="376" t="n"/>
      <c r="R82" s="40" t="inlineStr"/>
      <c r="S82" s="40" t="inlineStr"/>
      <c r="T82" s="41" t="inlineStr">
        <is>
          <t>кг</t>
        </is>
      </c>
      <c r="U82" s="410" t="n">
        <v>0</v>
      </c>
      <c r="V82" s="411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131" t="n">
        <v>4680115880658</v>
      </c>
      <c r="E83" s="376" t="n"/>
      <c r="F83" s="407" t="n">
        <v>0.4</v>
      </c>
      <c r="G83" s="38" t="n">
        <v>6</v>
      </c>
      <c r="H83" s="407" t="n">
        <v>2.4</v>
      </c>
      <c r="I83" s="407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448">
        <f>HYPERLINK("https://abiproduct.ru/products/Охлажденные/Вязанка/Вязанка/Ветчины/P003107/","Ветчины Сливушка с индейкой Вязанка Фикс.вес 0,4 П/а Вязанка")</f>
        <v/>
      </c>
      <c r="N83" s="409" t="n"/>
      <c r="O83" s="409" t="n"/>
      <c r="P83" s="409" t="n"/>
      <c r="Q83" s="376" t="n"/>
      <c r="R83" s="40" t="inlineStr"/>
      <c r="S83" s="40" t="inlineStr"/>
      <c r="T83" s="41" t="inlineStr">
        <is>
          <t>кг</t>
        </is>
      </c>
      <c r="U83" s="410" t="n">
        <v>0</v>
      </c>
      <c r="V83" s="411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131" t="n">
        <v>4607091381962</v>
      </c>
      <c r="E84" s="376" t="n"/>
      <c r="F84" s="407" t="n">
        <v>0.5</v>
      </c>
      <c r="G84" s="38" t="n">
        <v>6</v>
      </c>
      <c r="H84" s="407" t="n">
        <v>3</v>
      </c>
      <c r="I84" s="407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449">
        <f>HYPERLINK("https://abiproduct.ru/products/Охлажденные/Вязанка/Вязанка/Ветчины/P003164/","Ветчины Столичная Вязанка Фикс.вес 0,5 Вектор Вязанка")</f>
        <v/>
      </c>
      <c r="N84" s="409" t="n"/>
      <c r="O84" s="409" t="n"/>
      <c r="P84" s="409" t="n"/>
      <c r="Q84" s="376" t="n"/>
      <c r="R84" s="40" t="inlineStr"/>
      <c r="S84" s="40" t="inlineStr"/>
      <c r="T84" s="41" t="inlineStr">
        <is>
          <t>кг</t>
        </is>
      </c>
      <c r="U84" s="410" t="n">
        <v>0</v>
      </c>
      <c r="V84" s="411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</row>
    <row r="85">
      <c r="A85" s="139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412" t="n"/>
      <c r="M85" s="413" t="inlineStr">
        <is>
          <t>Итого</t>
        </is>
      </c>
      <c r="N85" s="384" t="n"/>
      <c r="O85" s="384" t="n"/>
      <c r="P85" s="384" t="n"/>
      <c r="Q85" s="384" t="n"/>
      <c r="R85" s="384" t="n"/>
      <c r="S85" s="385" t="n"/>
      <c r="T85" s="43" t="inlineStr">
        <is>
          <t>кор</t>
        </is>
      </c>
      <c r="U85" s="414">
        <f>IFERROR(U79/H79,"0")+IFERROR(U80/H80,"0")+IFERROR(U81/H81,"0")+IFERROR(U82/H82,"0")+IFERROR(U83/H83,"0")+IFERROR(U84/H84,"0")</f>
        <v/>
      </c>
      <c r="V85" s="414">
        <f>IFERROR(V79/H79,"0")+IFERROR(V80/H80,"0")+IFERROR(V81/H81,"0")+IFERROR(V82/H82,"0")+IFERROR(V83/H83,"0")+IFERROR(V84/H84,"0")</f>
        <v/>
      </c>
      <c r="W85" s="414">
        <f>IFERROR(IF(W79="",0,W79),"0")+IFERROR(IF(W80="",0,W80),"0")+IFERROR(IF(W81="",0,W81),"0")+IFERROR(IF(W82="",0,W82),"0")+IFERROR(IF(W83="",0,W83),"0")+IFERROR(IF(W84="",0,W84),"0")</f>
        <v/>
      </c>
      <c r="X85" s="415" t="n"/>
      <c r="Y85" s="415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412" t="n"/>
      <c r="M86" s="413" t="inlineStr">
        <is>
          <t>Итого</t>
        </is>
      </c>
      <c r="N86" s="384" t="n"/>
      <c r="O86" s="384" t="n"/>
      <c r="P86" s="384" t="n"/>
      <c r="Q86" s="384" t="n"/>
      <c r="R86" s="384" t="n"/>
      <c r="S86" s="385" t="n"/>
      <c r="T86" s="43" t="inlineStr">
        <is>
          <t>кг</t>
        </is>
      </c>
      <c r="U86" s="414">
        <f>IFERROR(SUM(U79:U84),"0")</f>
        <v/>
      </c>
      <c r="V86" s="414">
        <f>IFERROR(SUM(V79:V84),"0")</f>
        <v/>
      </c>
      <c r="W86" s="43" t="n"/>
      <c r="X86" s="415" t="n"/>
      <c r="Y86" s="415" t="n"/>
    </row>
    <row r="87" ht="14.25" customHeight="1">
      <c r="A87" s="130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30" t="n"/>
      <c r="Y87" s="130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131" t="n">
        <v>4607091387667</v>
      </c>
      <c r="E88" s="376" t="n"/>
      <c r="F88" s="407" t="n">
        <v>0.9</v>
      </c>
      <c r="G88" s="38" t="n">
        <v>10</v>
      </c>
      <c r="H88" s="407" t="n">
        <v>9</v>
      </c>
      <c r="I88" s="407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450">
        <f>HYPERLINK("https://abiproduct.ru/products/Охлажденные/Вязанка/Вязанка/Копченые колбасы/P001841/","В/к колбасы Балыковая Вязанка Весовые Фиброуз в/у Вязанка")</f>
        <v/>
      </c>
      <c r="N88" s="409" t="n"/>
      <c r="O88" s="409" t="n"/>
      <c r="P88" s="409" t="n"/>
      <c r="Q88" s="376" t="n"/>
      <c r="R88" s="40" t="inlineStr"/>
      <c r="S88" s="40" t="inlineStr"/>
      <c r="T88" s="41" t="inlineStr">
        <is>
          <t>кг</t>
        </is>
      </c>
      <c r="U88" s="410" t="n">
        <v>0</v>
      </c>
      <c r="V88" s="411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131" t="n">
        <v>4607091387636</v>
      </c>
      <c r="E89" s="376" t="n"/>
      <c r="F89" s="407" t="n">
        <v>0.7</v>
      </c>
      <c r="G89" s="38" t="n">
        <v>6</v>
      </c>
      <c r="H89" s="407" t="n">
        <v>4.2</v>
      </c>
      <c r="I89" s="407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451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/>
      </c>
      <c r="N89" s="409" t="n"/>
      <c r="O89" s="409" t="n"/>
      <c r="P89" s="409" t="n"/>
      <c r="Q89" s="376" t="n"/>
      <c r="R89" s="40" t="inlineStr"/>
      <c r="S89" s="40" t="inlineStr"/>
      <c r="T89" s="41" t="inlineStr">
        <is>
          <t>кг</t>
        </is>
      </c>
      <c r="U89" s="410" t="n">
        <v>0</v>
      </c>
      <c r="V89" s="411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131" t="n">
        <v>4607091384727</v>
      </c>
      <c r="E90" s="376" t="n"/>
      <c r="F90" s="407" t="n">
        <v>0.8</v>
      </c>
      <c r="G90" s="38" t="n">
        <v>6</v>
      </c>
      <c r="H90" s="407" t="n">
        <v>4.8</v>
      </c>
      <c r="I90" s="407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452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409" t="n"/>
      <c r="O90" s="409" t="n"/>
      <c r="P90" s="409" t="n"/>
      <c r="Q90" s="376" t="n"/>
      <c r="R90" s="40" t="inlineStr"/>
      <c r="S90" s="40" t="inlineStr"/>
      <c r="T90" s="41" t="inlineStr">
        <is>
          <t>кг</t>
        </is>
      </c>
      <c r="U90" s="410" t="n">
        <v>0</v>
      </c>
      <c r="V90" s="411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131" t="n">
        <v>4607091386745</v>
      </c>
      <c r="E91" s="376" t="n"/>
      <c r="F91" s="407" t="n">
        <v>0.8</v>
      </c>
      <c r="G91" s="38" t="n">
        <v>6</v>
      </c>
      <c r="H91" s="407" t="n">
        <v>4.8</v>
      </c>
      <c r="I91" s="407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453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409" t="n"/>
      <c r="O91" s="409" t="n"/>
      <c r="P91" s="409" t="n"/>
      <c r="Q91" s="376" t="n"/>
      <c r="R91" s="40" t="inlineStr"/>
      <c r="S91" s="40" t="inlineStr"/>
      <c r="T91" s="41" t="inlineStr">
        <is>
          <t>кг</t>
        </is>
      </c>
      <c r="U91" s="410" t="n">
        <v>0</v>
      </c>
      <c r="V91" s="411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131" t="n">
        <v>4607091382426</v>
      </c>
      <c r="E92" s="376" t="n"/>
      <c r="F92" s="407" t="n">
        <v>0.9</v>
      </c>
      <c r="G92" s="38" t="n">
        <v>10</v>
      </c>
      <c r="H92" s="407" t="n">
        <v>9</v>
      </c>
      <c r="I92" s="407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454">
        <f>HYPERLINK("https://abiproduct.ru/products/Охлажденные/Вязанка/Вязанка/Копченые колбасы/P002179/","В/к колбасы Столичный Вязанка Весовые Фиброуз в/у Вязанка")</f>
        <v/>
      </c>
      <c r="N92" s="409" t="n"/>
      <c r="O92" s="409" t="n"/>
      <c r="P92" s="409" t="n"/>
      <c r="Q92" s="376" t="n"/>
      <c r="R92" s="40" t="inlineStr"/>
      <c r="S92" s="40" t="inlineStr"/>
      <c r="T92" s="41" t="inlineStr">
        <is>
          <t>кг</t>
        </is>
      </c>
      <c r="U92" s="410" t="n">
        <v>0</v>
      </c>
      <c r="V92" s="411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131" t="n">
        <v>4607091386547</v>
      </c>
      <c r="E93" s="376" t="n"/>
      <c r="F93" s="407" t="n">
        <v>0.35</v>
      </c>
      <c r="G93" s="38" t="n">
        <v>8</v>
      </c>
      <c r="H93" s="407" t="n">
        <v>2.8</v>
      </c>
      <c r="I93" s="407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455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409" t="n"/>
      <c r="O93" s="409" t="n"/>
      <c r="P93" s="409" t="n"/>
      <c r="Q93" s="376" t="n"/>
      <c r="R93" s="40" t="inlineStr"/>
      <c r="S93" s="40" t="inlineStr"/>
      <c r="T93" s="41" t="inlineStr">
        <is>
          <t>кг</t>
        </is>
      </c>
      <c r="U93" s="410" t="n">
        <v>0</v>
      </c>
      <c r="V93" s="411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131" t="n">
        <v>4607091384703</v>
      </c>
      <c r="E94" s="376" t="n"/>
      <c r="F94" s="407" t="n">
        <v>0.35</v>
      </c>
      <c r="G94" s="38" t="n">
        <v>6</v>
      </c>
      <c r="H94" s="407" t="n">
        <v>2.1</v>
      </c>
      <c r="I94" s="407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456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409" t="n"/>
      <c r="O94" s="409" t="n"/>
      <c r="P94" s="409" t="n"/>
      <c r="Q94" s="376" t="n"/>
      <c r="R94" s="40" t="inlineStr"/>
      <c r="S94" s="40" t="inlineStr"/>
      <c r="T94" s="41" t="inlineStr">
        <is>
          <t>кг</t>
        </is>
      </c>
      <c r="U94" s="410" t="n">
        <v>0</v>
      </c>
      <c r="V94" s="411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131" t="n">
        <v>4607091384734</v>
      </c>
      <c r="E95" s="376" t="n"/>
      <c r="F95" s="407" t="n">
        <v>0.35</v>
      </c>
      <c r="G95" s="38" t="n">
        <v>6</v>
      </c>
      <c r="H95" s="407" t="n">
        <v>2.1</v>
      </c>
      <c r="I95" s="407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457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409" t="n"/>
      <c r="O95" s="409" t="n"/>
      <c r="P95" s="409" t="n"/>
      <c r="Q95" s="376" t="n"/>
      <c r="R95" s="40" t="inlineStr"/>
      <c r="S95" s="40" t="inlineStr"/>
      <c r="T95" s="41" t="inlineStr">
        <is>
          <t>кг</t>
        </is>
      </c>
      <c r="U95" s="410" t="n">
        <v>0</v>
      </c>
      <c r="V95" s="411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131" t="n">
        <v>4607091382464</v>
      </c>
      <c r="E96" s="376" t="n"/>
      <c r="F96" s="407" t="n">
        <v>0.35</v>
      </c>
      <c r="G96" s="38" t="n">
        <v>8</v>
      </c>
      <c r="H96" s="407" t="n">
        <v>2.8</v>
      </c>
      <c r="I96" s="407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458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/>
      </c>
      <c r="N96" s="409" t="n"/>
      <c r="O96" s="409" t="n"/>
      <c r="P96" s="409" t="n"/>
      <c r="Q96" s="376" t="n"/>
      <c r="R96" s="40" t="inlineStr"/>
      <c r="S96" s="40" t="inlineStr"/>
      <c r="T96" s="41" t="inlineStr">
        <is>
          <t>кг</t>
        </is>
      </c>
      <c r="U96" s="410" t="n">
        <v>0</v>
      </c>
      <c r="V96" s="411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>
      <c r="A97" s="139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412" t="n"/>
      <c r="M97" s="413" t="inlineStr">
        <is>
          <t>Итого</t>
        </is>
      </c>
      <c r="N97" s="384" t="n"/>
      <c r="O97" s="384" t="n"/>
      <c r="P97" s="384" t="n"/>
      <c r="Q97" s="384" t="n"/>
      <c r="R97" s="384" t="n"/>
      <c r="S97" s="385" t="n"/>
      <c r="T97" s="43" t="inlineStr">
        <is>
          <t>кор</t>
        </is>
      </c>
      <c r="U97" s="414">
        <f>IFERROR(U88/H88,"0")+IFERROR(U89/H89,"0")+IFERROR(U90/H90,"0")+IFERROR(U91/H91,"0")+IFERROR(U92/H92,"0")+IFERROR(U93/H93,"0")+IFERROR(U94/H94,"0")+IFERROR(U95/H95,"0")+IFERROR(U96/H96,"0")</f>
        <v/>
      </c>
      <c r="V97" s="414">
        <f>IFERROR(V88/H88,"0")+IFERROR(V89/H89,"0")+IFERROR(V90/H90,"0")+IFERROR(V91/H91,"0")+IFERROR(V92/H92,"0")+IFERROR(V93/H93,"0")+IFERROR(V94/H94,"0")+IFERROR(V95/H95,"0")+IFERROR(V96/H96,"0")</f>
        <v/>
      </c>
      <c r="W97" s="41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415" t="n"/>
      <c r="Y97" s="415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412" t="n"/>
      <c r="M98" s="413" t="inlineStr">
        <is>
          <t>Итого</t>
        </is>
      </c>
      <c r="N98" s="384" t="n"/>
      <c r="O98" s="384" t="n"/>
      <c r="P98" s="384" t="n"/>
      <c r="Q98" s="384" t="n"/>
      <c r="R98" s="384" t="n"/>
      <c r="S98" s="385" t="n"/>
      <c r="T98" s="43" t="inlineStr">
        <is>
          <t>кг</t>
        </is>
      </c>
      <c r="U98" s="414">
        <f>IFERROR(SUM(U88:U96),"0")</f>
        <v/>
      </c>
      <c r="V98" s="414">
        <f>IFERROR(SUM(V88:V96),"0")</f>
        <v/>
      </c>
      <c r="W98" s="43" t="n"/>
      <c r="X98" s="415" t="n"/>
      <c r="Y98" s="415" t="n"/>
    </row>
    <row r="99" ht="14.25" customHeight="1">
      <c r="A99" s="130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30" t="n"/>
      <c r="Y99" s="130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131" t="n">
        <v>4607091386967</v>
      </c>
      <c r="E100" s="376" t="n"/>
      <c r="F100" s="407" t="n">
        <v>1.35</v>
      </c>
      <c r="G100" s="38" t="n">
        <v>6</v>
      </c>
      <c r="H100" s="407" t="n">
        <v>8.1</v>
      </c>
      <c r="I100" s="407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459" t="inlineStr">
        <is>
          <t>Сосиски Молокуши (Вязанка Молочные) Вязанка Весовые П/а мгс Вязанка</t>
        </is>
      </c>
      <c r="N100" s="409" t="n"/>
      <c r="O100" s="409" t="n"/>
      <c r="P100" s="409" t="n"/>
      <c r="Q100" s="376" t="n"/>
      <c r="R100" s="40" t="inlineStr"/>
      <c r="S100" s="40" t="inlineStr"/>
      <c r="T100" s="41" t="inlineStr">
        <is>
          <t>кг</t>
        </is>
      </c>
      <c r="U100" s="410" t="n">
        <v>0</v>
      </c>
      <c r="V100" s="411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131" t="n">
        <v>4607091385304</v>
      </c>
      <c r="E101" s="376" t="n"/>
      <c r="F101" s="407" t="n">
        <v>1.35</v>
      </c>
      <c r="G101" s="38" t="n">
        <v>6</v>
      </c>
      <c r="H101" s="407" t="n">
        <v>8.1</v>
      </c>
      <c r="I101" s="407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460">
        <f>HYPERLINK("https://abiproduct.ru/products/Охлажденные/Вязанка/Вязанка/Сосиски/P003025/","Сосиски Рубленые Вязанка Весовые п/а мгс Вязанка")</f>
        <v/>
      </c>
      <c r="N101" s="409" t="n"/>
      <c r="O101" s="409" t="n"/>
      <c r="P101" s="409" t="n"/>
      <c r="Q101" s="376" t="n"/>
      <c r="R101" s="40" t="inlineStr"/>
      <c r="S101" s="40" t="inlineStr"/>
      <c r="T101" s="41" t="inlineStr">
        <is>
          <t>кг</t>
        </is>
      </c>
      <c r="U101" s="410" t="n">
        <v>340</v>
      </c>
      <c r="V101" s="411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131" t="n">
        <v>4607091386264</v>
      </c>
      <c r="E102" s="376" t="n"/>
      <c r="F102" s="407" t="n">
        <v>0.5</v>
      </c>
      <c r="G102" s="38" t="n">
        <v>6</v>
      </c>
      <c r="H102" s="407" t="n">
        <v>3</v>
      </c>
      <c r="I102" s="407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461">
        <f>HYPERLINK("https://abiproduct.ru/products/Охлажденные/Вязанка/Вязанка/Сосиски/P002217/","Сосиски Венские Вязанка Фикс.вес 0,5 NDX мгс Вязанка")</f>
        <v/>
      </c>
      <c r="N102" s="409" t="n"/>
      <c r="O102" s="409" t="n"/>
      <c r="P102" s="409" t="n"/>
      <c r="Q102" s="376" t="n"/>
      <c r="R102" s="40" t="inlineStr"/>
      <c r="S102" s="40" t="inlineStr"/>
      <c r="T102" s="41" t="inlineStr">
        <is>
          <t>кг</t>
        </is>
      </c>
      <c r="U102" s="410" t="n">
        <v>0</v>
      </c>
      <c r="V102" s="411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131" t="n">
        <v>4607091385731</v>
      </c>
      <c r="E103" s="376" t="n"/>
      <c r="F103" s="407" t="n">
        <v>0.45</v>
      </c>
      <c r="G103" s="38" t="n">
        <v>6</v>
      </c>
      <c r="H103" s="407" t="n">
        <v>2.7</v>
      </c>
      <c r="I103" s="407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462" t="inlineStr">
        <is>
          <t>Сосиски Молокуши (Вязанка Молочные) Вязанка Фикс.вес 0,45 П/а мгс Вязанка</t>
        </is>
      </c>
      <c r="N103" s="409" t="n"/>
      <c r="O103" s="409" t="n"/>
      <c r="P103" s="409" t="n"/>
      <c r="Q103" s="376" t="n"/>
      <c r="R103" s="40" t="inlineStr"/>
      <c r="S103" s="40" t="inlineStr"/>
      <c r="T103" s="41" t="inlineStr">
        <is>
          <t>кг</t>
        </is>
      </c>
      <c r="U103" s="410" t="n">
        <v>0</v>
      </c>
      <c r="V103" s="411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131" t="n">
        <v>4680115880214</v>
      </c>
      <c r="E104" s="376" t="n"/>
      <c r="F104" s="407" t="n">
        <v>0.45</v>
      </c>
      <c r="G104" s="38" t="n">
        <v>6</v>
      </c>
      <c r="H104" s="407" t="n">
        <v>2.7</v>
      </c>
      <c r="I104" s="407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463" t="inlineStr">
        <is>
          <t>Сосиски Молокуши миникушай Вязанка Ф/в 0,45 амилюкс мгс Вязанка</t>
        </is>
      </c>
      <c r="N104" s="409" t="n"/>
      <c r="O104" s="409" t="n"/>
      <c r="P104" s="409" t="n"/>
      <c r="Q104" s="376" t="n"/>
      <c r="R104" s="40" t="inlineStr"/>
      <c r="S104" s="40" t="inlineStr"/>
      <c r="T104" s="41" t="inlineStr">
        <is>
          <t>кг</t>
        </is>
      </c>
      <c r="U104" s="410" t="n">
        <v>0</v>
      </c>
      <c r="V104" s="411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131" t="n">
        <v>4680115880894</v>
      </c>
      <c r="E105" s="376" t="n"/>
      <c r="F105" s="407" t="n">
        <v>0.33</v>
      </c>
      <c r="G105" s="38" t="n">
        <v>6</v>
      </c>
      <c r="H105" s="407" t="n">
        <v>1.98</v>
      </c>
      <c r="I105" s="407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464" t="inlineStr">
        <is>
          <t>Сосиски Молокуши Миникушай Вязанка фикс.вес 0,33 п/а Вязанка</t>
        </is>
      </c>
      <c r="N105" s="409" t="n"/>
      <c r="O105" s="409" t="n"/>
      <c r="P105" s="409" t="n"/>
      <c r="Q105" s="376" t="n"/>
      <c r="R105" s="40" t="inlineStr"/>
      <c r="S105" s="40" t="inlineStr"/>
      <c r="T105" s="41" t="inlineStr">
        <is>
          <t>кг</t>
        </is>
      </c>
      <c r="U105" s="410" t="n">
        <v>0</v>
      </c>
      <c r="V105" s="411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131" t="n">
        <v>4607091385427</v>
      </c>
      <c r="E106" s="376" t="n"/>
      <c r="F106" s="407" t="n">
        <v>0.5</v>
      </c>
      <c r="G106" s="38" t="n">
        <v>6</v>
      </c>
      <c r="H106" s="407" t="n">
        <v>3</v>
      </c>
      <c r="I106" s="407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465">
        <f>HYPERLINK("https://abiproduct.ru/products/Охлажденные/Вязанка/Вязанка/Сосиски/P003030/","Сосиски Рубленые Вязанка Фикс.вес 0,5 п/а мгс Вязанка")</f>
        <v/>
      </c>
      <c r="N106" s="409" t="n"/>
      <c r="O106" s="409" t="n"/>
      <c r="P106" s="409" t="n"/>
      <c r="Q106" s="376" t="n"/>
      <c r="R106" s="40" t="inlineStr"/>
      <c r="S106" s="40" t="inlineStr"/>
      <c r="T106" s="41" t="inlineStr">
        <is>
          <t>кг</t>
        </is>
      </c>
      <c r="U106" s="410" t="n">
        <v>0</v>
      </c>
      <c r="V106" s="411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>
      <c r="A107" s="13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412" t="n"/>
      <c r="M107" s="413" t="inlineStr">
        <is>
          <t>Итого</t>
        </is>
      </c>
      <c r="N107" s="384" t="n"/>
      <c r="O107" s="384" t="n"/>
      <c r="P107" s="384" t="n"/>
      <c r="Q107" s="384" t="n"/>
      <c r="R107" s="384" t="n"/>
      <c r="S107" s="385" t="n"/>
      <c r="T107" s="43" t="inlineStr">
        <is>
          <t>кор</t>
        </is>
      </c>
      <c r="U107" s="414">
        <f>IFERROR(U100/H100,"0")+IFERROR(U101/H101,"0")+IFERROR(U102/H102,"0")+IFERROR(U103/H103,"0")+IFERROR(U104/H104,"0")+IFERROR(U105/H105,"0")+IFERROR(U106/H106,"0")</f>
        <v/>
      </c>
      <c r="V107" s="414">
        <f>IFERROR(V100/H100,"0")+IFERROR(V101/H101,"0")+IFERROR(V102/H102,"0")+IFERROR(V103/H103,"0")+IFERROR(V104/H104,"0")+IFERROR(V105/H105,"0")+IFERROR(V106/H106,"0")</f>
        <v/>
      </c>
      <c r="W107" s="414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415" t="n"/>
      <c r="Y107" s="415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412" t="n"/>
      <c r="M108" s="413" t="inlineStr">
        <is>
          <t>Итого</t>
        </is>
      </c>
      <c r="N108" s="384" t="n"/>
      <c r="O108" s="384" t="n"/>
      <c r="P108" s="384" t="n"/>
      <c r="Q108" s="384" t="n"/>
      <c r="R108" s="384" t="n"/>
      <c r="S108" s="385" t="n"/>
      <c r="T108" s="43" t="inlineStr">
        <is>
          <t>кг</t>
        </is>
      </c>
      <c r="U108" s="414">
        <f>IFERROR(SUM(U100:U106),"0")</f>
        <v/>
      </c>
      <c r="V108" s="414">
        <f>IFERROR(SUM(V100:V106),"0")</f>
        <v/>
      </c>
      <c r="W108" s="43" t="n"/>
      <c r="X108" s="415" t="n"/>
      <c r="Y108" s="415" t="n"/>
    </row>
    <row r="109" ht="14.25" customHeight="1">
      <c r="A109" s="1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30" t="n"/>
      <c r="Y109" s="130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131" t="n">
        <v>4607091383065</v>
      </c>
      <c r="E110" s="376" t="n"/>
      <c r="F110" s="407" t="n">
        <v>0.83</v>
      </c>
      <c r="G110" s="38" t="n">
        <v>4</v>
      </c>
      <c r="H110" s="407" t="n">
        <v>3.32</v>
      </c>
      <c r="I110" s="407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466">
        <f>HYPERLINK("https://abiproduct.ru/products/Охлажденные/Вязанка/Вязанка/Сардельки/P002233/","Сардельки Стародворские Вязанка Весовые Family Pack NDX мгс Вязанка")</f>
        <v/>
      </c>
      <c r="N110" s="409" t="n"/>
      <c r="O110" s="409" t="n"/>
      <c r="P110" s="409" t="n"/>
      <c r="Q110" s="376" t="n"/>
      <c r="R110" s="40" t="inlineStr"/>
      <c r="S110" s="40" t="inlineStr"/>
      <c r="T110" s="41" t="inlineStr">
        <is>
          <t>кг</t>
        </is>
      </c>
      <c r="U110" s="410" t="n">
        <v>0</v>
      </c>
      <c r="V110" s="411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</row>
    <row r="111" ht="27" customHeight="1">
      <c r="A111" s="64" t="inlineStr">
        <is>
          <t>SU001831</t>
        </is>
      </c>
      <c r="B111" s="64" t="inlineStr">
        <is>
          <t>P002042</t>
        </is>
      </c>
      <c r="C111" s="37" t="n">
        <v>4301060282</v>
      </c>
      <c r="D111" s="131" t="n">
        <v>4607091380699</v>
      </c>
      <c r="E111" s="376" t="n"/>
      <c r="F111" s="407" t="n">
        <v>1.3</v>
      </c>
      <c r="G111" s="38" t="n">
        <v>6</v>
      </c>
      <c r="H111" s="407" t="n">
        <v>7.8</v>
      </c>
      <c r="I111" s="407" t="n">
        <v>8.364000000000001</v>
      </c>
      <c r="J111" s="38" t="n">
        <v>56</v>
      </c>
      <c r="K111" s="39" t="inlineStr">
        <is>
          <t>СК2</t>
        </is>
      </c>
      <c r="L111" s="38" t="n">
        <v>30</v>
      </c>
      <c r="M111" s="467">
        <f>HYPERLINK("https://abiproduct.ru/products/Охлажденные/Вязанка/Вязанка/Сардельки/P002042/","Сардельки Стародворские Вязанка Весовые NDX мгс Вязанка")</f>
        <v/>
      </c>
      <c r="N111" s="409" t="n"/>
      <c r="O111" s="409" t="n"/>
      <c r="P111" s="409" t="n"/>
      <c r="Q111" s="376" t="n"/>
      <c r="R111" s="40" t="inlineStr"/>
      <c r="S111" s="40" t="inlineStr"/>
      <c r="T111" s="41" t="inlineStr">
        <is>
          <t>кг</t>
        </is>
      </c>
      <c r="U111" s="410" t="n">
        <v>113</v>
      </c>
      <c r="V111" s="411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131" t="n">
        <v>4680115880238</v>
      </c>
      <c r="E112" s="376" t="n"/>
      <c r="F112" s="407" t="n">
        <v>0.33</v>
      </c>
      <c r="G112" s="38" t="n">
        <v>6</v>
      </c>
      <c r="H112" s="407" t="n">
        <v>1.98</v>
      </c>
      <c r="I112" s="407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468" t="inlineStr">
        <is>
          <t>Сардельки Сливушки #минидельки ТМ Вязанка айпил мгс ф/в 0,33 кг</t>
        </is>
      </c>
      <c r="N112" s="409" t="n"/>
      <c r="O112" s="409" t="n"/>
      <c r="P112" s="409" t="n"/>
      <c r="Q112" s="376" t="n"/>
      <c r="R112" s="40" t="inlineStr"/>
      <c r="S112" s="40" t="inlineStr"/>
      <c r="T112" s="41" t="inlineStr">
        <is>
          <t>кг</t>
        </is>
      </c>
      <c r="U112" s="410" t="n">
        <v>0</v>
      </c>
      <c r="V112" s="411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</row>
    <row r="113" ht="27" customHeight="1">
      <c r="A113" s="64" t="inlineStr">
        <is>
          <t>SU001500</t>
        </is>
      </c>
      <c r="B113" s="64" t="inlineStr">
        <is>
          <t>P002045</t>
        </is>
      </c>
      <c r="C113" s="37" t="n">
        <v>4301060304</v>
      </c>
      <c r="D113" s="131" t="n">
        <v>4607091385922</v>
      </c>
      <c r="E113" s="376" t="n"/>
      <c r="F113" s="407" t="n">
        <v>0.47</v>
      </c>
      <c r="G113" s="38" t="n">
        <v>6</v>
      </c>
      <c r="H113" s="407" t="n">
        <v>2.82</v>
      </c>
      <c r="I113" s="407" t="n">
        <v>3.098</v>
      </c>
      <c r="J113" s="38" t="n">
        <v>156</v>
      </c>
      <c r="K113" s="39" t="inlineStr">
        <is>
          <t>СК2</t>
        </is>
      </c>
      <c r="L113" s="38" t="n">
        <v>30</v>
      </c>
      <c r="M113" s="469">
        <f>HYPERLINK("https://abiproduct.ru/products/Охлажденные/Вязанка/Вязанка/Сардельки/P002045/","Сардельки Стародворские Вязанка Фикс.вес 0,47 NDX мгс Вязанка")</f>
        <v/>
      </c>
      <c r="N113" s="409" t="n"/>
      <c r="O113" s="409" t="n"/>
      <c r="P113" s="409" t="n"/>
      <c r="Q113" s="376" t="n"/>
      <c r="R113" s="40" t="inlineStr"/>
      <c r="S113" s="40" t="inlineStr"/>
      <c r="T113" s="41" t="inlineStr">
        <is>
          <t>кг</t>
        </is>
      </c>
      <c r="U113" s="410" t="n">
        <v>0</v>
      </c>
      <c r="V113" s="411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</row>
    <row r="114">
      <c r="A114" s="13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412" t="n"/>
      <c r="M114" s="413" t="inlineStr">
        <is>
          <t>Итого</t>
        </is>
      </c>
      <c r="N114" s="384" t="n"/>
      <c r="O114" s="384" t="n"/>
      <c r="P114" s="384" t="n"/>
      <c r="Q114" s="384" t="n"/>
      <c r="R114" s="384" t="n"/>
      <c r="S114" s="385" t="n"/>
      <c r="T114" s="43" t="inlineStr">
        <is>
          <t>кор</t>
        </is>
      </c>
      <c r="U114" s="414">
        <f>IFERROR(U110/H110,"0")+IFERROR(U111/H111,"0")+IFERROR(U112/H112,"0")+IFERROR(U113/H113,"0")</f>
        <v/>
      </c>
      <c r="V114" s="414">
        <f>IFERROR(V110/H110,"0")+IFERROR(V111/H111,"0")+IFERROR(V112/H112,"0")+IFERROR(V113/H113,"0")</f>
        <v/>
      </c>
      <c r="W114" s="414">
        <f>IFERROR(IF(W110="",0,W110),"0")+IFERROR(IF(W111="",0,W111),"0")+IFERROR(IF(W112="",0,W112),"0")+IFERROR(IF(W113="",0,W113),"0")</f>
        <v/>
      </c>
      <c r="X114" s="415" t="n"/>
      <c r="Y114" s="415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412" t="n"/>
      <c r="M115" s="413" t="inlineStr">
        <is>
          <t>Итого</t>
        </is>
      </c>
      <c r="N115" s="384" t="n"/>
      <c r="O115" s="384" t="n"/>
      <c r="P115" s="384" t="n"/>
      <c r="Q115" s="384" t="n"/>
      <c r="R115" s="384" t="n"/>
      <c r="S115" s="385" t="n"/>
      <c r="T115" s="43" t="inlineStr">
        <is>
          <t>кг</t>
        </is>
      </c>
      <c r="U115" s="414">
        <f>IFERROR(SUM(U110:U113),"0")</f>
        <v/>
      </c>
      <c r="V115" s="414">
        <f>IFERROR(SUM(V110:V113),"0")</f>
        <v/>
      </c>
      <c r="W115" s="43" t="n"/>
      <c r="X115" s="415" t="n"/>
      <c r="Y115" s="415" t="n"/>
    </row>
    <row r="116" ht="16.5" customHeight="1">
      <c r="A116" s="12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29" t="n"/>
      <c r="Y116" s="129" t="n"/>
    </row>
    <row r="117" ht="14.25" customHeight="1">
      <c r="A117" s="13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30" t="n"/>
      <c r="Y117" s="13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131" t="n">
        <v>4607091385168</v>
      </c>
      <c r="E118" s="376" t="n"/>
      <c r="F118" s="407" t="n">
        <v>1.35</v>
      </c>
      <c r="G118" s="38" t="n">
        <v>6</v>
      </c>
      <c r="H118" s="407" t="n">
        <v>8.1</v>
      </c>
      <c r="I118" s="407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470">
        <f>HYPERLINK("https://abiproduct.ru/products/Охлажденные/Вязанка/Сливушки/Сосиски/P003161/","Сосиски Сливочные Вязанка Сливушки Весовые П/а мгс Вязанка")</f>
        <v/>
      </c>
      <c r="N118" s="409" t="n"/>
      <c r="O118" s="409" t="n"/>
      <c r="P118" s="409" t="n"/>
      <c r="Q118" s="376" t="n"/>
      <c r="R118" s="40" t="inlineStr"/>
      <c r="S118" s="40" t="inlineStr"/>
      <c r="T118" s="41" t="inlineStr">
        <is>
          <t>кг</t>
        </is>
      </c>
      <c r="U118" s="410" t="n">
        <v>0</v>
      </c>
      <c r="V118" s="411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131" t="n">
        <v>4607091383256</v>
      </c>
      <c r="E119" s="376" t="n"/>
      <c r="F119" s="407" t="n">
        <v>0.33</v>
      </c>
      <c r="G119" s="38" t="n">
        <v>6</v>
      </c>
      <c r="H119" s="407" t="n">
        <v>1.98</v>
      </c>
      <c r="I119" s="407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471">
        <f>HYPERLINK("https://abiproduct.ru/products/Охлажденные/Вязанка/Сливушки/Сосиски/P003162/","Сосиски Сливочные Сливушки Фикс.вес 0,33 П/а мгс Вязанка")</f>
        <v/>
      </c>
      <c r="N119" s="409" t="n"/>
      <c r="O119" s="409" t="n"/>
      <c r="P119" s="409" t="n"/>
      <c r="Q119" s="376" t="n"/>
      <c r="R119" s="40" t="inlineStr"/>
      <c r="S119" s="40" t="inlineStr"/>
      <c r="T119" s="41" t="inlineStr">
        <is>
          <t>кг</t>
        </is>
      </c>
      <c r="U119" s="410" t="n">
        <v>0</v>
      </c>
      <c r="V119" s="411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131" t="n">
        <v>4607091385748</v>
      </c>
      <c r="E120" s="376" t="n"/>
      <c r="F120" s="407" t="n">
        <v>0.45</v>
      </c>
      <c r="G120" s="38" t="n">
        <v>6</v>
      </c>
      <c r="H120" s="407" t="n">
        <v>2.7</v>
      </c>
      <c r="I120" s="407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472">
        <f>HYPERLINK("https://abiproduct.ru/products/Охлажденные/Вязанка/Сливушки/Сосиски/P003160/","Сосиски Сливочные Сливушки Фикс.вес 0,45 П/а мгс Вязанка")</f>
        <v/>
      </c>
      <c r="N120" s="409" t="n"/>
      <c r="O120" s="409" t="n"/>
      <c r="P120" s="409" t="n"/>
      <c r="Q120" s="376" t="n"/>
      <c r="R120" s="40" t="inlineStr"/>
      <c r="S120" s="40" t="inlineStr"/>
      <c r="T120" s="41" t="inlineStr">
        <is>
          <t>кг</t>
        </is>
      </c>
      <c r="U120" s="410" t="n">
        <v>0</v>
      </c>
      <c r="V120" s="411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131" t="n">
        <v>4607091384581</v>
      </c>
      <c r="E121" s="376" t="n"/>
      <c r="F121" s="407" t="n">
        <v>0.67</v>
      </c>
      <c r="G121" s="38" t="n">
        <v>4</v>
      </c>
      <c r="H121" s="407" t="n">
        <v>2.68</v>
      </c>
      <c r="I121" s="407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473">
        <f>HYPERLINK("https://abiproduct.ru/products/Охлажденные/Вязанка/Сливушки/Сосиски/P003163/","Сосиски Сливочные Сливушки Фикс.вес 0,67 П/а мгс Вязанка")</f>
        <v/>
      </c>
      <c r="N121" s="409" t="n"/>
      <c r="O121" s="409" t="n"/>
      <c r="P121" s="409" t="n"/>
      <c r="Q121" s="376" t="n"/>
      <c r="R121" s="40" t="inlineStr"/>
      <c r="S121" s="40" t="inlineStr"/>
      <c r="T121" s="41" t="inlineStr">
        <is>
          <t>кг</t>
        </is>
      </c>
      <c r="U121" s="410" t="n">
        <v>0</v>
      </c>
      <c r="V121" s="411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</row>
    <row r="122">
      <c r="A122" s="13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412" t="n"/>
      <c r="M122" s="413" t="inlineStr">
        <is>
          <t>Итого</t>
        </is>
      </c>
      <c r="N122" s="384" t="n"/>
      <c r="O122" s="384" t="n"/>
      <c r="P122" s="384" t="n"/>
      <c r="Q122" s="384" t="n"/>
      <c r="R122" s="384" t="n"/>
      <c r="S122" s="385" t="n"/>
      <c r="T122" s="43" t="inlineStr">
        <is>
          <t>кор</t>
        </is>
      </c>
      <c r="U122" s="414">
        <f>IFERROR(U118/H118,"0")+IFERROR(U119/H119,"0")+IFERROR(U120/H120,"0")+IFERROR(U121/H121,"0")</f>
        <v/>
      </c>
      <c r="V122" s="414">
        <f>IFERROR(V118/H118,"0")+IFERROR(V119/H119,"0")+IFERROR(V120/H120,"0")+IFERROR(V121/H121,"0")</f>
        <v/>
      </c>
      <c r="W122" s="414">
        <f>IFERROR(IF(W118="",0,W118),"0")+IFERROR(IF(W119="",0,W119),"0")+IFERROR(IF(W120="",0,W120),"0")+IFERROR(IF(W121="",0,W121),"0")</f>
        <v/>
      </c>
      <c r="X122" s="415" t="n"/>
      <c r="Y122" s="41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412" t="n"/>
      <c r="M123" s="413" t="inlineStr">
        <is>
          <t>Итого</t>
        </is>
      </c>
      <c r="N123" s="384" t="n"/>
      <c r="O123" s="384" t="n"/>
      <c r="P123" s="384" t="n"/>
      <c r="Q123" s="384" t="n"/>
      <c r="R123" s="384" t="n"/>
      <c r="S123" s="385" t="n"/>
      <c r="T123" s="43" t="inlineStr">
        <is>
          <t>кг</t>
        </is>
      </c>
      <c r="U123" s="414">
        <f>IFERROR(SUM(U118:U121),"0")</f>
        <v/>
      </c>
      <c r="V123" s="414">
        <f>IFERROR(SUM(V118:V121),"0")</f>
        <v/>
      </c>
      <c r="W123" s="43" t="n"/>
      <c r="X123" s="415" t="n"/>
      <c r="Y123" s="415" t="n"/>
    </row>
    <row r="124" ht="27.75" customHeight="1">
      <c r="A124" s="128" t="inlineStr">
        <is>
          <t>Стародворье</t>
        </is>
      </c>
      <c r="B124" s="406" t="n"/>
      <c r="C124" s="406" t="n"/>
      <c r="D124" s="406" t="n"/>
      <c r="E124" s="406" t="n"/>
      <c r="F124" s="406" t="n"/>
      <c r="G124" s="406" t="n"/>
      <c r="H124" s="406" t="n"/>
      <c r="I124" s="406" t="n"/>
      <c r="J124" s="406" t="n"/>
      <c r="K124" s="406" t="n"/>
      <c r="L124" s="406" t="n"/>
      <c r="M124" s="406" t="n"/>
      <c r="N124" s="406" t="n"/>
      <c r="O124" s="406" t="n"/>
      <c r="P124" s="406" t="n"/>
      <c r="Q124" s="406" t="n"/>
      <c r="R124" s="406" t="n"/>
      <c r="S124" s="406" t="n"/>
      <c r="T124" s="406" t="n"/>
      <c r="U124" s="406" t="n"/>
      <c r="V124" s="406" t="n"/>
      <c r="W124" s="406" t="n"/>
      <c r="X124" s="55" t="n"/>
      <c r="Y124" s="55" t="n"/>
    </row>
    <row r="125" ht="16.5" customHeight="1">
      <c r="A125" s="12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29" t="n"/>
      <c r="Y125" s="129" t="n"/>
    </row>
    <row r="126" ht="14.25" customHeight="1">
      <c r="A126" s="13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30" t="n"/>
      <c r="Y126" s="13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131" t="n">
        <v>4607091383423</v>
      </c>
      <c r="E127" s="376" t="n"/>
      <c r="F127" s="407" t="n">
        <v>1.35</v>
      </c>
      <c r="G127" s="38" t="n">
        <v>8</v>
      </c>
      <c r="H127" s="407" t="n">
        <v>10.8</v>
      </c>
      <c r="I127" s="407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474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409" t="n"/>
      <c r="O127" s="409" t="n"/>
      <c r="P127" s="409" t="n"/>
      <c r="Q127" s="376" t="n"/>
      <c r="R127" s="40" t="inlineStr"/>
      <c r="S127" s="40" t="inlineStr"/>
      <c r="T127" s="41" t="inlineStr">
        <is>
          <t>кг</t>
        </is>
      </c>
      <c r="U127" s="410" t="n">
        <v>0</v>
      </c>
      <c r="V127" s="411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131" t="n">
        <v>4607091381405</v>
      </c>
      <c r="E128" s="376" t="n"/>
      <c r="F128" s="407" t="n">
        <v>1.35</v>
      </c>
      <c r="G128" s="38" t="n">
        <v>8</v>
      </c>
      <c r="H128" s="407" t="n">
        <v>10.8</v>
      </c>
      <c r="I128" s="407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475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409" t="n"/>
      <c r="O128" s="409" t="n"/>
      <c r="P128" s="409" t="n"/>
      <c r="Q128" s="376" t="n"/>
      <c r="R128" s="40" t="inlineStr"/>
      <c r="S128" s="40" t="inlineStr"/>
      <c r="T128" s="41" t="inlineStr">
        <is>
          <t>кг</t>
        </is>
      </c>
      <c r="U128" s="410" t="n">
        <v>0</v>
      </c>
      <c r="V128" s="411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131" t="n">
        <v>4607091386516</v>
      </c>
      <c r="E129" s="376" t="n"/>
      <c r="F129" s="407" t="n">
        <v>1.4</v>
      </c>
      <c r="G129" s="38" t="n">
        <v>8</v>
      </c>
      <c r="H129" s="407" t="n">
        <v>11.2</v>
      </c>
      <c r="I129" s="407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476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409" t="n"/>
      <c r="O129" s="409" t="n"/>
      <c r="P129" s="409" t="n"/>
      <c r="Q129" s="376" t="n"/>
      <c r="R129" s="40" t="inlineStr"/>
      <c r="S129" s="40" t="inlineStr"/>
      <c r="T129" s="41" t="inlineStr">
        <is>
          <t>кг</t>
        </is>
      </c>
      <c r="U129" s="410" t="n">
        <v>0</v>
      </c>
      <c r="V129" s="411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</row>
    <row r="130">
      <c r="A130" s="13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412" t="n"/>
      <c r="M130" s="413" t="inlineStr">
        <is>
          <t>Итого</t>
        </is>
      </c>
      <c r="N130" s="384" t="n"/>
      <c r="O130" s="384" t="n"/>
      <c r="P130" s="384" t="n"/>
      <c r="Q130" s="384" t="n"/>
      <c r="R130" s="384" t="n"/>
      <c r="S130" s="385" t="n"/>
      <c r="T130" s="43" t="inlineStr">
        <is>
          <t>кор</t>
        </is>
      </c>
      <c r="U130" s="414">
        <f>IFERROR(U127/H127,"0")+IFERROR(U128/H128,"0")+IFERROR(U129/H129,"0")</f>
        <v/>
      </c>
      <c r="V130" s="414">
        <f>IFERROR(V127/H127,"0")+IFERROR(V128/H128,"0")+IFERROR(V129/H129,"0")</f>
        <v/>
      </c>
      <c r="W130" s="414">
        <f>IFERROR(IF(W127="",0,W127),"0")+IFERROR(IF(W128="",0,W128),"0")+IFERROR(IF(W129="",0,W129),"0")</f>
        <v/>
      </c>
      <c r="X130" s="415" t="n"/>
      <c r="Y130" s="415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412" t="n"/>
      <c r="M131" s="413" t="inlineStr">
        <is>
          <t>Итого</t>
        </is>
      </c>
      <c r="N131" s="384" t="n"/>
      <c r="O131" s="384" t="n"/>
      <c r="P131" s="384" t="n"/>
      <c r="Q131" s="384" t="n"/>
      <c r="R131" s="384" t="n"/>
      <c r="S131" s="385" t="n"/>
      <c r="T131" s="43" t="inlineStr">
        <is>
          <t>кг</t>
        </is>
      </c>
      <c r="U131" s="414">
        <f>IFERROR(SUM(U127:U129),"0")</f>
        <v/>
      </c>
      <c r="V131" s="414">
        <f>IFERROR(SUM(V127:V129),"0")</f>
        <v/>
      </c>
      <c r="W131" s="43" t="n"/>
      <c r="X131" s="415" t="n"/>
      <c r="Y131" s="415" t="n"/>
    </row>
    <row r="132" ht="16.5" customHeight="1">
      <c r="A132" s="129" t="inlineStr">
        <is>
          <t>Бордо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29" t="n"/>
      <c r="Y132" s="129" t="n"/>
    </row>
    <row r="133" ht="14.25" customHeight="1">
      <c r="A133" s="130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30" t="n"/>
      <c r="Y133" s="130" t="n"/>
    </row>
    <row r="134" ht="16.5" customHeight="1">
      <c r="A134" s="64" t="inlineStr">
        <is>
          <t>SU002824</t>
        </is>
      </c>
      <c r="B134" s="64" t="inlineStr">
        <is>
          <t>P003231</t>
        </is>
      </c>
      <c r="C134" s="37" t="n">
        <v>4301011450</v>
      </c>
      <c r="D134" s="131" t="n">
        <v>4680115881402</v>
      </c>
      <c r="E134" s="376" t="n"/>
      <c r="F134" s="407" t="n">
        <v>1.35</v>
      </c>
      <c r="G134" s="38" t="n">
        <v>8</v>
      </c>
      <c r="H134" s="407" t="n">
        <v>10.8</v>
      </c>
      <c r="I134" s="407" t="n">
        <v>11.28</v>
      </c>
      <c r="J134" s="38" t="n">
        <v>56</v>
      </c>
      <c r="K134" s="39" t="inlineStr">
        <is>
          <t>СК1</t>
        </is>
      </c>
      <c r="L134" s="38" t="n">
        <v>55</v>
      </c>
      <c r="M134" s="477" t="inlineStr">
        <is>
          <t>Вареные колбасы "Сочинка" Весовой п/а ТМ "Стародворье"</t>
        </is>
      </c>
      <c r="N134" s="409" t="n"/>
      <c r="O134" s="409" t="n"/>
      <c r="P134" s="409" t="n"/>
      <c r="Q134" s="376" t="n"/>
      <c r="R134" s="40" t="inlineStr"/>
      <c r="S134" s="40" t="inlineStr"/>
      <c r="T134" s="41" t="inlineStr">
        <is>
          <t>кг</t>
        </is>
      </c>
      <c r="U134" s="410" t="n">
        <v>0</v>
      </c>
      <c r="V134" s="411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>
        <is>
          <t>Новинка</t>
        </is>
      </c>
    </row>
    <row r="135" ht="27" customHeight="1">
      <c r="A135" s="64" t="inlineStr">
        <is>
          <t>SU000057</t>
        </is>
      </c>
      <c r="B135" s="64" t="inlineStr">
        <is>
          <t>P002047</t>
        </is>
      </c>
      <c r="C135" s="37" t="n">
        <v>4301011346</v>
      </c>
      <c r="D135" s="131" t="n">
        <v>4607091387445</v>
      </c>
      <c r="E135" s="376" t="n"/>
      <c r="F135" s="407" t="n">
        <v>0.9</v>
      </c>
      <c r="G135" s="38" t="n">
        <v>10</v>
      </c>
      <c r="H135" s="407" t="n">
        <v>9</v>
      </c>
      <c r="I135" s="407" t="n">
        <v>9.630000000000001</v>
      </c>
      <c r="J135" s="38" t="n">
        <v>56</v>
      </c>
      <c r="K135" s="39" t="inlineStr">
        <is>
          <t>СК1</t>
        </is>
      </c>
      <c r="L135" s="38" t="n">
        <v>31</v>
      </c>
      <c r="M135" s="478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5" s="409" t="n"/>
      <c r="O135" s="409" t="n"/>
      <c r="P135" s="409" t="n"/>
      <c r="Q135" s="376" t="n"/>
      <c r="R135" s="40" t="inlineStr"/>
      <c r="S135" s="40" t="inlineStr"/>
      <c r="T135" s="41" t="inlineStr">
        <is>
          <t>кг</t>
        </is>
      </c>
      <c r="U135" s="410" t="n">
        <v>0</v>
      </c>
      <c r="V135" s="411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</row>
    <row r="136" ht="27" customHeight="1">
      <c r="A136" s="64" t="inlineStr">
        <is>
          <t>SU001777</t>
        </is>
      </c>
      <c r="B136" s="64" t="inlineStr">
        <is>
          <t>P002226</t>
        </is>
      </c>
      <c r="C136" s="37" t="n">
        <v>4301011362</v>
      </c>
      <c r="D136" s="131" t="n">
        <v>4607091386004</v>
      </c>
      <c r="E136" s="376" t="n"/>
      <c r="F136" s="407" t="n">
        <v>1.35</v>
      </c>
      <c r="G136" s="38" t="n">
        <v>8</v>
      </c>
      <c r="H136" s="407" t="n">
        <v>10.8</v>
      </c>
      <c r="I136" s="407" t="n">
        <v>11.28</v>
      </c>
      <c r="J136" s="38" t="n">
        <v>48</v>
      </c>
      <c r="K136" s="39" t="inlineStr">
        <is>
          <t>ВЗ</t>
        </is>
      </c>
      <c r="L136" s="38" t="n">
        <v>55</v>
      </c>
      <c r="M136" s="479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6" s="409" t="n"/>
      <c r="O136" s="409" t="n"/>
      <c r="P136" s="409" t="n"/>
      <c r="Q136" s="376" t="n"/>
      <c r="R136" s="40" t="inlineStr"/>
      <c r="S136" s="40" t="inlineStr"/>
      <c r="T136" s="41" t="inlineStr">
        <is>
          <t>кг</t>
        </is>
      </c>
      <c r="U136" s="410" t="n">
        <v>0</v>
      </c>
      <c r="V136" s="411">
        <f>IFERROR(IF(U136="",0,CEILING((U136/$H136),1)*$H136),"")</f>
        <v/>
      </c>
      <c r="W136" s="42">
        <f>IFERROR(IF(V136=0,"",ROUNDUP(V136/H136,0)*0.02039),"")</f>
        <v/>
      </c>
      <c r="X136" s="69" t="inlineStr"/>
      <c r="Y136" s="70" t="inlineStr"/>
    </row>
    <row r="137" ht="27" customHeight="1">
      <c r="A137" s="64" t="inlineStr">
        <is>
          <t>SU001777</t>
        </is>
      </c>
      <c r="B137" s="64" t="inlineStr">
        <is>
          <t>P001777</t>
        </is>
      </c>
      <c r="C137" s="37" t="n">
        <v>4301011308</v>
      </c>
      <c r="D137" s="131" t="n">
        <v>4607091386004</v>
      </c>
      <c r="E137" s="376" t="n"/>
      <c r="F137" s="407" t="n">
        <v>1.35</v>
      </c>
      <c r="G137" s="38" t="n">
        <v>8</v>
      </c>
      <c r="H137" s="407" t="n">
        <v>10.8</v>
      </c>
      <c r="I137" s="407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0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37" s="409" t="n"/>
      <c r="O137" s="409" t="n"/>
      <c r="P137" s="409" t="n"/>
      <c r="Q137" s="376" t="n"/>
      <c r="R137" s="40" t="inlineStr"/>
      <c r="S137" s="40" t="inlineStr"/>
      <c r="T137" s="41" t="inlineStr">
        <is>
          <t>кг</t>
        </is>
      </c>
      <c r="U137" s="410" t="n">
        <v>0</v>
      </c>
      <c r="V137" s="411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</row>
    <row r="138" ht="27" customHeight="1">
      <c r="A138" s="64" t="inlineStr">
        <is>
          <t>SU000058</t>
        </is>
      </c>
      <c r="B138" s="64" t="inlineStr">
        <is>
          <t>P002048</t>
        </is>
      </c>
      <c r="C138" s="37" t="n">
        <v>4301011347</v>
      </c>
      <c r="D138" s="131" t="n">
        <v>4607091386073</v>
      </c>
      <c r="E138" s="376" t="n"/>
      <c r="F138" s="407" t="n">
        <v>0.9</v>
      </c>
      <c r="G138" s="38" t="n">
        <v>10</v>
      </c>
      <c r="H138" s="407" t="n">
        <v>9</v>
      </c>
      <c r="I138" s="407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1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38" s="409" t="n"/>
      <c r="O138" s="409" t="n"/>
      <c r="P138" s="409" t="n"/>
      <c r="Q138" s="376" t="n"/>
      <c r="R138" s="40" t="inlineStr"/>
      <c r="S138" s="40" t="inlineStr"/>
      <c r="T138" s="41" t="inlineStr">
        <is>
          <t>кг</t>
        </is>
      </c>
      <c r="U138" s="410" t="n">
        <v>0</v>
      </c>
      <c r="V138" s="411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SU001780</t>
        </is>
      </c>
      <c r="B139" s="64" t="inlineStr">
        <is>
          <t>P003075</t>
        </is>
      </c>
      <c r="C139" s="37" t="n">
        <v>4301011395</v>
      </c>
      <c r="D139" s="131" t="n">
        <v>4607091387322</v>
      </c>
      <c r="E139" s="376" t="n"/>
      <c r="F139" s="407" t="n">
        <v>1.35</v>
      </c>
      <c r="G139" s="38" t="n">
        <v>8</v>
      </c>
      <c r="H139" s="407" t="n">
        <v>10.8</v>
      </c>
      <c r="I139" s="407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2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39" s="409" t="n"/>
      <c r="O139" s="409" t="n"/>
      <c r="P139" s="409" t="n"/>
      <c r="Q139" s="376" t="n"/>
      <c r="R139" s="40" t="inlineStr"/>
      <c r="S139" s="40" t="inlineStr"/>
      <c r="T139" s="41" t="inlineStr">
        <is>
          <t>кг</t>
        </is>
      </c>
      <c r="U139" s="410" t="n">
        <v>0</v>
      </c>
      <c r="V139" s="411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SU001780</t>
        </is>
      </c>
      <c r="B140" s="64" t="inlineStr">
        <is>
          <t>P001780</t>
        </is>
      </c>
      <c r="C140" s="37" t="n">
        <v>4301010928</v>
      </c>
      <c r="D140" s="131" t="n">
        <v>4607091387322</v>
      </c>
      <c r="E140" s="376" t="n"/>
      <c r="F140" s="407" t="n">
        <v>1.35</v>
      </c>
      <c r="G140" s="38" t="n">
        <v>8</v>
      </c>
      <c r="H140" s="407" t="n">
        <v>10.8</v>
      </c>
      <c r="I140" s="407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3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0" s="409" t="n"/>
      <c r="O140" s="409" t="n"/>
      <c r="P140" s="409" t="n"/>
      <c r="Q140" s="376" t="n"/>
      <c r="R140" s="40" t="inlineStr"/>
      <c r="S140" s="40" t="inlineStr"/>
      <c r="T140" s="41" t="inlineStr">
        <is>
          <t>кг</t>
        </is>
      </c>
      <c r="U140" s="410" t="n">
        <v>0</v>
      </c>
      <c r="V140" s="411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SU001778</t>
        </is>
      </c>
      <c r="B141" s="64" t="inlineStr">
        <is>
          <t>P001778</t>
        </is>
      </c>
      <c r="C141" s="37" t="n">
        <v>4301011311</v>
      </c>
      <c r="D141" s="131" t="n">
        <v>4607091387377</v>
      </c>
      <c r="E141" s="376" t="n"/>
      <c r="F141" s="407" t="n">
        <v>1.35</v>
      </c>
      <c r="G141" s="38" t="n">
        <v>8</v>
      </c>
      <c r="H141" s="407" t="n">
        <v>10.8</v>
      </c>
      <c r="I141" s="407" t="n">
        <v>11.28</v>
      </c>
      <c r="J141" s="38" t="n">
        <v>56</v>
      </c>
      <c r="K141" s="39" t="inlineStr">
        <is>
          <t>СК1</t>
        </is>
      </c>
      <c r="L141" s="38" t="n">
        <v>55</v>
      </c>
      <c r="M141" s="484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1" s="409" t="n"/>
      <c r="O141" s="409" t="n"/>
      <c r="P141" s="409" t="n"/>
      <c r="Q141" s="376" t="n"/>
      <c r="R141" s="40" t="inlineStr"/>
      <c r="S141" s="40" t="inlineStr"/>
      <c r="T141" s="41" t="inlineStr">
        <is>
          <t>кг</t>
        </is>
      </c>
      <c r="U141" s="410" t="n">
        <v>0</v>
      </c>
      <c r="V141" s="411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SU000043</t>
        </is>
      </c>
      <c r="B142" s="64" t="inlineStr">
        <is>
          <t>P001807</t>
        </is>
      </c>
      <c r="C142" s="37" t="n">
        <v>4301010945</v>
      </c>
      <c r="D142" s="131" t="n">
        <v>4607091387353</v>
      </c>
      <c r="E142" s="376" t="n"/>
      <c r="F142" s="407" t="n">
        <v>1.35</v>
      </c>
      <c r="G142" s="38" t="n">
        <v>8</v>
      </c>
      <c r="H142" s="407" t="n">
        <v>10.8</v>
      </c>
      <c r="I142" s="407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85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/>
      </c>
      <c r="N142" s="409" t="n"/>
      <c r="O142" s="409" t="n"/>
      <c r="P142" s="409" t="n"/>
      <c r="Q142" s="376" t="n"/>
      <c r="R142" s="40" t="inlineStr"/>
      <c r="S142" s="40" t="inlineStr"/>
      <c r="T142" s="41" t="inlineStr">
        <is>
          <t>кг</t>
        </is>
      </c>
      <c r="U142" s="410" t="n">
        <v>0</v>
      </c>
      <c r="V142" s="411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SU001800</t>
        </is>
      </c>
      <c r="B143" s="64" t="inlineStr">
        <is>
          <t>P001800</t>
        </is>
      </c>
      <c r="C143" s="37" t="n">
        <v>4301011328</v>
      </c>
      <c r="D143" s="131" t="n">
        <v>4607091386011</v>
      </c>
      <c r="E143" s="376" t="n"/>
      <c r="F143" s="407" t="n">
        <v>0.5</v>
      </c>
      <c r="G143" s="38" t="n">
        <v>10</v>
      </c>
      <c r="H143" s="407" t="n">
        <v>5</v>
      </c>
      <c r="I143" s="407" t="n">
        <v>5.21</v>
      </c>
      <c r="J143" s="38" t="n">
        <v>120</v>
      </c>
      <c r="K143" s="39" t="inlineStr">
        <is>
          <t>СК2</t>
        </is>
      </c>
      <c r="L143" s="38" t="n">
        <v>55</v>
      </c>
      <c r="M143" s="486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3" s="409" t="n"/>
      <c r="O143" s="409" t="n"/>
      <c r="P143" s="409" t="n"/>
      <c r="Q143" s="376" t="n"/>
      <c r="R143" s="40" t="inlineStr"/>
      <c r="S143" s="40" t="inlineStr"/>
      <c r="T143" s="41" t="inlineStr">
        <is>
          <t>кг</t>
        </is>
      </c>
      <c r="U143" s="410" t="n">
        <v>0</v>
      </c>
      <c r="V143" s="411">
        <f>IFERROR(IF(U143="",0,CEILING((U143/$H143),1)*$H143),"")</f>
        <v/>
      </c>
      <c r="W143" s="42">
        <f>IFERROR(IF(V143=0,"",ROUNDUP(V143/H143,0)*0.00937),"")</f>
        <v/>
      </c>
      <c r="X143" s="69" t="inlineStr"/>
      <c r="Y143" s="70" t="inlineStr"/>
    </row>
    <row r="144" ht="27" customHeight="1">
      <c r="A144" s="64" t="inlineStr">
        <is>
          <t>SU001805</t>
        </is>
      </c>
      <c r="B144" s="64" t="inlineStr">
        <is>
          <t>P001805</t>
        </is>
      </c>
      <c r="C144" s="37" t="n">
        <v>4301011329</v>
      </c>
      <c r="D144" s="131" t="n">
        <v>4607091387308</v>
      </c>
      <c r="E144" s="376" t="n"/>
      <c r="F144" s="407" t="n">
        <v>0.5</v>
      </c>
      <c r="G144" s="38" t="n">
        <v>10</v>
      </c>
      <c r="H144" s="407" t="n">
        <v>5</v>
      </c>
      <c r="I144" s="407" t="n">
        <v>5.21</v>
      </c>
      <c r="J144" s="38" t="n">
        <v>120</v>
      </c>
      <c r="K144" s="39" t="inlineStr">
        <is>
          <t>СК2</t>
        </is>
      </c>
      <c r="L144" s="38" t="n">
        <v>55</v>
      </c>
      <c r="M144" s="487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4" s="409" t="n"/>
      <c r="O144" s="409" t="n"/>
      <c r="P144" s="409" t="n"/>
      <c r="Q144" s="376" t="n"/>
      <c r="R144" s="40" t="inlineStr"/>
      <c r="S144" s="40" t="inlineStr"/>
      <c r="T144" s="41" t="inlineStr">
        <is>
          <t>кг</t>
        </is>
      </c>
      <c r="U144" s="410" t="n">
        <v>0</v>
      </c>
      <c r="V144" s="411">
        <f>IFERROR(IF(U144="",0,CEILING((U144/$H144),1)*$H144),"")</f>
        <v/>
      </c>
      <c r="W144" s="42">
        <f>IFERROR(IF(V144=0,"",ROUNDUP(V144/H144,0)*0.00937),"")</f>
        <v/>
      </c>
      <c r="X144" s="69" t="inlineStr"/>
      <c r="Y144" s="70" t="inlineStr"/>
    </row>
    <row r="145" ht="27" customHeight="1">
      <c r="A145" s="64" t="inlineStr">
        <is>
          <t>SU001829</t>
        </is>
      </c>
      <c r="B145" s="64" t="inlineStr">
        <is>
          <t>P001829</t>
        </is>
      </c>
      <c r="C145" s="37" t="n">
        <v>4301011049</v>
      </c>
      <c r="D145" s="131" t="n">
        <v>4607091387339</v>
      </c>
      <c r="E145" s="376" t="n"/>
      <c r="F145" s="407" t="n">
        <v>0.5</v>
      </c>
      <c r="G145" s="38" t="n">
        <v>10</v>
      </c>
      <c r="H145" s="407" t="n">
        <v>5</v>
      </c>
      <c r="I145" s="407" t="n">
        <v>5.24</v>
      </c>
      <c r="J145" s="38" t="n">
        <v>120</v>
      </c>
      <c r="K145" s="39" t="inlineStr">
        <is>
          <t>СК1</t>
        </is>
      </c>
      <c r="L145" s="38" t="n">
        <v>55</v>
      </c>
      <c r="M145" s="488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5" s="409" t="n"/>
      <c r="O145" s="409" t="n"/>
      <c r="P145" s="409" t="n"/>
      <c r="Q145" s="376" t="n"/>
      <c r="R145" s="40" t="inlineStr"/>
      <c r="S145" s="40" t="inlineStr"/>
      <c r="T145" s="41" t="inlineStr">
        <is>
          <t>кг</t>
        </is>
      </c>
      <c r="U145" s="410" t="n">
        <v>0</v>
      </c>
      <c r="V145" s="411">
        <f>IFERROR(IF(U145="",0,CEILING((U145/$H145),1)*$H145),"")</f>
        <v/>
      </c>
      <c r="W145" s="42">
        <f>IFERROR(IF(V145=0,"",ROUNDUP(V145/H145,0)*0.00937),"")</f>
        <v/>
      </c>
      <c r="X145" s="69" t="inlineStr"/>
      <c r="Y145" s="70" t="inlineStr"/>
    </row>
    <row r="146" ht="27" customHeight="1">
      <c r="A146" s="64" t="inlineStr">
        <is>
          <t>SU002894</t>
        </is>
      </c>
      <c r="B146" s="64" t="inlineStr">
        <is>
          <t>P003314</t>
        </is>
      </c>
      <c r="C146" s="37" t="n">
        <v>4301011573</v>
      </c>
      <c r="D146" s="131" t="n">
        <v>4680115881938</v>
      </c>
      <c r="E146" s="376" t="n"/>
      <c r="F146" s="407" t="n">
        <v>0.4</v>
      </c>
      <c r="G146" s="38" t="n">
        <v>10</v>
      </c>
      <c r="H146" s="407" t="n">
        <v>4</v>
      </c>
      <c r="I146" s="407" t="n">
        <v>4.24</v>
      </c>
      <c r="J146" s="38" t="n">
        <v>120</v>
      </c>
      <c r="K146" s="39" t="inlineStr">
        <is>
          <t>СК1</t>
        </is>
      </c>
      <c r="L146" s="38" t="n">
        <v>90</v>
      </c>
      <c r="M146" s="489" t="inlineStr">
        <is>
          <t>Вареные колбасы пастеризованная "Стародворская без шпика" Фикс.вес 0,4 п/а ТМ " Стародворье"</t>
        </is>
      </c>
      <c r="N146" s="409" t="n"/>
      <c r="O146" s="409" t="n"/>
      <c r="P146" s="409" t="n"/>
      <c r="Q146" s="376" t="n"/>
      <c r="R146" s="40" t="inlineStr"/>
      <c r="S146" s="40" t="inlineStr"/>
      <c r="T146" s="41" t="inlineStr">
        <is>
          <t>кг</t>
        </is>
      </c>
      <c r="U146" s="410" t="n">
        <v>0</v>
      </c>
      <c r="V146" s="411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131" t="n">
        <v>4680115881396</v>
      </c>
      <c r="E147" s="376" t="n"/>
      <c r="F147" s="407" t="n">
        <v>0.45</v>
      </c>
      <c r="G147" s="38" t="n">
        <v>6</v>
      </c>
      <c r="H147" s="407" t="n">
        <v>2.7</v>
      </c>
      <c r="I147" s="407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490" t="inlineStr">
        <is>
          <t>Вареные колбасы Сочинка с сочным окороком ТМ Стародворье ф/в 0,45 кг</t>
        </is>
      </c>
      <c r="N147" s="409" t="n"/>
      <c r="O147" s="409" t="n"/>
      <c r="P147" s="409" t="n"/>
      <c r="Q147" s="376" t="n"/>
      <c r="R147" s="40" t="inlineStr"/>
      <c r="S147" s="40" t="inlineStr"/>
      <c r="T147" s="41" t="inlineStr">
        <is>
          <t>кг</t>
        </is>
      </c>
      <c r="U147" s="410" t="n">
        <v>0</v>
      </c>
      <c r="V147" s="411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</row>
    <row r="148" ht="27" customHeight="1">
      <c r="A148" s="64" t="inlineStr">
        <is>
          <t>SU000078</t>
        </is>
      </c>
      <c r="B148" s="64" t="inlineStr">
        <is>
          <t>P001806</t>
        </is>
      </c>
      <c r="C148" s="37" t="n">
        <v>4301010944</v>
      </c>
      <c r="D148" s="131" t="n">
        <v>4607091387346</v>
      </c>
      <c r="E148" s="376" t="n"/>
      <c r="F148" s="407" t="n">
        <v>0.4</v>
      </c>
      <c r="G148" s="38" t="n">
        <v>10</v>
      </c>
      <c r="H148" s="407" t="n">
        <v>4</v>
      </c>
      <c r="I148" s="407" t="n">
        <v>4.24</v>
      </c>
      <c r="J148" s="38" t="n">
        <v>120</v>
      </c>
      <c r="K148" s="39" t="inlineStr">
        <is>
          <t>СК1</t>
        </is>
      </c>
      <c r="L148" s="38" t="n">
        <v>55</v>
      </c>
      <c r="M148" s="491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/>
      </c>
      <c r="N148" s="409" t="n"/>
      <c r="O148" s="409" t="n"/>
      <c r="P148" s="409" t="n"/>
      <c r="Q148" s="376" t="n"/>
      <c r="R148" s="40" t="inlineStr"/>
      <c r="S148" s="40" t="inlineStr"/>
      <c r="T148" s="41" t="inlineStr">
        <is>
          <t>кг</t>
        </is>
      </c>
      <c r="U148" s="410" t="n">
        <v>0</v>
      </c>
      <c r="V148" s="411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>
      <c r="A149" s="13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412" t="n"/>
      <c r="M149" s="413" t="inlineStr">
        <is>
          <t>Итого</t>
        </is>
      </c>
      <c r="N149" s="384" t="n"/>
      <c r="O149" s="384" t="n"/>
      <c r="P149" s="384" t="n"/>
      <c r="Q149" s="384" t="n"/>
      <c r="R149" s="384" t="n"/>
      <c r="S149" s="385" t="n"/>
      <c r="T149" s="43" t="inlineStr">
        <is>
          <t>кор</t>
        </is>
      </c>
      <c r="U149" s="414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</f>
        <v/>
      </c>
      <c r="V149" s="414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</f>
        <v/>
      </c>
      <c r="W149" s="414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415" t="n"/>
      <c r="Y149" s="415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412" t="n"/>
      <c r="M150" s="413" t="inlineStr">
        <is>
          <t>Итого</t>
        </is>
      </c>
      <c r="N150" s="384" t="n"/>
      <c r="O150" s="384" t="n"/>
      <c r="P150" s="384" t="n"/>
      <c r="Q150" s="384" t="n"/>
      <c r="R150" s="384" t="n"/>
      <c r="S150" s="385" t="n"/>
      <c r="T150" s="43" t="inlineStr">
        <is>
          <t>кг</t>
        </is>
      </c>
      <c r="U150" s="414">
        <f>IFERROR(SUM(U134:U148),"0")</f>
        <v/>
      </c>
      <c r="V150" s="414">
        <f>IFERROR(SUM(V134:V148),"0")</f>
        <v/>
      </c>
      <c r="W150" s="43" t="n"/>
      <c r="X150" s="415" t="n"/>
      <c r="Y150" s="415" t="n"/>
    </row>
    <row r="151" ht="14.25" customHeight="1">
      <c r="A151" s="1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30" t="n"/>
      <c r="Y151" s="130" t="n"/>
    </row>
    <row r="152" ht="27" customHeight="1">
      <c r="A152" s="64" t="inlineStr">
        <is>
          <t>SU002788</t>
        </is>
      </c>
      <c r="B152" s="64" t="inlineStr">
        <is>
          <t>P003190</t>
        </is>
      </c>
      <c r="C152" s="37" t="n">
        <v>4301020254</v>
      </c>
      <c r="D152" s="131" t="n">
        <v>4680115881914</v>
      </c>
      <c r="E152" s="376" t="n"/>
      <c r="F152" s="407" t="n">
        <v>0.4</v>
      </c>
      <c r="G152" s="38" t="n">
        <v>10</v>
      </c>
      <c r="H152" s="407" t="n">
        <v>4</v>
      </c>
      <c r="I152" s="407" t="n">
        <v>4.24</v>
      </c>
      <c r="J152" s="38" t="n">
        <v>120</v>
      </c>
      <c r="K152" s="39" t="inlineStr">
        <is>
          <t>СК1</t>
        </is>
      </c>
      <c r="L152" s="38" t="n">
        <v>90</v>
      </c>
      <c r="M152" s="492" t="inlineStr">
        <is>
          <t>Ветчины пастеризованная "Нежная с филе" Фикс.вес 0,4 п/а ТМ "Особый рецепт"</t>
        </is>
      </c>
      <c r="N152" s="409" t="n"/>
      <c r="O152" s="409" t="n"/>
      <c r="P152" s="409" t="n"/>
      <c r="Q152" s="376" t="n"/>
      <c r="R152" s="40" t="inlineStr"/>
      <c r="S152" s="40" t="inlineStr"/>
      <c r="T152" s="41" t="inlineStr">
        <is>
          <t>кг</t>
        </is>
      </c>
      <c r="U152" s="410" t="n">
        <v>0</v>
      </c>
      <c r="V152" s="411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131" t="n">
        <v>4680115880764</v>
      </c>
      <c r="E153" s="376" t="n"/>
      <c r="F153" s="407" t="n">
        <v>0.35</v>
      </c>
      <c r="G153" s="38" t="n">
        <v>6</v>
      </c>
      <c r="H153" s="407" t="n">
        <v>2.1</v>
      </c>
      <c r="I153" s="407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493" t="inlineStr">
        <is>
          <t>Ветчина Сочинка с сочным окороком ТМ Стародворье полиамид ф/в 0,35 кг</t>
        </is>
      </c>
      <c r="N153" s="409" t="n"/>
      <c r="O153" s="409" t="n"/>
      <c r="P153" s="409" t="n"/>
      <c r="Q153" s="376" t="n"/>
      <c r="R153" s="40" t="inlineStr"/>
      <c r="S153" s="40" t="inlineStr"/>
      <c r="T153" s="41" t="inlineStr">
        <is>
          <t>кг</t>
        </is>
      </c>
      <c r="U153" s="410" t="n">
        <v>0</v>
      </c>
      <c r="V153" s="411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</row>
    <row r="154">
      <c r="A154" s="13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412" t="n"/>
      <c r="M154" s="413" t="inlineStr">
        <is>
          <t>Итого</t>
        </is>
      </c>
      <c r="N154" s="384" t="n"/>
      <c r="O154" s="384" t="n"/>
      <c r="P154" s="384" t="n"/>
      <c r="Q154" s="384" t="n"/>
      <c r="R154" s="384" t="n"/>
      <c r="S154" s="385" t="n"/>
      <c r="T154" s="43" t="inlineStr">
        <is>
          <t>кор</t>
        </is>
      </c>
      <c r="U154" s="414">
        <f>IFERROR(U152/H152,"0")+IFERROR(U153/H153,"0")</f>
        <v/>
      </c>
      <c r="V154" s="414">
        <f>IFERROR(V152/H152,"0")+IFERROR(V153/H153,"0")</f>
        <v/>
      </c>
      <c r="W154" s="414">
        <f>IFERROR(IF(W152="",0,W152),"0")+IFERROR(IF(W153="",0,W153),"0")</f>
        <v/>
      </c>
      <c r="X154" s="415" t="n"/>
      <c r="Y154" s="415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412" t="n"/>
      <c r="M155" s="413" t="inlineStr">
        <is>
          <t>Итого</t>
        </is>
      </c>
      <c r="N155" s="384" t="n"/>
      <c r="O155" s="384" t="n"/>
      <c r="P155" s="384" t="n"/>
      <c r="Q155" s="384" t="n"/>
      <c r="R155" s="384" t="n"/>
      <c r="S155" s="385" t="n"/>
      <c r="T155" s="43" t="inlineStr">
        <is>
          <t>кг</t>
        </is>
      </c>
      <c r="U155" s="414">
        <f>IFERROR(SUM(U152:U153),"0")</f>
        <v/>
      </c>
      <c r="V155" s="414">
        <f>IFERROR(SUM(V152:V153),"0")</f>
        <v/>
      </c>
      <c r="W155" s="43" t="n"/>
      <c r="X155" s="415" t="n"/>
      <c r="Y155" s="415" t="n"/>
    </row>
    <row r="156" ht="14.25" customHeight="1">
      <c r="A156" s="1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30" t="n"/>
      <c r="Y156" s="130" t="n"/>
    </row>
    <row r="157" ht="27" customHeight="1">
      <c r="A157" s="64" t="inlineStr">
        <is>
          <t>SU001820</t>
        </is>
      </c>
      <c r="B157" s="64" t="inlineStr">
        <is>
          <t>P001820</t>
        </is>
      </c>
      <c r="C157" s="37" t="n">
        <v>4301030878</v>
      </c>
      <c r="D157" s="131" t="n">
        <v>4607091387193</v>
      </c>
      <c r="E157" s="376" t="n"/>
      <c r="F157" s="407" t="n">
        <v>0.7</v>
      </c>
      <c r="G157" s="38" t="n">
        <v>6</v>
      </c>
      <c r="H157" s="407" t="n">
        <v>4.2</v>
      </c>
      <c r="I157" s="407" t="n">
        <v>4.46</v>
      </c>
      <c r="J157" s="38" t="n">
        <v>156</v>
      </c>
      <c r="K157" s="39" t="inlineStr">
        <is>
          <t>СК2</t>
        </is>
      </c>
      <c r="L157" s="38" t="n">
        <v>35</v>
      </c>
      <c r="M157" s="494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/>
      </c>
      <c r="N157" s="409" t="n"/>
      <c r="O157" s="409" t="n"/>
      <c r="P157" s="409" t="n"/>
      <c r="Q157" s="376" t="n"/>
      <c r="R157" s="40" t="inlineStr"/>
      <c r="S157" s="40" t="inlineStr"/>
      <c r="T157" s="41" t="inlineStr">
        <is>
          <t>кг</t>
        </is>
      </c>
      <c r="U157" s="410" t="n">
        <v>240</v>
      </c>
      <c r="V157" s="411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</row>
    <row r="158" ht="27" customHeight="1">
      <c r="A158" s="64" t="inlineStr">
        <is>
          <t>SU001822</t>
        </is>
      </c>
      <c r="B158" s="64" t="inlineStr">
        <is>
          <t>P003013</t>
        </is>
      </c>
      <c r="C158" s="37" t="n">
        <v>4301031153</v>
      </c>
      <c r="D158" s="131" t="n">
        <v>4607091387230</v>
      </c>
      <c r="E158" s="376" t="n"/>
      <c r="F158" s="407" t="n">
        <v>0.7</v>
      </c>
      <c r="G158" s="38" t="n">
        <v>6</v>
      </c>
      <c r="H158" s="407" t="n">
        <v>4.2</v>
      </c>
      <c r="I158" s="407" t="n">
        <v>4.46</v>
      </c>
      <c r="J158" s="38" t="n">
        <v>156</v>
      </c>
      <c r="K158" s="39" t="inlineStr">
        <is>
          <t>СК2</t>
        </is>
      </c>
      <c r="L158" s="38" t="n">
        <v>40</v>
      </c>
      <c r="M158" s="495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/>
      </c>
      <c r="N158" s="409" t="n"/>
      <c r="O158" s="409" t="n"/>
      <c r="P158" s="409" t="n"/>
      <c r="Q158" s="376" t="n"/>
      <c r="R158" s="40" t="inlineStr"/>
      <c r="S158" s="40" t="inlineStr"/>
      <c r="T158" s="41" t="inlineStr">
        <is>
          <t>кг</t>
        </is>
      </c>
      <c r="U158" s="410" t="n">
        <v>100</v>
      </c>
      <c r="V158" s="411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</row>
    <row r="159" ht="27" customHeight="1">
      <c r="A159" s="64" t="inlineStr">
        <is>
          <t>SU002756</t>
        </is>
      </c>
      <c r="B159" s="64" t="inlineStr">
        <is>
          <t>P003179</t>
        </is>
      </c>
      <c r="C159" s="37" t="n">
        <v>4301031191</v>
      </c>
      <c r="D159" s="131" t="n">
        <v>4680115880993</v>
      </c>
      <c r="E159" s="376" t="n"/>
      <c r="F159" s="407" t="n">
        <v>0.7</v>
      </c>
      <c r="G159" s="38" t="n">
        <v>6</v>
      </c>
      <c r="H159" s="407" t="n">
        <v>4.2</v>
      </c>
      <c r="I159" s="407" t="n">
        <v>4.46</v>
      </c>
      <c r="J159" s="38" t="n">
        <v>156</v>
      </c>
      <c r="K159" s="39" t="inlineStr">
        <is>
          <t>СК2</t>
        </is>
      </c>
      <c r="L159" s="38" t="n">
        <v>40</v>
      </c>
      <c r="M159" s="496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59" s="409" t="n"/>
      <c r="O159" s="409" t="n"/>
      <c r="P159" s="409" t="n"/>
      <c r="Q159" s="376" t="n"/>
      <c r="R159" s="40" t="inlineStr"/>
      <c r="S159" s="40" t="inlineStr"/>
      <c r="T159" s="41" t="inlineStr">
        <is>
          <t>кг</t>
        </is>
      </c>
      <c r="U159" s="410" t="n">
        <v>560</v>
      </c>
      <c r="V159" s="411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</row>
    <row r="160" ht="27" customHeight="1">
      <c r="A160" s="64" t="inlineStr">
        <is>
          <t>SU002876</t>
        </is>
      </c>
      <c r="B160" s="64" t="inlineStr">
        <is>
          <t>P003276</t>
        </is>
      </c>
      <c r="C160" s="37" t="n">
        <v>4301031204</v>
      </c>
      <c r="D160" s="131" t="n">
        <v>4680115881761</v>
      </c>
      <c r="E160" s="376" t="n"/>
      <c r="F160" s="407" t="n">
        <v>0.7</v>
      </c>
      <c r="G160" s="38" t="n">
        <v>6</v>
      </c>
      <c r="H160" s="407" t="n">
        <v>4.2</v>
      </c>
      <c r="I160" s="407" t="n">
        <v>4.46</v>
      </c>
      <c r="J160" s="38" t="n">
        <v>156</v>
      </c>
      <c r="K160" s="39" t="inlineStr">
        <is>
          <t>СК2</t>
        </is>
      </c>
      <c r="L160" s="38" t="n">
        <v>40</v>
      </c>
      <c r="M160" s="497" t="inlineStr">
        <is>
          <t>Копченые колбасы Салями Мясорубская с рубленым шпиком Бордо Весовой фиброуз Стародворье</t>
        </is>
      </c>
      <c r="N160" s="409" t="n"/>
      <c r="O160" s="409" t="n"/>
      <c r="P160" s="409" t="n"/>
      <c r="Q160" s="376" t="n"/>
      <c r="R160" s="40" t="inlineStr"/>
      <c r="S160" s="40" t="inlineStr"/>
      <c r="T160" s="41" t="inlineStr">
        <is>
          <t>кг</t>
        </is>
      </c>
      <c r="U160" s="410" t="n">
        <v>0</v>
      </c>
      <c r="V160" s="411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</row>
    <row r="161" ht="27" customHeight="1">
      <c r="A161" s="64" t="inlineStr">
        <is>
          <t>SU002847</t>
        </is>
      </c>
      <c r="B161" s="64" t="inlineStr">
        <is>
          <t>P003259</t>
        </is>
      </c>
      <c r="C161" s="37" t="n">
        <v>4301031201</v>
      </c>
      <c r="D161" s="131" t="n">
        <v>4680115881563</v>
      </c>
      <c r="E161" s="376" t="n"/>
      <c r="F161" s="407" t="n">
        <v>0.7</v>
      </c>
      <c r="G161" s="38" t="n">
        <v>6</v>
      </c>
      <c r="H161" s="407" t="n">
        <v>4.2</v>
      </c>
      <c r="I161" s="407" t="n">
        <v>4.4</v>
      </c>
      <c r="J161" s="38" t="n">
        <v>156</v>
      </c>
      <c r="K161" s="39" t="inlineStr">
        <is>
          <t>СК2</t>
        </is>
      </c>
      <c r="L161" s="38" t="n">
        <v>40</v>
      </c>
      <c r="M161" s="498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1" s="409" t="n"/>
      <c r="O161" s="409" t="n"/>
      <c r="P161" s="409" t="n"/>
      <c r="Q161" s="376" t="n"/>
      <c r="R161" s="40" t="inlineStr"/>
      <c r="S161" s="40" t="inlineStr"/>
      <c r="T161" s="41" t="inlineStr">
        <is>
          <t>кг</t>
        </is>
      </c>
      <c r="U161" s="410" t="n">
        <v>0</v>
      </c>
      <c r="V161" s="411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131" t="n">
        <v>4680115882683</v>
      </c>
      <c r="E162" s="376" t="n"/>
      <c r="F162" s="407" t="n">
        <v>0.9</v>
      </c>
      <c r="G162" s="38" t="n">
        <v>6</v>
      </c>
      <c r="H162" s="407" t="n">
        <v>5.4</v>
      </c>
      <c r="I162" s="407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499" t="inlineStr">
        <is>
          <t>В/к колбасы "Сочинка по-европейски с сочной грудинкой" Весовой фиброуз ТМ "Стародворье"</t>
        </is>
      </c>
      <c r="N162" s="409" t="n"/>
      <c r="O162" s="409" t="n"/>
      <c r="P162" s="409" t="n"/>
      <c r="Q162" s="376" t="n"/>
      <c r="R162" s="40" t="inlineStr"/>
      <c r="S162" s="40" t="inlineStr"/>
      <c r="T162" s="41" t="inlineStr">
        <is>
          <t>кг</t>
        </is>
      </c>
      <c r="U162" s="410" t="n">
        <v>0</v>
      </c>
      <c r="V162" s="411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/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131" t="n">
        <v>4680115882690</v>
      </c>
      <c r="E163" s="376" t="n"/>
      <c r="F163" s="407" t="n">
        <v>0.9</v>
      </c>
      <c r="G163" s="38" t="n">
        <v>6</v>
      </c>
      <c r="H163" s="407" t="n">
        <v>5.4</v>
      </c>
      <c r="I163" s="407" t="n">
        <v>5.88</v>
      </c>
      <c r="J163" s="38" t="n">
        <v>56</v>
      </c>
      <c r="K163" s="39" t="inlineStr">
        <is>
          <t>СК2</t>
        </is>
      </c>
      <c r="L163" s="38" t="n">
        <v>40</v>
      </c>
      <c r="M163" s="500" t="inlineStr">
        <is>
          <t>В/к колбасы "Сочинка по-фински с сочным окороком" Весовой фиброуз ТМ "Стародворье"</t>
        </is>
      </c>
      <c r="N163" s="409" t="n"/>
      <c r="O163" s="409" t="n"/>
      <c r="P163" s="409" t="n"/>
      <c r="Q163" s="376" t="n"/>
      <c r="R163" s="40" t="inlineStr"/>
      <c r="S163" s="40" t="inlineStr"/>
      <c r="T163" s="41" t="inlineStr">
        <is>
          <t>кг</t>
        </is>
      </c>
      <c r="U163" s="410" t="n">
        <v>0</v>
      </c>
      <c r="V163" s="411">
        <f>IFERROR(IF(U163="",0,CEILING((U163/$H163),1)*$H163),"")</f>
        <v/>
      </c>
      <c r="W163" s="42">
        <f>IFERROR(IF(V163=0,"",ROUNDUP(V163/H163,0)*0.02175),"")</f>
        <v/>
      </c>
      <c r="X163" s="69" t="inlineStr"/>
      <c r="Y163" s="70" t="inlineStr"/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131" t="n">
        <v>4680115882669</v>
      </c>
      <c r="E164" s="376" t="n"/>
      <c r="F164" s="407" t="n">
        <v>0.9</v>
      </c>
      <c r="G164" s="38" t="n">
        <v>6</v>
      </c>
      <c r="H164" s="407" t="n">
        <v>5.4</v>
      </c>
      <c r="I164" s="407" t="n">
        <v>5.88</v>
      </c>
      <c r="J164" s="38" t="n">
        <v>56</v>
      </c>
      <c r="K164" s="39" t="inlineStr">
        <is>
          <t>СК2</t>
        </is>
      </c>
      <c r="L164" s="38" t="n">
        <v>40</v>
      </c>
      <c r="M164" s="501" t="inlineStr">
        <is>
          <t>П/к колбасы "Сочинка зернистая с сочной грудинкой" Весовой фиброуз ТМ "Стародворье"</t>
        </is>
      </c>
      <c r="N164" s="409" t="n"/>
      <c r="O164" s="409" t="n"/>
      <c r="P164" s="409" t="n"/>
      <c r="Q164" s="376" t="n"/>
      <c r="R164" s="40" t="inlineStr"/>
      <c r="S164" s="40" t="inlineStr"/>
      <c r="T164" s="41" t="inlineStr">
        <is>
          <t>кг</t>
        </is>
      </c>
      <c r="U164" s="410" t="n">
        <v>0</v>
      </c>
      <c r="V164" s="411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131" t="n">
        <v>4680115882676</v>
      </c>
      <c r="E165" s="376" t="n"/>
      <c r="F165" s="407" t="n">
        <v>0.9</v>
      </c>
      <c r="G165" s="38" t="n">
        <v>6</v>
      </c>
      <c r="H165" s="407" t="n">
        <v>5.4</v>
      </c>
      <c r="I165" s="407" t="n">
        <v>5.88</v>
      </c>
      <c r="J165" s="38" t="n">
        <v>56</v>
      </c>
      <c r="K165" s="39" t="inlineStr">
        <is>
          <t>СК2</t>
        </is>
      </c>
      <c r="L165" s="38" t="n">
        <v>40</v>
      </c>
      <c r="M165" s="502" t="inlineStr">
        <is>
          <t>П/к колбасы "Сочинка рубленая с сочным окороком" Весовой фиброуз ТМ "Стародворье"</t>
        </is>
      </c>
      <c r="N165" s="409" t="n"/>
      <c r="O165" s="409" t="n"/>
      <c r="P165" s="409" t="n"/>
      <c r="Q165" s="376" t="n"/>
      <c r="R165" s="40" t="inlineStr"/>
      <c r="S165" s="40" t="inlineStr"/>
      <c r="T165" s="41" t="inlineStr">
        <is>
          <t>кг</t>
        </is>
      </c>
      <c r="U165" s="410" t="n">
        <v>0</v>
      </c>
      <c r="V165" s="411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</row>
    <row r="166" ht="27" customHeight="1">
      <c r="A166" s="64" t="inlineStr">
        <is>
          <t>SU002579</t>
        </is>
      </c>
      <c r="B166" s="64" t="inlineStr">
        <is>
          <t>P003012</t>
        </is>
      </c>
      <c r="C166" s="37" t="n">
        <v>4301031152</v>
      </c>
      <c r="D166" s="131" t="n">
        <v>4607091387285</v>
      </c>
      <c r="E166" s="376" t="n"/>
      <c r="F166" s="407" t="n">
        <v>0.35</v>
      </c>
      <c r="G166" s="38" t="n">
        <v>6</v>
      </c>
      <c r="H166" s="407" t="n">
        <v>2.1</v>
      </c>
      <c r="I166" s="407" t="n">
        <v>2.23</v>
      </c>
      <c r="J166" s="38" t="n">
        <v>234</v>
      </c>
      <c r="K166" s="39" t="inlineStr">
        <is>
          <t>СК2</t>
        </is>
      </c>
      <c r="L166" s="38" t="n">
        <v>40</v>
      </c>
      <c r="M166" s="503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66" s="409" t="n"/>
      <c r="O166" s="409" t="n"/>
      <c r="P166" s="409" t="n"/>
      <c r="Q166" s="376" t="n"/>
      <c r="R166" s="40" t="inlineStr"/>
      <c r="S166" s="40" t="inlineStr"/>
      <c r="T166" s="41" t="inlineStr">
        <is>
          <t>кг</t>
        </is>
      </c>
      <c r="U166" s="410" t="n">
        <v>0</v>
      </c>
      <c r="V166" s="411">
        <f>IFERROR(IF(U166="",0,CEILING((U166/$H166),1)*$H166),"")</f>
        <v/>
      </c>
      <c r="W166" s="42">
        <f>IFERROR(IF(V166=0,"",ROUNDUP(V166/H166,0)*0.00502),"")</f>
        <v/>
      </c>
      <c r="X166" s="69" t="inlineStr"/>
      <c r="Y166" s="70" t="inlineStr"/>
    </row>
    <row r="167" ht="27" customHeight="1">
      <c r="A167" s="64" t="inlineStr">
        <is>
          <t>SU002660</t>
        </is>
      </c>
      <c r="B167" s="64" t="inlineStr">
        <is>
          <t>P003256</t>
        </is>
      </c>
      <c r="C167" s="37" t="n">
        <v>4301031199</v>
      </c>
      <c r="D167" s="131" t="n">
        <v>4680115880986</v>
      </c>
      <c r="E167" s="376" t="n"/>
      <c r="F167" s="407" t="n">
        <v>0.35</v>
      </c>
      <c r="G167" s="38" t="n">
        <v>6</v>
      </c>
      <c r="H167" s="407" t="n">
        <v>2.1</v>
      </c>
      <c r="I167" s="407" t="n">
        <v>2.23</v>
      </c>
      <c r="J167" s="38" t="n">
        <v>234</v>
      </c>
      <c r="K167" s="39" t="inlineStr">
        <is>
          <t>СК2</t>
        </is>
      </c>
      <c r="L167" s="38" t="n">
        <v>40</v>
      </c>
      <c r="M167" s="504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67" s="409" t="n"/>
      <c r="O167" s="409" t="n"/>
      <c r="P167" s="409" t="n"/>
      <c r="Q167" s="376" t="n"/>
      <c r="R167" s="40" t="inlineStr"/>
      <c r="S167" s="40" t="inlineStr"/>
      <c r="T167" s="41" t="inlineStr">
        <is>
          <t>кг</t>
        </is>
      </c>
      <c r="U167" s="410" t="n">
        <v>0</v>
      </c>
      <c r="V167" s="411">
        <f>IFERROR(IF(U167="",0,CEILING((U167/$H167),1)*$H167),"")</f>
        <v/>
      </c>
      <c r="W167" s="42">
        <f>IFERROR(IF(V167=0,"",ROUNDUP(V167/H167,0)*0.00502),"")</f>
        <v/>
      </c>
      <c r="X167" s="69" t="inlineStr"/>
      <c r="Y167" s="70" t="inlineStr"/>
    </row>
    <row r="168" ht="27" customHeight="1">
      <c r="A168" s="64" t="inlineStr">
        <is>
          <t>SU002826</t>
        </is>
      </c>
      <c r="B168" s="64" t="inlineStr">
        <is>
          <t>P003178</t>
        </is>
      </c>
      <c r="C168" s="37" t="n">
        <v>4301031190</v>
      </c>
      <c r="D168" s="131" t="n">
        <v>4680115880207</v>
      </c>
      <c r="E168" s="376" t="n"/>
      <c r="F168" s="407" t="n">
        <v>0.4</v>
      </c>
      <c r="G168" s="38" t="n">
        <v>6</v>
      </c>
      <c r="H168" s="407" t="n">
        <v>2.4</v>
      </c>
      <c r="I168" s="407" t="n">
        <v>2.63</v>
      </c>
      <c r="J168" s="38" t="n">
        <v>156</v>
      </c>
      <c r="K168" s="39" t="inlineStr">
        <is>
          <t>СК2</t>
        </is>
      </c>
      <c r="L168" s="38" t="n">
        <v>40</v>
      </c>
      <c r="M168" s="505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68" s="409" t="n"/>
      <c r="O168" s="409" t="n"/>
      <c r="P168" s="409" t="n"/>
      <c r="Q168" s="376" t="n"/>
      <c r="R168" s="40" t="inlineStr"/>
      <c r="S168" s="40" t="inlineStr"/>
      <c r="T168" s="41" t="inlineStr">
        <is>
          <t>кг</t>
        </is>
      </c>
      <c r="U168" s="410" t="n">
        <v>0</v>
      </c>
      <c r="V168" s="411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</row>
    <row r="169" ht="27" customHeight="1">
      <c r="A169" s="64" t="inlineStr">
        <is>
          <t>SU002877</t>
        </is>
      </c>
      <c r="B169" s="64" t="inlineStr">
        <is>
          <t>P003277</t>
        </is>
      </c>
      <c r="C169" s="37" t="n">
        <v>4301031205</v>
      </c>
      <c r="D169" s="131" t="n">
        <v>4680115881785</v>
      </c>
      <c r="E169" s="376" t="n"/>
      <c r="F169" s="407" t="n">
        <v>0.35</v>
      </c>
      <c r="G169" s="38" t="n">
        <v>6</v>
      </c>
      <c r="H169" s="407" t="n">
        <v>2.1</v>
      </c>
      <c r="I169" s="407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06" t="inlineStr">
        <is>
          <t>Копченые колбасы Салями Мясорубская с рубленым шпиком срез Бордо ф/в 0,35 фиброуз Стародворье</t>
        </is>
      </c>
      <c r="N169" s="409" t="n"/>
      <c r="O169" s="409" t="n"/>
      <c r="P169" s="409" t="n"/>
      <c r="Q169" s="376" t="n"/>
      <c r="R169" s="40" t="inlineStr"/>
      <c r="S169" s="40" t="inlineStr"/>
      <c r="T169" s="41" t="inlineStr">
        <is>
          <t>кг</t>
        </is>
      </c>
      <c r="U169" s="410" t="n">
        <v>0</v>
      </c>
      <c r="V169" s="411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SU002848</t>
        </is>
      </c>
      <c r="B170" s="64" t="inlineStr">
        <is>
          <t>P003260</t>
        </is>
      </c>
      <c r="C170" s="37" t="n">
        <v>4301031202</v>
      </c>
      <c r="D170" s="131" t="n">
        <v>4680115881679</v>
      </c>
      <c r="E170" s="376" t="n"/>
      <c r="F170" s="407" t="n">
        <v>0.35</v>
      </c>
      <c r="G170" s="38" t="n">
        <v>6</v>
      </c>
      <c r="H170" s="407" t="n">
        <v>2.1</v>
      </c>
      <c r="I170" s="407" t="n">
        <v>2.2</v>
      </c>
      <c r="J170" s="38" t="n">
        <v>234</v>
      </c>
      <c r="K170" s="39" t="inlineStr">
        <is>
          <t>СК2</t>
        </is>
      </c>
      <c r="L170" s="38" t="n">
        <v>40</v>
      </c>
      <c r="M170" s="507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0" s="409" t="n"/>
      <c r="O170" s="409" t="n"/>
      <c r="P170" s="409" t="n"/>
      <c r="Q170" s="376" t="n"/>
      <c r="R170" s="40" t="inlineStr"/>
      <c r="S170" s="40" t="inlineStr"/>
      <c r="T170" s="41" t="inlineStr">
        <is>
          <t>кг</t>
        </is>
      </c>
      <c r="U170" s="410" t="n">
        <v>0</v>
      </c>
      <c r="V170" s="411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</row>
    <row r="171" ht="27" customHeight="1">
      <c r="A171" s="64" t="inlineStr">
        <is>
          <t>SU002659</t>
        </is>
      </c>
      <c r="B171" s="64" t="inlineStr">
        <is>
          <t>P003034</t>
        </is>
      </c>
      <c r="C171" s="37" t="n">
        <v>4301031158</v>
      </c>
      <c r="D171" s="131" t="n">
        <v>4680115880191</v>
      </c>
      <c r="E171" s="376" t="n"/>
      <c r="F171" s="407" t="n">
        <v>0.4</v>
      </c>
      <c r="G171" s="38" t="n">
        <v>6</v>
      </c>
      <c r="H171" s="407" t="n">
        <v>2.4</v>
      </c>
      <c r="I171" s="407" t="n">
        <v>2.5</v>
      </c>
      <c r="J171" s="38" t="n">
        <v>234</v>
      </c>
      <c r="K171" s="39" t="inlineStr">
        <is>
          <t>СК2</t>
        </is>
      </c>
      <c r="L171" s="38" t="n">
        <v>40</v>
      </c>
      <c r="M171" s="508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1" s="409" t="n"/>
      <c r="O171" s="409" t="n"/>
      <c r="P171" s="409" t="n"/>
      <c r="Q171" s="376" t="n"/>
      <c r="R171" s="40" t="inlineStr"/>
      <c r="S171" s="40" t="inlineStr"/>
      <c r="T171" s="41" t="inlineStr">
        <is>
          <t>кг</t>
        </is>
      </c>
      <c r="U171" s="410" t="n">
        <v>0</v>
      </c>
      <c r="V171" s="411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SU002617</t>
        </is>
      </c>
      <c r="B172" s="64" t="inlineStr">
        <is>
          <t>P002951</t>
        </is>
      </c>
      <c r="C172" s="37" t="n">
        <v>4301031151</v>
      </c>
      <c r="D172" s="131" t="n">
        <v>4607091389845</v>
      </c>
      <c r="E172" s="376" t="n"/>
      <c r="F172" s="407" t="n">
        <v>0.35</v>
      </c>
      <c r="G172" s="38" t="n">
        <v>6</v>
      </c>
      <c r="H172" s="407" t="n">
        <v>2.1</v>
      </c>
      <c r="I172" s="407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09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2" s="409" t="n"/>
      <c r="O172" s="409" t="n"/>
      <c r="P172" s="409" t="n"/>
      <c r="Q172" s="376" t="n"/>
      <c r="R172" s="40" t="inlineStr"/>
      <c r="S172" s="40" t="inlineStr"/>
      <c r="T172" s="41" t="inlineStr">
        <is>
          <t>кг</t>
        </is>
      </c>
      <c r="U172" s="410" t="n">
        <v>0</v>
      </c>
      <c r="V172" s="411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>
      <c r="A173" s="139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412" t="n"/>
      <c r="M173" s="413" t="inlineStr">
        <is>
          <t>Итого</t>
        </is>
      </c>
      <c r="N173" s="384" t="n"/>
      <c r="O173" s="384" t="n"/>
      <c r="P173" s="384" t="n"/>
      <c r="Q173" s="384" t="n"/>
      <c r="R173" s="384" t="n"/>
      <c r="S173" s="385" t="n"/>
      <c r="T173" s="43" t="inlineStr">
        <is>
          <t>кор</t>
        </is>
      </c>
      <c r="U173" s="414">
        <f>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</f>
        <v/>
      </c>
      <c r="V173" s="414">
        <f>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</f>
        <v/>
      </c>
      <c r="W173" s="414">
        <f>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</f>
        <v/>
      </c>
      <c r="X173" s="415" t="n"/>
      <c r="Y173" s="415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412" t="n"/>
      <c r="M174" s="413" t="inlineStr">
        <is>
          <t>Итого</t>
        </is>
      </c>
      <c r="N174" s="384" t="n"/>
      <c r="O174" s="384" t="n"/>
      <c r="P174" s="384" t="n"/>
      <c r="Q174" s="384" t="n"/>
      <c r="R174" s="384" t="n"/>
      <c r="S174" s="385" t="n"/>
      <c r="T174" s="43" t="inlineStr">
        <is>
          <t>кг</t>
        </is>
      </c>
      <c r="U174" s="414">
        <f>IFERROR(SUM(U157:U172),"0")</f>
        <v/>
      </c>
      <c r="V174" s="414">
        <f>IFERROR(SUM(V157:V172),"0")</f>
        <v/>
      </c>
      <c r="W174" s="43" t="n"/>
      <c r="X174" s="415" t="n"/>
      <c r="Y174" s="415" t="n"/>
    </row>
    <row r="175" ht="14.25" customHeight="1">
      <c r="A175" s="130" t="inlineStr">
        <is>
          <t>Сосиски</t>
        </is>
      </c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30" t="n"/>
      <c r="Y175" s="13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131" t="n">
        <v>4680115881556</v>
      </c>
      <c r="E176" s="376" t="n"/>
      <c r="F176" s="407" t="n">
        <v>1</v>
      </c>
      <c r="G176" s="38" t="n">
        <v>4</v>
      </c>
      <c r="H176" s="407" t="n">
        <v>4</v>
      </c>
      <c r="I176" s="407" t="n">
        <v>4.408</v>
      </c>
      <c r="J176" s="38" t="n">
        <v>104</v>
      </c>
      <c r="K176" s="39" t="inlineStr">
        <is>
          <t>СК3</t>
        </is>
      </c>
      <c r="L176" s="38" t="n">
        <v>45</v>
      </c>
      <c r="M176" s="510" t="inlineStr">
        <is>
          <t>Сосиски Сочинки по-баварски ТМ Стародворье полиамид мгс вес СК3</t>
        </is>
      </c>
      <c r="N176" s="409" t="n"/>
      <c r="O176" s="409" t="n"/>
      <c r="P176" s="409" t="n"/>
      <c r="Q176" s="376" t="n"/>
      <c r="R176" s="40" t="inlineStr"/>
      <c r="S176" s="40" t="inlineStr"/>
      <c r="T176" s="41" t="inlineStr">
        <is>
          <t>кг</t>
        </is>
      </c>
      <c r="U176" s="410" t="n">
        <v>0</v>
      </c>
      <c r="V176" s="411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</row>
    <row r="177" ht="16.5" customHeight="1">
      <c r="A177" s="64" t="inlineStr">
        <is>
          <t>SU001340</t>
        </is>
      </c>
      <c r="B177" s="64" t="inlineStr">
        <is>
          <t>P002209</t>
        </is>
      </c>
      <c r="C177" s="37" t="n">
        <v>4301051101</v>
      </c>
      <c r="D177" s="131" t="n">
        <v>4607091387766</v>
      </c>
      <c r="E177" s="376" t="n"/>
      <c r="F177" s="407" t="n">
        <v>1.35</v>
      </c>
      <c r="G177" s="38" t="n">
        <v>6</v>
      </c>
      <c r="H177" s="407" t="n">
        <v>8.1</v>
      </c>
      <c r="I177" s="407" t="n">
        <v>8.657999999999999</v>
      </c>
      <c r="J177" s="38" t="n">
        <v>56</v>
      </c>
      <c r="K177" s="39" t="inlineStr">
        <is>
          <t>СК2</t>
        </is>
      </c>
      <c r="L177" s="38" t="n">
        <v>40</v>
      </c>
      <c r="M177" s="511">
        <f>HYPERLINK("https://abiproduct.ru/products/Охлажденные/Стародворье/Бордо/Сосиски/P002209/","Сосиски Ганноверские Бордо Весовые П/а мгс Баварушка")</f>
        <v/>
      </c>
      <c r="N177" s="409" t="n"/>
      <c r="O177" s="409" t="n"/>
      <c r="P177" s="409" t="n"/>
      <c r="Q177" s="376" t="n"/>
      <c r="R177" s="40" t="inlineStr"/>
      <c r="S177" s="40" t="inlineStr"/>
      <c r="T177" s="41" t="inlineStr">
        <is>
          <t>кг</t>
        </is>
      </c>
      <c r="U177" s="410" t="n">
        <v>0</v>
      </c>
      <c r="V177" s="411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</row>
    <row r="178" ht="27" customHeight="1">
      <c r="A178" s="64" t="inlineStr">
        <is>
          <t>SU001727</t>
        </is>
      </c>
      <c r="B178" s="64" t="inlineStr">
        <is>
          <t>P002205</t>
        </is>
      </c>
      <c r="C178" s="37" t="n">
        <v>4301051116</v>
      </c>
      <c r="D178" s="131" t="n">
        <v>4607091387957</v>
      </c>
      <c r="E178" s="376" t="n"/>
      <c r="F178" s="407" t="n">
        <v>1.3</v>
      </c>
      <c r="G178" s="38" t="n">
        <v>6</v>
      </c>
      <c r="H178" s="407" t="n">
        <v>7.8</v>
      </c>
      <c r="I178" s="407" t="n">
        <v>8.364000000000001</v>
      </c>
      <c r="J178" s="38" t="n">
        <v>56</v>
      </c>
      <c r="K178" s="39" t="inlineStr">
        <is>
          <t>СК2</t>
        </is>
      </c>
      <c r="L178" s="38" t="n">
        <v>40</v>
      </c>
      <c r="M178" s="512">
        <f>HYPERLINK("https://abiproduct.ru/products/Охлажденные/Стародворье/Бордо/Сосиски/P002205/","Сосиски Молочные по-стародворски Бордо Весовые П/а мгс Стародворье")</f>
        <v/>
      </c>
      <c r="N178" s="409" t="n"/>
      <c r="O178" s="409" t="n"/>
      <c r="P178" s="409" t="n"/>
      <c r="Q178" s="376" t="n"/>
      <c r="R178" s="40" t="inlineStr"/>
      <c r="S178" s="40" t="inlineStr"/>
      <c r="T178" s="41" t="inlineStr">
        <is>
          <t>кг</t>
        </is>
      </c>
      <c r="U178" s="410" t="n">
        <v>0</v>
      </c>
      <c r="V178" s="411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</row>
    <row r="179" ht="27" customHeight="1">
      <c r="A179" s="64" t="inlineStr">
        <is>
          <t>SU001728</t>
        </is>
      </c>
      <c r="B179" s="64" t="inlineStr">
        <is>
          <t>P002207</t>
        </is>
      </c>
      <c r="C179" s="37" t="n">
        <v>4301051115</v>
      </c>
      <c r="D179" s="131" t="n">
        <v>4607091387964</v>
      </c>
      <c r="E179" s="376" t="n"/>
      <c r="F179" s="407" t="n">
        <v>1.35</v>
      </c>
      <c r="G179" s="38" t="n">
        <v>6</v>
      </c>
      <c r="H179" s="407" t="n">
        <v>8.1</v>
      </c>
      <c r="I179" s="407" t="n">
        <v>8.646000000000001</v>
      </c>
      <c r="J179" s="38" t="n">
        <v>56</v>
      </c>
      <c r="K179" s="39" t="inlineStr">
        <is>
          <t>СК2</t>
        </is>
      </c>
      <c r="L179" s="38" t="n">
        <v>40</v>
      </c>
      <c r="M179" s="513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/>
      </c>
      <c r="N179" s="409" t="n"/>
      <c r="O179" s="409" t="n"/>
      <c r="P179" s="409" t="n"/>
      <c r="Q179" s="376" t="n"/>
      <c r="R179" s="40" t="inlineStr"/>
      <c r="S179" s="40" t="inlineStr"/>
      <c r="T179" s="41" t="inlineStr">
        <is>
          <t>кг</t>
        </is>
      </c>
      <c r="U179" s="410" t="n">
        <v>0</v>
      </c>
      <c r="V179" s="411">
        <f>IFERROR(IF(U179="",0,CEILING((U179/$H179),1)*$H179),"")</f>
        <v/>
      </c>
      <c r="W179" s="42">
        <f>IFERROR(IF(V179=0,"",ROUNDUP(V179/H179,0)*0.02175),"")</f>
        <v/>
      </c>
      <c r="X179" s="69" t="inlineStr"/>
      <c r="Y179" s="70" t="inlineStr"/>
    </row>
    <row r="180" ht="16.5" customHeight="1">
      <c r="A180" s="64" t="inlineStr">
        <is>
          <t>SU002725</t>
        </is>
      </c>
      <c r="B180" s="64" t="inlineStr">
        <is>
          <t>P003404</t>
        </is>
      </c>
      <c r="C180" s="37" t="n">
        <v>4301051470</v>
      </c>
      <c r="D180" s="131" t="n">
        <v>4680115880573</v>
      </c>
      <c r="E180" s="376" t="n"/>
      <c r="F180" s="407" t="n">
        <v>1.3</v>
      </c>
      <c r="G180" s="38" t="n">
        <v>6</v>
      </c>
      <c r="H180" s="407" t="n">
        <v>7.8</v>
      </c>
      <c r="I180" s="407" t="n">
        <v>8.364000000000001</v>
      </c>
      <c r="J180" s="38" t="n">
        <v>56</v>
      </c>
      <c r="K180" s="39" t="inlineStr">
        <is>
          <t>СК3</t>
        </is>
      </c>
      <c r="L180" s="38" t="n">
        <v>45</v>
      </c>
      <c r="M180" s="514" t="inlineStr">
        <is>
          <t>Сосиски "Сочинки" Весовой п/а ТМ "Стародворье"</t>
        </is>
      </c>
      <c r="N180" s="409" t="n"/>
      <c r="O180" s="409" t="n"/>
      <c r="P180" s="409" t="n"/>
      <c r="Q180" s="376" t="n"/>
      <c r="R180" s="40" t="inlineStr"/>
      <c r="S180" s="40" t="inlineStr"/>
      <c r="T180" s="41" t="inlineStr">
        <is>
          <t>кг</t>
        </is>
      </c>
      <c r="U180" s="410" t="n">
        <v>0</v>
      </c>
      <c r="V180" s="411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/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131" t="n">
        <v>4680115881594</v>
      </c>
      <c r="E181" s="376" t="n"/>
      <c r="F181" s="407" t="n">
        <v>1.35</v>
      </c>
      <c r="G181" s="38" t="n">
        <v>6</v>
      </c>
      <c r="H181" s="407" t="n">
        <v>8.1</v>
      </c>
      <c r="I181" s="407" t="n">
        <v>8.664</v>
      </c>
      <c r="J181" s="38" t="n">
        <v>56</v>
      </c>
      <c r="K181" s="39" t="inlineStr">
        <is>
          <t>СК3</t>
        </is>
      </c>
      <c r="L181" s="38" t="n">
        <v>40</v>
      </c>
      <c r="M181" s="515" t="inlineStr">
        <is>
          <t>Сосиски "Сочинки Молочные" Весовой п/а мгс ТМ "Стародворье"</t>
        </is>
      </c>
      <c r="N181" s="409" t="n"/>
      <c r="O181" s="409" t="n"/>
      <c r="P181" s="409" t="n"/>
      <c r="Q181" s="376" t="n"/>
      <c r="R181" s="40" t="inlineStr"/>
      <c r="S181" s="40" t="inlineStr"/>
      <c r="T181" s="41" t="inlineStr">
        <is>
          <t>кг</t>
        </is>
      </c>
      <c r="U181" s="410" t="n">
        <v>0</v>
      </c>
      <c r="V181" s="411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</row>
    <row r="182" ht="27" customHeight="1">
      <c r="A182" s="64" t="inlineStr">
        <is>
          <t>SU002858</t>
        </is>
      </c>
      <c r="B182" s="64" t="inlineStr">
        <is>
          <t>P003322</t>
        </is>
      </c>
      <c r="C182" s="37" t="n">
        <v>4301051433</v>
      </c>
      <c r="D182" s="131" t="n">
        <v>4680115881587</v>
      </c>
      <c r="E182" s="376" t="n"/>
      <c r="F182" s="407" t="n">
        <v>1</v>
      </c>
      <c r="G182" s="38" t="n">
        <v>4</v>
      </c>
      <c r="H182" s="407" t="n">
        <v>4</v>
      </c>
      <c r="I182" s="407" t="n">
        <v>4.408</v>
      </c>
      <c r="J182" s="38" t="n">
        <v>104</v>
      </c>
      <c r="K182" s="39" t="inlineStr">
        <is>
          <t>СК2</t>
        </is>
      </c>
      <c r="L182" s="38" t="n">
        <v>35</v>
      </c>
      <c r="M182" s="516" t="inlineStr">
        <is>
          <t>Сосиски Сочинки по-баварски с сыром Бордо Весовой п/а Стародворье</t>
        </is>
      </c>
      <c r="N182" s="409" t="n"/>
      <c r="O182" s="409" t="n"/>
      <c r="P182" s="409" t="n"/>
      <c r="Q182" s="376" t="n"/>
      <c r="R182" s="40" t="inlineStr"/>
      <c r="S182" s="40" t="inlineStr"/>
      <c r="T182" s="41" t="inlineStr">
        <is>
          <t>кг</t>
        </is>
      </c>
      <c r="U182" s="410" t="n">
        <v>100</v>
      </c>
      <c r="V182" s="411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131" t="n">
        <v>4680115880962</v>
      </c>
      <c r="E183" s="376" t="n"/>
      <c r="F183" s="407" t="n">
        <v>1.3</v>
      </c>
      <c r="G183" s="38" t="n">
        <v>6</v>
      </c>
      <c r="H183" s="407" t="n">
        <v>7.8</v>
      </c>
      <c r="I183" s="407" t="n">
        <v>8.364000000000001</v>
      </c>
      <c r="J183" s="38" t="n">
        <v>56</v>
      </c>
      <c r="K183" s="39" t="inlineStr">
        <is>
          <t>СК2</t>
        </is>
      </c>
      <c r="L183" s="38" t="n">
        <v>40</v>
      </c>
      <c r="M183" s="517" t="inlineStr">
        <is>
          <t>Сосиски Сочинки с сыром Бордо Весовой п/а Стародворье</t>
        </is>
      </c>
      <c r="N183" s="409" t="n"/>
      <c r="O183" s="409" t="n"/>
      <c r="P183" s="409" t="n"/>
      <c r="Q183" s="376" t="n"/>
      <c r="R183" s="40" t="inlineStr"/>
      <c r="S183" s="40" t="inlineStr"/>
      <c r="T183" s="41" t="inlineStr">
        <is>
          <t>кг</t>
        </is>
      </c>
      <c r="U183" s="410" t="n">
        <v>150</v>
      </c>
      <c r="V183" s="411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131" t="n">
        <v>4680115881617</v>
      </c>
      <c r="E184" s="376" t="n"/>
      <c r="F184" s="407" t="n">
        <v>1.35</v>
      </c>
      <c r="G184" s="38" t="n">
        <v>6</v>
      </c>
      <c r="H184" s="407" t="n">
        <v>8.1</v>
      </c>
      <c r="I184" s="407" t="n">
        <v>8.646000000000001</v>
      </c>
      <c r="J184" s="38" t="n">
        <v>56</v>
      </c>
      <c r="K184" s="39" t="inlineStr">
        <is>
          <t>СК3</t>
        </is>
      </c>
      <c r="L184" s="38" t="n">
        <v>40</v>
      </c>
      <c r="M184" s="518" t="inlineStr">
        <is>
          <t>Сосиски "Сочинки Сливочные" Весовые ТМ "Стародворье" 1,35 кг</t>
        </is>
      </c>
      <c r="N184" s="409" t="n"/>
      <c r="O184" s="409" t="n"/>
      <c r="P184" s="409" t="n"/>
      <c r="Q184" s="376" t="n"/>
      <c r="R184" s="40" t="inlineStr"/>
      <c r="S184" s="40" t="inlineStr"/>
      <c r="T184" s="41" t="inlineStr">
        <is>
          <t>кг</t>
        </is>
      </c>
      <c r="U184" s="410" t="n">
        <v>0</v>
      </c>
      <c r="V184" s="411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SU002801</t>
        </is>
      </c>
      <c r="B185" s="64" t="inlineStr">
        <is>
          <t>P003200</t>
        </is>
      </c>
      <c r="C185" s="37" t="n">
        <v>4301051377</v>
      </c>
      <c r="D185" s="131" t="n">
        <v>4680115881228</v>
      </c>
      <c r="E185" s="376" t="n"/>
      <c r="F185" s="407" t="n">
        <v>0.4</v>
      </c>
      <c r="G185" s="38" t="n">
        <v>6</v>
      </c>
      <c r="H185" s="407" t="n">
        <v>2.4</v>
      </c>
      <c r="I185" s="407" t="n">
        <v>2.6</v>
      </c>
      <c r="J185" s="38" t="n">
        <v>156</v>
      </c>
      <c r="K185" s="39" t="inlineStr">
        <is>
          <t>СК2</t>
        </is>
      </c>
      <c r="L185" s="38" t="n">
        <v>35</v>
      </c>
      <c r="M185" s="519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/>
      </c>
      <c r="N185" s="409" t="n"/>
      <c r="O185" s="409" t="n"/>
      <c r="P185" s="409" t="n"/>
      <c r="Q185" s="376" t="n"/>
      <c r="R185" s="40" t="inlineStr"/>
      <c r="S185" s="40" t="inlineStr"/>
      <c r="T185" s="41" t="inlineStr">
        <is>
          <t>кг</t>
        </is>
      </c>
      <c r="U185" s="410" t="n">
        <v>0</v>
      </c>
      <c r="V185" s="411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</row>
    <row r="186" ht="27" customHeight="1">
      <c r="A186" s="64" t="inlineStr">
        <is>
          <t>SU002802</t>
        </is>
      </c>
      <c r="B186" s="64" t="inlineStr">
        <is>
          <t>P003321</t>
        </is>
      </c>
      <c r="C186" s="37" t="n">
        <v>4301051432</v>
      </c>
      <c r="D186" s="131" t="n">
        <v>4680115881037</v>
      </c>
      <c r="E186" s="376" t="n"/>
      <c r="F186" s="407" t="n">
        <v>0.84</v>
      </c>
      <c r="G186" s="38" t="n">
        <v>4</v>
      </c>
      <c r="H186" s="407" t="n">
        <v>3.36</v>
      </c>
      <c r="I186" s="407" t="n">
        <v>3.618</v>
      </c>
      <c r="J186" s="38" t="n">
        <v>120</v>
      </c>
      <c r="K186" s="39" t="inlineStr">
        <is>
          <t>СК2</t>
        </is>
      </c>
      <c r="L186" s="38" t="n">
        <v>35</v>
      </c>
      <c r="M186" s="520" t="inlineStr">
        <is>
          <t>Сосиски Сочинки по-баварски с сыром ТМ Стародворье полиамид мгс ф/в 0,84 кг СК3</t>
        </is>
      </c>
      <c r="N186" s="409" t="n"/>
      <c r="O186" s="409" t="n"/>
      <c r="P186" s="409" t="n"/>
      <c r="Q186" s="376" t="n"/>
      <c r="R186" s="40" t="inlineStr"/>
      <c r="S186" s="40" t="inlineStr"/>
      <c r="T186" s="41" t="inlineStr">
        <is>
          <t>кг</t>
        </is>
      </c>
      <c r="U186" s="410" t="n">
        <v>0</v>
      </c>
      <c r="V186" s="411">
        <f>IFERROR(IF(U186="",0,CEILING((U186/$H186),1)*$H186),"")</f>
        <v/>
      </c>
      <c r="W186" s="42">
        <f>IFERROR(IF(V186=0,"",ROUNDUP(V186/H186,0)*0.00937),"")</f>
        <v/>
      </c>
      <c r="X186" s="69" t="inlineStr"/>
      <c r="Y186" s="70" t="inlineStr"/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131" t="n">
        <v>4680115881211</v>
      </c>
      <c r="E187" s="376" t="n"/>
      <c r="F187" s="407" t="n">
        <v>0.4</v>
      </c>
      <c r="G187" s="38" t="n">
        <v>6</v>
      </c>
      <c r="H187" s="407" t="n">
        <v>2.4</v>
      </c>
      <c r="I187" s="407" t="n">
        <v>2.6</v>
      </c>
      <c r="J187" s="38" t="n">
        <v>156</v>
      </c>
      <c r="K187" s="39" t="inlineStr">
        <is>
          <t>СК2</t>
        </is>
      </c>
      <c r="L187" s="38" t="n">
        <v>45</v>
      </c>
      <c r="M187" s="521" t="inlineStr">
        <is>
          <t>Сосиски Сочинки по-баварски Бавария Фикс.вес 0,4 П/а мгс Стародворье</t>
        </is>
      </c>
      <c r="N187" s="409" t="n"/>
      <c r="O187" s="409" t="n"/>
      <c r="P187" s="409" t="n"/>
      <c r="Q187" s="376" t="n"/>
      <c r="R187" s="40" t="inlineStr"/>
      <c r="S187" s="40" t="inlineStr"/>
      <c r="T187" s="41" t="inlineStr">
        <is>
          <t>кг</t>
        </is>
      </c>
      <c r="U187" s="410" t="n">
        <v>0</v>
      </c>
      <c r="V187" s="411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131" t="n">
        <v>4680115881020</v>
      </c>
      <c r="E188" s="376" t="n"/>
      <c r="F188" s="407" t="n">
        <v>0.84</v>
      </c>
      <c r="G188" s="38" t="n">
        <v>4</v>
      </c>
      <c r="H188" s="407" t="n">
        <v>3.36</v>
      </c>
      <c r="I188" s="407" t="n">
        <v>3.57</v>
      </c>
      <c r="J188" s="38" t="n">
        <v>120</v>
      </c>
      <c r="K188" s="39" t="inlineStr">
        <is>
          <t>СК2</t>
        </is>
      </c>
      <c r="L188" s="38" t="n">
        <v>45</v>
      </c>
      <c r="M188" s="522" t="inlineStr">
        <is>
          <t>Сосиски Сочинки по-баварски Бавария Фикс.вес 0,84 П/а мгс Стародворье</t>
        </is>
      </c>
      <c r="N188" s="409" t="n"/>
      <c r="O188" s="409" t="n"/>
      <c r="P188" s="409" t="n"/>
      <c r="Q188" s="376" t="n"/>
      <c r="R188" s="40" t="inlineStr"/>
      <c r="S188" s="40" t="inlineStr"/>
      <c r="T188" s="41" t="inlineStr">
        <is>
          <t>кг</t>
        </is>
      </c>
      <c r="U188" s="410" t="n">
        <v>0</v>
      </c>
      <c r="V188" s="411">
        <f>IFERROR(IF(U188="",0,CEILING((U188/$H188),1)*$H188),"")</f>
        <v/>
      </c>
      <c r="W188" s="42">
        <f>IFERROR(IF(V188=0,"",ROUNDUP(V188/H188,0)*0.00937),"")</f>
        <v/>
      </c>
      <c r="X188" s="69" t="inlineStr"/>
      <c r="Y188" s="70" t="inlineStr"/>
    </row>
    <row r="189" ht="16.5" customHeight="1">
      <c r="A189" s="64" t="inlineStr">
        <is>
          <t>SU001341</t>
        </is>
      </c>
      <c r="B189" s="64" t="inlineStr">
        <is>
          <t>P002204</t>
        </is>
      </c>
      <c r="C189" s="37" t="n">
        <v>4301051134</v>
      </c>
      <c r="D189" s="131" t="n">
        <v>4607091381672</v>
      </c>
      <c r="E189" s="376" t="n"/>
      <c r="F189" s="407" t="n">
        <v>0.6</v>
      </c>
      <c r="G189" s="38" t="n">
        <v>6</v>
      </c>
      <c r="H189" s="407" t="n">
        <v>3.6</v>
      </c>
      <c r="I189" s="407" t="n">
        <v>3.876</v>
      </c>
      <c r="J189" s="38" t="n">
        <v>120</v>
      </c>
      <c r="K189" s="39" t="inlineStr">
        <is>
          <t>СК2</t>
        </is>
      </c>
      <c r="L189" s="38" t="n">
        <v>40</v>
      </c>
      <c r="M189" s="523">
        <f>HYPERLINK("https://abiproduct.ru/products/Охлажденные/Стародворье/Бордо/Сосиски/P002204/","Сосиски Ганноверские Бордо Фикс.вес 0,6 П/а мгс Баварушка")</f>
        <v/>
      </c>
      <c r="N189" s="409" t="n"/>
      <c r="O189" s="409" t="n"/>
      <c r="P189" s="409" t="n"/>
      <c r="Q189" s="376" t="n"/>
      <c r="R189" s="40" t="inlineStr"/>
      <c r="S189" s="40" t="inlineStr"/>
      <c r="T189" s="41" t="inlineStr">
        <is>
          <t>кг</t>
        </is>
      </c>
      <c r="U189" s="410" t="n">
        <v>0</v>
      </c>
      <c r="V189" s="411">
        <f>IFERROR(IF(U189="",0,CEILING((U189/$H189),1)*$H189),"")</f>
        <v/>
      </c>
      <c r="W189" s="42">
        <f>IFERROR(IF(V189=0,"",ROUNDUP(V189/H189,0)*0.00937),"")</f>
        <v/>
      </c>
      <c r="X189" s="69" t="inlineStr"/>
      <c r="Y189" s="70" t="inlineStr"/>
    </row>
    <row r="190" ht="27" customHeight="1">
      <c r="A190" s="64" t="inlineStr">
        <is>
          <t>SU001763</t>
        </is>
      </c>
      <c r="B190" s="64" t="inlineStr">
        <is>
          <t>P002206</t>
        </is>
      </c>
      <c r="C190" s="37" t="n">
        <v>4301051130</v>
      </c>
      <c r="D190" s="131" t="n">
        <v>4607091387537</v>
      </c>
      <c r="E190" s="376" t="n"/>
      <c r="F190" s="407" t="n">
        <v>0.45</v>
      </c>
      <c r="G190" s="38" t="n">
        <v>6</v>
      </c>
      <c r="H190" s="407" t="n">
        <v>2.7</v>
      </c>
      <c r="I190" s="407" t="n">
        <v>2.99</v>
      </c>
      <c r="J190" s="38" t="n">
        <v>156</v>
      </c>
      <c r="K190" s="39" t="inlineStr">
        <is>
          <t>СК2</t>
        </is>
      </c>
      <c r="L190" s="38" t="n">
        <v>40</v>
      </c>
      <c r="M190" s="524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/>
      </c>
      <c r="N190" s="409" t="n"/>
      <c r="O190" s="409" t="n"/>
      <c r="P190" s="409" t="n"/>
      <c r="Q190" s="376" t="n"/>
      <c r="R190" s="40" t="inlineStr"/>
      <c r="S190" s="40" t="inlineStr"/>
      <c r="T190" s="41" t="inlineStr">
        <is>
          <t>кг</t>
        </is>
      </c>
      <c r="U190" s="410" t="n">
        <v>0</v>
      </c>
      <c r="V190" s="411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SU001762</t>
        </is>
      </c>
      <c r="B191" s="64" t="inlineStr">
        <is>
          <t>P002208</t>
        </is>
      </c>
      <c r="C191" s="37" t="n">
        <v>4301051132</v>
      </c>
      <c r="D191" s="131" t="n">
        <v>4607091387513</v>
      </c>
      <c r="E191" s="376" t="n"/>
      <c r="F191" s="407" t="n">
        <v>0.45</v>
      </c>
      <c r="G191" s="38" t="n">
        <v>6</v>
      </c>
      <c r="H191" s="407" t="n">
        <v>2.7</v>
      </c>
      <c r="I191" s="407" t="n">
        <v>2.978</v>
      </c>
      <c r="J191" s="38" t="n">
        <v>156</v>
      </c>
      <c r="K191" s="39" t="inlineStr">
        <is>
          <t>СК2</t>
        </is>
      </c>
      <c r="L191" s="38" t="n">
        <v>40</v>
      </c>
      <c r="M191" s="525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/>
      </c>
      <c r="N191" s="409" t="n"/>
      <c r="O191" s="409" t="n"/>
      <c r="P191" s="409" t="n"/>
      <c r="Q191" s="376" t="n"/>
      <c r="R191" s="40" t="inlineStr"/>
      <c r="S191" s="40" t="inlineStr"/>
      <c r="T191" s="41" t="inlineStr">
        <is>
          <t>кг</t>
        </is>
      </c>
      <c r="U191" s="410" t="n">
        <v>0</v>
      </c>
      <c r="V191" s="411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</row>
    <row r="192" ht="27" customHeight="1">
      <c r="A192" s="64" t="inlineStr">
        <is>
          <t>SU002842</t>
        </is>
      </c>
      <c r="B192" s="64" t="inlineStr">
        <is>
          <t>P003262</t>
        </is>
      </c>
      <c r="C192" s="37" t="n">
        <v>4301051407</v>
      </c>
      <c r="D192" s="131" t="n">
        <v>4680115882195</v>
      </c>
      <c r="E192" s="376" t="n"/>
      <c r="F192" s="407" t="n">
        <v>0.4</v>
      </c>
      <c r="G192" s="38" t="n">
        <v>6</v>
      </c>
      <c r="H192" s="407" t="n">
        <v>2.4</v>
      </c>
      <c r="I192" s="407" t="n">
        <v>2.69</v>
      </c>
      <c r="J192" s="38" t="n">
        <v>156</v>
      </c>
      <c r="K192" s="39" t="inlineStr">
        <is>
          <t>СК3</t>
        </is>
      </c>
      <c r="L192" s="38" t="n">
        <v>40</v>
      </c>
      <c r="M192" s="526" t="inlineStr">
        <is>
          <t>Сосиски "Сочинки Молочные" Фикс.вес 0,4 п/а мгс ТМ "Стародворье"</t>
        </is>
      </c>
      <c r="N192" s="409" t="n"/>
      <c r="O192" s="409" t="n"/>
      <c r="P192" s="409" t="n"/>
      <c r="Q192" s="376" t="n"/>
      <c r="R192" s="40" t="inlineStr"/>
      <c r="S192" s="40" t="inlineStr"/>
      <c r="T192" s="41" t="inlineStr">
        <is>
          <t>кг</t>
        </is>
      </c>
      <c r="U192" s="410" t="n">
        <v>0</v>
      </c>
      <c r="V192" s="411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131" t="n">
        <v>4680115880092</v>
      </c>
      <c r="E193" s="376" t="n"/>
      <c r="F193" s="407" t="n">
        <v>0.4</v>
      </c>
      <c r="G193" s="38" t="n">
        <v>6</v>
      </c>
      <c r="H193" s="407" t="n">
        <v>2.4</v>
      </c>
      <c r="I193" s="407" t="n">
        <v>2.672</v>
      </c>
      <c r="J193" s="38" t="n">
        <v>156</v>
      </c>
      <c r="K193" s="39" t="inlineStr">
        <is>
          <t>СК3</t>
        </is>
      </c>
      <c r="L193" s="38" t="n">
        <v>45</v>
      </c>
      <c r="M193" s="527" t="inlineStr">
        <is>
          <t>Сосиски "Сочинки с сочной грудинкой" Фикс.вес 0,4 П/а мгс ТМ "Стародворье"</t>
        </is>
      </c>
      <c r="N193" s="409" t="n"/>
      <c r="O193" s="409" t="n"/>
      <c r="P193" s="409" t="n"/>
      <c r="Q193" s="376" t="n"/>
      <c r="R193" s="40" t="inlineStr"/>
      <c r="S193" s="40" t="inlineStr"/>
      <c r="T193" s="41" t="inlineStr">
        <is>
          <t>кг</t>
        </is>
      </c>
      <c r="U193" s="410" t="n">
        <v>0</v>
      </c>
      <c r="V193" s="411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131" t="n">
        <v>4680115880221</v>
      </c>
      <c r="E194" s="376" t="n"/>
      <c r="F194" s="407" t="n">
        <v>0.4</v>
      </c>
      <c r="G194" s="38" t="n">
        <v>6</v>
      </c>
      <c r="H194" s="407" t="n">
        <v>2.4</v>
      </c>
      <c r="I194" s="407" t="n">
        <v>2.672</v>
      </c>
      <c r="J194" s="38" t="n">
        <v>156</v>
      </c>
      <c r="K194" s="39" t="inlineStr">
        <is>
          <t>СК3</t>
        </is>
      </c>
      <c r="L194" s="38" t="n">
        <v>45</v>
      </c>
      <c r="M194" s="528" t="inlineStr">
        <is>
          <t>Сосиски Сочинки с сочным окороком Бордо Фикс.вес 0,4 П/а мгс Стародворье</t>
        </is>
      </c>
      <c r="N194" s="409" t="n"/>
      <c r="O194" s="409" t="n"/>
      <c r="P194" s="409" t="n"/>
      <c r="Q194" s="376" t="n"/>
      <c r="R194" s="40" t="inlineStr"/>
      <c r="S194" s="40" t="inlineStr"/>
      <c r="T194" s="41" t="inlineStr">
        <is>
          <t>кг</t>
        </is>
      </c>
      <c r="U194" s="410" t="n">
        <v>96</v>
      </c>
      <c r="V194" s="411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131" t="n">
        <v>4680115880504</v>
      </c>
      <c r="E195" s="376" t="n"/>
      <c r="F195" s="407" t="n">
        <v>0.4</v>
      </c>
      <c r="G195" s="38" t="n">
        <v>6</v>
      </c>
      <c r="H195" s="407" t="n">
        <v>2.4</v>
      </c>
      <c r="I195" s="407" t="n">
        <v>2.672</v>
      </c>
      <c r="J195" s="38" t="n">
        <v>156</v>
      </c>
      <c r="K195" s="39" t="inlineStr">
        <is>
          <t>СК2</t>
        </is>
      </c>
      <c r="L195" s="38" t="n">
        <v>40</v>
      </c>
      <c r="M195" s="529">
        <f>HYPERLINK("https://abiproduct.ru/products/Охлажденные/Стародворье/Бордо/Сосиски/P003071/","Сосиски Сочинки с сыром Бордо ф/в 0,4 кг п/а Стародворье")</f>
        <v/>
      </c>
      <c r="N195" s="409" t="n"/>
      <c r="O195" s="409" t="n"/>
      <c r="P195" s="409" t="n"/>
      <c r="Q195" s="376" t="n"/>
      <c r="R195" s="40" t="inlineStr"/>
      <c r="S195" s="40" t="inlineStr"/>
      <c r="T195" s="41" t="inlineStr">
        <is>
          <t>кг</t>
        </is>
      </c>
      <c r="U195" s="410" t="n">
        <v>48</v>
      </c>
      <c r="V195" s="411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131" t="n">
        <v>4680115882164</v>
      </c>
      <c r="E196" s="376" t="n"/>
      <c r="F196" s="407" t="n">
        <v>0.4</v>
      </c>
      <c r="G196" s="38" t="n">
        <v>6</v>
      </c>
      <c r="H196" s="407" t="n">
        <v>2.4</v>
      </c>
      <c r="I196" s="407" t="n">
        <v>2.678</v>
      </c>
      <c r="J196" s="38" t="n">
        <v>156</v>
      </c>
      <c r="K196" s="39" t="inlineStr">
        <is>
          <t>СК3</t>
        </is>
      </c>
      <c r="L196" s="38" t="n">
        <v>40</v>
      </c>
      <c r="M196" s="530" t="inlineStr">
        <is>
          <t>Сосиски "Сочинки Сливочные" Фикс.вес 0,4 п/а мгс ТМ "Стародворье"</t>
        </is>
      </c>
      <c r="N196" s="409" t="n"/>
      <c r="O196" s="409" t="n"/>
      <c r="P196" s="409" t="n"/>
      <c r="Q196" s="376" t="n"/>
      <c r="R196" s="40" t="inlineStr"/>
      <c r="S196" s="40" t="inlineStr"/>
      <c r="T196" s="41" t="inlineStr">
        <is>
          <t>кг</t>
        </is>
      </c>
      <c r="U196" s="410" t="n">
        <v>0</v>
      </c>
      <c r="V196" s="411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>
      <c r="A197" s="139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412" t="n"/>
      <c r="M197" s="413" t="inlineStr">
        <is>
          <t>Итого</t>
        </is>
      </c>
      <c r="N197" s="384" t="n"/>
      <c r="O197" s="384" t="n"/>
      <c r="P197" s="384" t="n"/>
      <c r="Q197" s="384" t="n"/>
      <c r="R197" s="384" t="n"/>
      <c r="S197" s="385" t="n"/>
      <c r="T197" s="43" t="inlineStr">
        <is>
          <t>кор</t>
        </is>
      </c>
      <c r="U197" s="414">
        <f>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</f>
        <v/>
      </c>
      <c r="V197" s="41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414">
        <f>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</f>
        <v/>
      </c>
      <c r="X197" s="415" t="n"/>
      <c r="Y197" s="415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412" t="n"/>
      <c r="M198" s="413" t="inlineStr">
        <is>
          <t>Итого</t>
        </is>
      </c>
      <c r="N198" s="384" t="n"/>
      <c r="O198" s="384" t="n"/>
      <c r="P198" s="384" t="n"/>
      <c r="Q198" s="384" t="n"/>
      <c r="R198" s="384" t="n"/>
      <c r="S198" s="385" t="n"/>
      <c r="T198" s="43" t="inlineStr">
        <is>
          <t>кг</t>
        </is>
      </c>
      <c r="U198" s="414">
        <f>IFERROR(SUM(U176:U196),"0")</f>
        <v/>
      </c>
      <c r="V198" s="414">
        <f>IFERROR(SUM(V176:V196),"0")</f>
        <v/>
      </c>
      <c r="W198" s="43" t="n"/>
      <c r="X198" s="415" t="n"/>
      <c r="Y198" s="415" t="n"/>
    </row>
    <row r="199" ht="14.25" customHeight="1">
      <c r="A199" s="130" t="inlineStr">
        <is>
          <t>Сардельки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30" t="n"/>
      <c r="Y199" s="130" t="n"/>
    </row>
    <row r="200" ht="16.5" customHeight="1">
      <c r="A200" s="64" t="inlineStr">
        <is>
          <t>SU001051</t>
        </is>
      </c>
      <c r="B200" s="64" t="inlineStr">
        <is>
          <t>P002061</t>
        </is>
      </c>
      <c r="C200" s="37" t="n">
        <v>4301060326</v>
      </c>
      <c r="D200" s="131" t="n">
        <v>4607091380880</v>
      </c>
      <c r="E200" s="376" t="n"/>
      <c r="F200" s="407" t="n">
        <v>1.4</v>
      </c>
      <c r="G200" s="38" t="n">
        <v>6</v>
      </c>
      <c r="H200" s="407" t="n">
        <v>8.4</v>
      </c>
      <c r="I200" s="407" t="n">
        <v>8.964</v>
      </c>
      <c r="J200" s="38" t="n">
        <v>56</v>
      </c>
      <c r="K200" s="39" t="inlineStr">
        <is>
          <t>СК2</t>
        </is>
      </c>
      <c r="L200" s="38" t="n">
        <v>30</v>
      </c>
      <c r="M200" s="531">
        <f>HYPERLINK("https://abiproduct.ru/products/Охлажденные/Стародворье/Бордо/Сардельки/P002061/","Сардельки Нежные Бордо Весовые н/о мгс Стародворье")</f>
        <v/>
      </c>
      <c r="N200" s="409" t="n"/>
      <c r="O200" s="409" t="n"/>
      <c r="P200" s="409" t="n"/>
      <c r="Q200" s="376" t="n"/>
      <c r="R200" s="40" t="inlineStr"/>
      <c r="S200" s="40" t="inlineStr"/>
      <c r="T200" s="41" t="inlineStr">
        <is>
          <t>кг</t>
        </is>
      </c>
      <c r="U200" s="410" t="n">
        <v>500</v>
      </c>
      <c r="V200" s="411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</row>
    <row r="201" ht="27" customHeight="1">
      <c r="A201" s="64" t="inlineStr">
        <is>
          <t>SU000227</t>
        </is>
      </c>
      <c r="B201" s="64" t="inlineStr">
        <is>
          <t>P002536</t>
        </is>
      </c>
      <c r="C201" s="37" t="n">
        <v>4301060308</v>
      </c>
      <c r="D201" s="131" t="n">
        <v>4607091384482</v>
      </c>
      <c r="E201" s="376" t="n"/>
      <c r="F201" s="407" t="n">
        <v>1.3</v>
      </c>
      <c r="G201" s="38" t="n">
        <v>6</v>
      </c>
      <c r="H201" s="407" t="n">
        <v>7.8</v>
      </c>
      <c r="I201" s="407" t="n">
        <v>8.364000000000001</v>
      </c>
      <c r="J201" s="38" t="n">
        <v>56</v>
      </c>
      <c r="K201" s="39" t="inlineStr">
        <is>
          <t>СК2</t>
        </is>
      </c>
      <c r="L201" s="38" t="n">
        <v>30</v>
      </c>
      <c r="M201" s="532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/>
      </c>
      <c r="N201" s="409" t="n"/>
      <c r="O201" s="409" t="n"/>
      <c r="P201" s="409" t="n"/>
      <c r="Q201" s="376" t="n"/>
      <c r="R201" s="40" t="inlineStr"/>
      <c r="S201" s="40" t="inlineStr"/>
      <c r="T201" s="41" t="inlineStr">
        <is>
          <t>кг</t>
        </is>
      </c>
      <c r="U201" s="410" t="n">
        <v>0</v>
      </c>
      <c r="V201" s="411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</row>
    <row r="202" ht="16.5" customHeight="1">
      <c r="A202" s="64" t="inlineStr">
        <is>
          <t>SU001430</t>
        </is>
      </c>
      <c r="B202" s="64" t="inlineStr">
        <is>
          <t>P002036</t>
        </is>
      </c>
      <c r="C202" s="37" t="n">
        <v>4301060325</v>
      </c>
      <c r="D202" s="131" t="n">
        <v>4607091380897</v>
      </c>
      <c r="E202" s="376" t="n"/>
      <c r="F202" s="407" t="n">
        <v>1.4</v>
      </c>
      <c r="G202" s="38" t="n">
        <v>6</v>
      </c>
      <c r="H202" s="407" t="n">
        <v>8.4</v>
      </c>
      <c r="I202" s="407" t="n">
        <v>8.964</v>
      </c>
      <c r="J202" s="38" t="n">
        <v>56</v>
      </c>
      <c r="K202" s="39" t="inlineStr">
        <is>
          <t>СК2</t>
        </is>
      </c>
      <c r="L202" s="38" t="n">
        <v>30</v>
      </c>
      <c r="M202" s="533">
        <f>HYPERLINK("https://abiproduct.ru/products/Охлажденные/Стародворье/Бордо/Сардельки/P002036/","Сардельки Шпикачки Бордо Весовые NDX мгс Стародворье")</f>
        <v/>
      </c>
      <c r="N202" s="409" t="n"/>
      <c r="O202" s="409" t="n"/>
      <c r="P202" s="409" t="n"/>
      <c r="Q202" s="376" t="n"/>
      <c r="R202" s="40" t="inlineStr"/>
      <c r="S202" s="40" t="inlineStr"/>
      <c r="T202" s="41" t="inlineStr">
        <is>
          <t>кг</t>
        </is>
      </c>
      <c r="U202" s="410" t="n">
        <v>350</v>
      </c>
      <c r="V202" s="411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131" t="n">
        <v>4680115880801</v>
      </c>
      <c r="E203" s="376" t="n"/>
      <c r="F203" s="407" t="n">
        <v>0.4</v>
      </c>
      <c r="G203" s="38" t="n">
        <v>6</v>
      </c>
      <c r="H203" s="407" t="n">
        <v>2.4</v>
      </c>
      <c r="I203" s="407" t="n">
        <v>2.672</v>
      </c>
      <c r="J203" s="38" t="n">
        <v>156</v>
      </c>
      <c r="K203" s="39" t="inlineStr">
        <is>
          <t>СК2</t>
        </is>
      </c>
      <c r="L203" s="38" t="n">
        <v>40</v>
      </c>
      <c r="M203" s="534" t="inlineStr">
        <is>
          <t>Сардельки Сочинки с сочным окороком ТМ Стародворье полиамид мгс ф/в 0,4 кг СК3</t>
        </is>
      </c>
      <c r="N203" s="409" t="n"/>
      <c r="O203" s="409" t="n"/>
      <c r="P203" s="409" t="n"/>
      <c r="Q203" s="376" t="n"/>
      <c r="R203" s="40" t="inlineStr"/>
      <c r="S203" s="40" t="inlineStr"/>
      <c r="T203" s="41" t="inlineStr">
        <is>
          <t>кг</t>
        </is>
      </c>
      <c r="U203" s="410" t="n">
        <v>0</v>
      </c>
      <c r="V203" s="411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</row>
    <row r="204" ht="27" customHeight="1">
      <c r="A204" s="64" t="inlineStr">
        <is>
          <t>SU002759</t>
        </is>
      </c>
      <c r="B204" s="64" t="inlineStr">
        <is>
          <t>P003130</t>
        </is>
      </c>
      <c r="C204" s="37" t="n">
        <v>4301060339</v>
      </c>
      <c r="D204" s="131" t="n">
        <v>4680115880818</v>
      </c>
      <c r="E204" s="376" t="n"/>
      <c r="F204" s="407" t="n">
        <v>0.4</v>
      </c>
      <c r="G204" s="38" t="n">
        <v>6</v>
      </c>
      <c r="H204" s="407" t="n">
        <v>2.4</v>
      </c>
      <c r="I204" s="407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535" t="inlineStr">
        <is>
          <t>Сардельки Сочинки с сыром Бордо Фикс.вес 0,4 п/а Стародворье</t>
        </is>
      </c>
      <c r="N204" s="409" t="n"/>
      <c r="O204" s="409" t="n"/>
      <c r="P204" s="409" t="n"/>
      <c r="Q204" s="376" t="n"/>
      <c r="R204" s="40" t="inlineStr"/>
      <c r="S204" s="40" t="inlineStr"/>
      <c r="T204" s="41" t="inlineStr">
        <is>
          <t>кг</t>
        </is>
      </c>
      <c r="U204" s="410" t="n">
        <v>0</v>
      </c>
      <c r="V204" s="411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</row>
    <row r="205" ht="16.5" customHeight="1">
      <c r="A205" s="64" t="inlineStr">
        <is>
          <t>SU002691</t>
        </is>
      </c>
      <c r="B205" s="64" t="inlineStr">
        <is>
          <t>P003055</t>
        </is>
      </c>
      <c r="C205" s="37" t="n">
        <v>4301060337</v>
      </c>
      <c r="D205" s="131" t="n">
        <v>4680115880368</v>
      </c>
      <c r="E205" s="376" t="n"/>
      <c r="F205" s="407" t="n">
        <v>1</v>
      </c>
      <c r="G205" s="38" t="n">
        <v>4</v>
      </c>
      <c r="H205" s="407" t="n">
        <v>4</v>
      </c>
      <c r="I205" s="407" t="n">
        <v>4.36</v>
      </c>
      <c r="J205" s="38" t="n">
        <v>104</v>
      </c>
      <c r="K205" s="39" t="inlineStr">
        <is>
          <t>СК3</t>
        </is>
      </c>
      <c r="L205" s="38" t="n">
        <v>40</v>
      </c>
      <c r="M205" s="536" t="inlineStr">
        <is>
          <t>Сардельки Царедворские Бордо ф/в 1 кг п/а Стародворье</t>
        </is>
      </c>
      <c r="N205" s="409" t="n"/>
      <c r="O205" s="409" t="n"/>
      <c r="P205" s="409" t="n"/>
      <c r="Q205" s="376" t="n"/>
      <c r="R205" s="40" t="inlineStr"/>
      <c r="S205" s="40" t="inlineStr"/>
      <c r="T205" s="41" t="inlineStr">
        <is>
          <t>кг</t>
        </is>
      </c>
      <c r="U205" s="410" t="n">
        <v>0</v>
      </c>
      <c r="V205" s="411">
        <f>IFERROR(IF(U205="",0,CEILING((U205/$H205),1)*$H205),"")</f>
        <v/>
      </c>
      <c r="W205" s="42">
        <f>IFERROR(IF(V205=0,"",ROUNDUP(V205/H205,0)*0.01196),"")</f>
        <v/>
      </c>
      <c r="X205" s="69" t="inlineStr"/>
      <c r="Y205" s="70" t="inlineStr"/>
    </row>
    <row r="206">
      <c r="A206" s="13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412" t="n"/>
      <c r="M206" s="413" t="inlineStr">
        <is>
          <t>Итого</t>
        </is>
      </c>
      <c r="N206" s="384" t="n"/>
      <c r="O206" s="384" t="n"/>
      <c r="P206" s="384" t="n"/>
      <c r="Q206" s="384" t="n"/>
      <c r="R206" s="384" t="n"/>
      <c r="S206" s="385" t="n"/>
      <c r="T206" s="43" t="inlineStr">
        <is>
          <t>кор</t>
        </is>
      </c>
      <c r="U206" s="414">
        <f>IFERROR(U200/H200,"0")+IFERROR(U201/H201,"0")+IFERROR(U202/H202,"0")+IFERROR(U203/H203,"0")+IFERROR(U204/H204,"0")+IFERROR(U205/H205,"0")</f>
        <v/>
      </c>
      <c r="V206" s="414">
        <f>IFERROR(V200/H200,"0")+IFERROR(V201/H201,"0")+IFERROR(V202/H202,"0")+IFERROR(V203/H203,"0")+IFERROR(V204/H204,"0")+IFERROR(V205/H205,"0")</f>
        <v/>
      </c>
      <c r="W206" s="414">
        <f>IFERROR(IF(W200="",0,W200),"0")+IFERROR(IF(W201="",0,W201),"0")+IFERROR(IF(W202="",0,W202),"0")+IFERROR(IF(W203="",0,W203),"0")+IFERROR(IF(W204="",0,W204),"0")+IFERROR(IF(W205="",0,W205),"0")</f>
        <v/>
      </c>
      <c r="X206" s="415" t="n"/>
      <c r="Y206" s="415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412" t="n"/>
      <c r="M207" s="413" t="inlineStr">
        <is>
          <t>Итого</t>
        </is>
      </c>
      <c r="N207" s="384" t="n"/>
      <c r="O207" s="384" t="n"/>
      <c r="P207" s="384" t="n"/>
      <c r="Q207" s="384" t="n"/>
      <c r="R207" s="384" t="n"/>
      <c r="S207" s="385" t="n"/>
      <c r="T207" s="43" t="inlineStr">
        <is>
          <t>кг</t>
        </is>
      </c>
      <c r="U207" s="414">
        <f>IFERROR(SUM(U200:U205),"0")</f>
        <v/>
      </c>
      <c r="V207" s="414">
        <f>IFERROR(SUM(V200:V205),"0")</f>
        <v/>
      </c>
      <c r="W207" s="43" t="n"/>
      <c r="X207" s="415" t="n"/>
      <c r="Y207" s="415" t="n"/>
    </row>
    <row r="208" ht="14.25" customHeight="1">
      <c r="A208" s="130" t="inlineStr">
        <is>
          <t>Сырокопченые колбасы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30" t="n"/>
      <c r="Y208" s="130" t="n"/>
    </row>
    <row r="209" ht="16.5" customHeight="1">
      <c r="A209" s="64" t="inlineStr">
        <is>
          <t>SU001920</t>
        </is>
      </c>
      <c r="B209" s="64" t="inlineStr">
        <is>
          <t>P001900</t>
        </is>
      </c>
      <c r="C209" s="37" t="n">
        <v>4301030232</v>
      </c>
      <c r="D209" s="131" t="n">
        <v>4607091388374</v>
      </c>
      <c r="E209" s="376" t="n"/>
      <c r="F209" s="407" t="n">
        <v>0.38</v>
      </c>
      <c r="G209" s="38" t="n">
        <v>8</v>
      </c>
      <c r="H209" s="407" t="n">
        <v>3.04</v>
      </c>
      <c r="I209" s="407" t="n">
        <v>3.28</v>
      </c>
      <c r="J209" s="38" t="n">
        <v>156</v>
      </c>
      <c r="K209" s="39" t="inlineStr">
        <is>
          <t>АК</t>
        </is>
      </c>
      <c r="L209" s="38" t="n">
        <v>180</v>
      </c>
      <c r="M209" s="537" t="inlineStr">
        <is>
          <t>С/к колбасы Княжеская Бордо Весовые б/о терм/п Стародворье</t>
        </is>
      </c>
      <c r="N209" s="409" t="n"/>
      <c r="O209" s="409" t="n"/>
      <c r="P209" s="409" t="n"/>
      <c r="Q209" s="376" t="n"/>
      <c r="R209" s="40" t="inlineStr"/>
      <c r="S209" s="40" t="inlineStr"/>
      <c r="T209" s="41" t="inlineStr">
        <is>
          <t>кг</t>
        </is>
      </c>
      <c r="U209" s="410" t="n">
        <v>0</v>
      </c>
      <c r="V209" s="411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27" customHeight="1">
      <c r="A210" s="64" t="inlineStr">
        <is>
          <t>SU001921</t>
        </is>
      </c>
      <c r="B210" s="64" t="inlineStr">
        <is>
          <t>P001916</t>
        </is>
      </c>
      <c r="C210" s="37" t="n">
        <v>4301030235</v>
      </c>
      <c r="D210" s="131" t="n">
        <v>4607091388381</v>
      </c>
      <c r="E210" s="376" t="n"/>
      <c r="F210" s="407" t="n">
        <v>0.38</v>
      </c>
      <c r="G210" s="38" t="n">
        <v>8</v>
      </c>
      <c r="H210" s="407" t="n">
        <v>3.04</v>
      </c>
      <c r="I210" s="407" t="n">
        <v>3.32</v>
      </c>
      <c r="J210" s="38" t="n">
        <v>156</v>
      </c>
      <c r="K210" s="39" t="inlineStr">
        <is>
          <t>АК</t>
        </is>
      </c>
      <c r="L210" s="38" t="n">
        <v>180</v>
      </c>
      <c r="M210" s="538" t="inlineStr">
        <is>
          <t>С/к колбасы Салями Охотничья Бордо Весовые б/о терм/п 180 Стародворье</t>
        </is>
      </c>
      <c r="N210" s="409" t="n"/>
      <c r="O210" s="409" t="n"/>
      <c r="P210" s="409" t="n"/>
      <c r="Q210" s="376" t="n"/>
      <c r="R210" s="40" t="inlineStr"/>
      <c r="S210" s="40" t="inlineStr"/>
      <c r="T210" s="41" t="inlineStr">
        <is>
          <t>кг</t>
        </is>
      </c>
      <c r="U210" s="410" t="n">
        <v>0</v>
      </c>
      <c r="V210" s="411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</row>
    <row r="211" ht="27" customHeight="1">
      <c r="A211" s="64" t="inlineStr">
        <is>
          <t>SU001869</t>
        </is>
      </c>
      <c r="B211" s="64" t="inlineStr">
        <is>
          <t>P001909</t>
        </is>
      </c>
      <c r="C211" s="37" t="n">
        <v>4301030233</v>
      </c>
      <c r="D211" s="131" t="n">
        <v>4607091388404</v>
      </c>
      <c r="E211" s="376" t="n"/>
      <c r="F211" s="407" t="n">
        <v>0.17</v>
      </c>
      <c r="G211" s="38" t="n">
        <v>15</v>
      </c>
      <c r="H211" s="407" t="n">
        <v>2.55</v>
      </c>
      <c r="I211" s="407" t="n">
        <v>2.9</v>
      </c>
      <c r="J211" s="38" t="n">
        <v>156</v>
      </c>
      <c r="K211" s="39" t="inlineStr">
        <is>
          <t>АК</t>
        </is>
      </c>
      <c r="L211" s="38" t="n">
        <v>180</v>
      </c>
      <c r="M211" s="539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1" s="409" t="n"/>
      <c r="O211" s="409" t="n"/>
      <c r="P211" s="409" t="n"/>
      <c r="Q211" s="376" t="n"/>
      <c r="R211" s="40" t="inlineStr"/>
      <c r="S211" s="40" t="inlineStr"/>
      <c r="T211" s="41" t="inlineStr">
        <is>
          <t>кг</t>
        </is>
      </c>
      <c r="U211" s="410" t="n">
        <v>68</v>
      </c>
      <c r="V211" s="411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</row>
    <row r="212">
      <c r="A212" s="139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2" t="n"/>
      <c r="M212" s="413" t="inlineStr">
        <is>
          <t>Итого</t>
        </is>
      </c>
      <c r="N212" s="384" t="n"/>
      <c r="O212" s="384" t="n"/>
      <c r="P212" s="384" t="n"/>
      <c r="Q212" s="384" t="n"/>
      <c r="R212" s="384" t="n"/>
      <c r="S212" s="385" t="n"/>
      <c r="T212" s="43" t="inlineStr">
        <is>
          <t>кор</t>
        </is>
      </c>
      <c r="U212" s="414">
        <f>IFERROR(U209/H209,"0")+IFERROR(U210/H210,"0")+IFERROR(U211/H211,"0")</f>
        <v/>
      </c>
      <c r="V212" s="414">
        <f>IFERROR(V209/H209,"0")+IFERROR(V210/H210,"0")+IFERROR(V211/H211,"0")</f>
        <v/>
      </c>
      <c r="W212" s="414">
        <f>IFERROR(IF(W209="",0,W209),"0")+IFERROR(IF(W210="",0,W210),"0")+IFERROR(IF(W211="",0,W211),"0")</f>
        <v/>
      </c>
      <c r="X212" s="415" t="n"/>
      <c r="Y212" s="41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412" t="n"/>
      <c r="M213" s="413" t="inlineStr">
        <is>
          <t>Итого</t>
        </is>
      </c>
      <c r="N213" s="384" t="n"/>
      <c r="O213" s="384" t="n"/>
      <c r="P213" s="384" t="n"/>
      <c r="Q213" s="384" t="n"/>
      <c r="R213" s="384" t="n"/>
      <c r="S213" s="385" t="n"/>
      <c r="T213" s="43" t="inlineStr">
        <is>
          <t>кг</t>
        </is>
      </c>
      <c r="U213" s="414">
        <f>IFERROR(SUM(U209:U211),"0")</f>
        <v/>
      </c>
      <c r="V213" s="414">
        <f>IFERROR(SUM(V209:V211),"0")</f>
        <v/>
      </c>
      <c r="W213" s="43" t="n"/>
      <c r="X213" s="415" t="n"/>
      <c r="Y213" s="415" t="n"/>
    </row>
    <row r="214" ht="14.25" customHeight="1">
      <c r="A214" s="130" t="inlineStr">
        <is>
          <t>Паштеты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30" t="n"/>
      <c r="Y214" s="130" t="n"/>
    </row>
    <row r="215" ht="16.5" customHeight="1">
      <c r="A215" s="64" t="inlineStr">
        <is>
          <t>SU002369</t>
        </is>
      </c>
      <c r="B215" s="64" t="inlineStr">
        <is>
          <t>P002649</t>
        </is>
      </c>
      <c r="C215" s="37" t="n">
        <v>4301180002</v>
      </c>
      <c r="D215" s="131" t="n">
        <v>4680115880122</v>
      </c>
      <c r="E215" s="376" t="n"/>
      <c r="F215" s="407" t="n">
        <v>0.1</v>
      </c>
      <c r="G215" s="38" t="n">
        <v>20</v>
      </c>
      <c r="H215" s="407" t="n">
        <v>2</v>
      </c>
      <c r="I215" s="407" t="n">
        <v>2.24</v>
      </c>
      <c r="J215" s="38" t="n">
        <v>238</v>
      </c>
      <c r="K215" s="39" t="inlineStr">
        <is>
          <t>РК</t>
        </is>
      </c>
      <c r="L215" s="38" t="n">
        <v>730</v>
      </c>
      <c r="M215" s="540">
        <f>HYPERLINK("https://abiproduct.ru/products/Охлажденные/Стародворье/Бордо/Паштеты/P002649/","Паштеты Копчёный бекон Бордо фикс.вес 0,1 Стародворье")</f>
        <v/>
      </c>
      <c r="N215" s="409" t="n"/>
      <c r="O215" s="409" t="n"/>
      <c r="P215" s="409" t="n"/>
      <c r="Q215" s="376" t="n"/>
      <c r="R215" s="40" t="inlineStr"/>
      <c r="S215" s="40" t="inlineStr"/>
      <c r="T215" s="41" t="inlineStr">
        <is>
          <t>кг</t>
        </is>
      </c>
      <c r="U215" s="410" t="n">
        <v>0</v>
      </c>
      <c r="V215" s="411">
        <f>IFERROR(IF(U215="",0,CEILING((U215/$H215),1)*$H215),"")</f>
        <v/>
      </c>
      <c r="W215" s="42">
        <f>IFERROR(IF(V215=0,"",ROUNDUP(V215/H215,0)*0.00474),"")</f>
        <v/>
      </c>
      <c r="X215" s="69" t="inlineStr"/>
      <c r="Y215" s="70" t="inlineStr"/>
    </row>
    <row r="216" ht="16.5" customHeight="1">
      <c r="A216" s="64" t="inlineStr">
        <is>
          <t>SU002841</t>
        </is>
      </c>
      <c r="B216" s="64" t="inlineStr">
        <is>
          <t>P003253</t>
        </is>
      </c>
      <c r="C216" s="37" t="n">
        <v>4301180007</v>
      </c>
      <c r="D216" s="131" t="n">
        <v>4680115881808</v>
      </c>
      <c r="E216" s="376" t="n"/>
      <c r="F216" s="407" t="n">
        <v>0.1</v>
      </c>
      <c r="G216" s="38" t="n">
        <v>20</v>
      </c>
      <c r="H216" s="407" t="n">
        <v>2</v>
      </c>
      <c r="I216" s="407" t="n">
        <v>2.24</v>
      </c>
      <c r="J216" s="38" t="n">
        <v>238</v>
      </c>
      <c r="K216" s="39" t="inlineStr">
        <is>
          <t>РК</t>
        </is>
      </c>
      <c r="L216" s="38" t="n">
        <v>730</v>
      </c>
      <c r="M216" s="541" t="inlineStr">
        <is>
          <t>Паштеты "Любительский ГОСТ" Фикс.вес 0,1 ТМ "Стародворье"</t>
        </is>
      </c>
      <c r="N216" s="409" t="n"/>
      <c r="O216" s="409" t="n"/>
      <c r="P216" s="409" t="n"/>
      <c r="Q216" s="376" t="n"/>
      <c r="R216" s="40" t="inlineStr"/>
      <c r="S216" s="40" t="inlineStr"/>
      <c r="T216" s="41" t="inlineStr">
        <is>
          <t>кг</t>
        </is>
      </c>
      <c r="U216" s="410" t="n">
        <v>0</v>
      </c>
      <c r="V216" s="411">
        <f>IFERROR(IF(U216="",0,CEILING((U216/$H216),1)*$H216),"")</f>
        <v/>
      </c>
      <c r="W216" s="42">
        <f>IFERROR(IF(V216=0,"",ROUNDUP(V216/H216,0)*0.00474),"")</f>
        <v/>
      </c>
      <c r="X216" s="69" t="inlineStr"/>
      <c r="Y216" s="70" t="inlineStr"/>
    </row>
    <row r="217" ht="27" customHeight="1">
      <c r="A217" s="64" t="inlineStr">
        <is>
          <t>SU002840</t>
        </is>
      </c>
      <c r="B217" s="64" t="inlineStr">
        <is>
          <t>P003252</t>
        </is>
      </c>
      <c r="C217" s="37" t="n">
        <v>4301180006</v>
      </c>
      <c r="D217" s="131" t="n">
        <v>4680115881822</v>
      </c>
      <c r="E217" s="376" t="n"/>
      <c r="F217" s="407" t="n">
        <v>0.1</v>
      </c>
      <c r="G217" s="38" t="n">
        <v>20</v>
      </c>
      <c r="H217" s="407" t="n">
        <v>2</v>
      </c>
      <c r="I217" s="407" t="n">
        <v>2.24</v>
      </c>
      <c r="J217" s="38" t="n">
        <v>238</v>
      </c>
      <c r="K217" s="39" t="inlineStr">
        <is>
          <t>РК</t>
        </is>
      </c>
      <c r="L217" s="38" t="n">
        <v>730</v>
      </c>
      <c r="M217" s="542" t="inlineStr">
        <is>
          <t>Паштеты "Печеночный с морковью ГОСТ" Фикс.вес 0,1 ТМ "Стародворье"</t>
        </is>
      </c>
      <c r="N217" s="409" t="n"/>
      <c r="O217" s="409" t="n"/>
      <c r="P217" s="409" t="n"/>
      <c r="Q217" s="376" t="n"/>
      <c r="R217" s="40" t="inlineStr"/>
      <c r="S217" s="40" t="inlineStr"/>
      <c r="T217" s="41" t="inlineStr">
        <is>
          <t>кг</t>
        </is>
      </c>
      <c r="U217" s="410" t="n">
        <v>0</v>
      </c>
      <c r="V217" s="411">
        <f>IFERROR(IF(U217="",0,CEILING((U217/$H217),1)*$H217),"")</f>
        <v/>
      </c>
      <c r="W217" s="42">
        <f>IFERROR(IF(V217=0,"",ROUNDUP(V217/H217,0)*0.00474),"")</f>
        <v/>
      </c>
      <c r="X217" s="69" t="inlineStr"/>
      <c r="Y217" s="70" t="inlineStr"/>
    </row>
    <row r="218" ht="27" customHeight="1">
      <c r="A218" s="64" t="inlineStr">
        <is>
          <t>SU002368</t>
        </is>
      </c>
      <c r="B218" s="64" t="inlineStr">
        <is>
          <t>P002648</t>
        </is>
      </c>
      <c r="C218" s="37" t="n">
        <v>4301180001</v>
      </c>
      <c r="D218" s="131" t="n">
        <v>4680115880016</v>
      </c>
      <c r="E218" s="376" t="n"/>
      <c r="F218" s="407" t="n">
        <v>0.1</v>
      </c>
      <c r="G218" s="38" t="n">
        <v>20</v>
      </c>
      <c r="H218" s="407" t="n">
        <v>2</v>
      </c>
      <c r="I218" s="407" t="n">
        <v>2.24</v>
      </c>
      <c r="J218" s="38" t="n">
        <v>238</v>
      </c>
      <c r="K218" s="39" t="inlineStr">
        <is>
          <t>РК</t>
        </is>
      </c>
      <c r="L218" s="38" t="n">
        <v>730</v>
      </c>
      <c r="M218" s="543">
        <f>HYPERLINK("https://abiproduct.ru/products/Охлажденные/Стародворье/Бордо/Паштеты/P002648/","Паштеты Со сливочным маслом ГОСТ Бордо фикс.вес 0,1 Стародворье")</f>
        <v/>
      </c>
      <c r="N218" s="409" t="n"/>
      <c r="O218" s="409" t="n"/>
      <c r="P218" s="409" t="n"/>
      <c r="Q218" s="376" t="n"/>
      <c r="R218" s="40" t="inlineStr"/>
      <c r="S218" s="40" t="inlineStr"/>
      <c r="T218" s="41" t="inlineStr">
        <is>
          <t>кг</t>
        </is>
      </c>
      <c r="U218" s="410" t="n">
        <v>0</v>
      </c>
      <c r="V218" s="411">
        <f>IFERROR(IF(U218="",0,CEILING((U218/$H218),1)*$H218),"")</f>
        <v/>
      </c>
      <c r="W218" s="42">
        <f>IFERROR(IF(V218=0,"",ROUNDUP(V218/H218,0)*0.00474),"")</f>
        <v/>
      </c>
      <c r="X218" s="69" t="inlineStr"/>
      <c r="Y218" s="70" t="inlineStr"/>
    </row>
    <row r="219">
      <c r="A219" s="13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412" t="n"/>
      <c r="M219" s="413" t="inlineStr">
        <is>
          <t>Итого</t>
        </is>
      </c>
      <c r="N219" s="384" t="n"/>
      <c r="O219" s="384" t="n"/>
      <c r="P219" s="384" t="n"/>
      <c r="Q219" s="384" t="n"/>
      <c r="R219" s="384" t="n"/>
      <c r="S219" s="385" t="n"/>
      <c r="T219" s="43" t="inlineStr">
        <is>
          <t>кор</t>
        </is>
      </c>
      <c r="U219" s="414">
        <f>IFERROR(U215/H215,"0")+IFERROR(U216/H216,"0")+IFERROR(U217/H217,"0")+IFERROR(U218/H218,"0")</f>
        <v/>
      </c>
      <c r="V219" s="414">
        <f>IFERROR(V215/H215,"0")+IFERROR(V216/H216,"0")+IFERROR(V217/H217,"0")+IFERROR(V218/H218,"0")</f>
        <v/>
      </c>
      <c r="W219" s="414">
        <f>IFERROR(IF(W215="",0,W215),"0")+IFERROR(IF(W216="",0,W216),"0")+IFERROR(IF(W217="",0,W217),"0")+IFERROR(IF(W218="",0,W218),"0")</f>
        <v/>
      </c>
      <c r="X219" s="415" t="n"/>
      <c r="Y219" s="415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412" t="n"/>
      <c r="M220" s="413" t="inlineStr">
        <is>
          <t>Итого</t>
        </is>
      </c>
      <c r="N220" s="384" t="n"/>
      <c r="O220" s="384" t="n"/>
      <c r="P220" s="384" t="n"/>
      <c r="Q220" s="384" t="n"/>
      <c r="R220" s="384" t="n"/>
      <c r="S220" s="385" t="n"/>
      <c r="T220" s="43" t="inlineStr">
        <is>
          <t>кг</t>
        </is>
      </c>
      <c r="U220" s="414">
        <f>IFERROR(SUM(U215:U218),"0")</f>
        <v/>
      </c>
      <c r="V220" s="414">
        <f>IFERROR(SUM(V215:V218),"0")</f>
        <v/>
      </c>
      <c r="W220" s="43" t="n"/>
      <c r="X220" s="415" t="n"/>
      <c r="Y220" s="415" t="n"/>
    </row>
    <row r="221" ht="16.5" customHeight="1">
      <c r="A221" s="129" t="inlineStr">
        <is>
          <t>Фирменная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29" t="n"/>
      <c r="Y221" s="129" t="n"/>
    </row>
    <row r="222" ht="14.25" customHeight="1">
      <c r="A222" s="130" t="inlineStr">
        <is>
          <t>Вареные колбасы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30" t="n"/>
      <c r="Y222" s="130" t="n"/>
    </row>
    <row r="223" ht="27" customHeight="1">
      <c r="A223" s="64" t="inlineStr">
        <is>
          <t>SU001793</t>
        </is>
      </c>
      <c r="B223" s="64" t="inlineStr">
        <is>
          <t>P001793</t>
        </is>
      </c>
      <c r="C223" s="37" t="n">
        <v>4301011315</v>
      </c>
      <c r="D223" s="131" t="n">
        <v>4607091387421</v>
      </c>
      <c r="E223" s="376" t="n"/>
      <c r="F223" s="407" t="n">
        <v>1.35</v>
      </c>
      <c r="G223" s="38" t="n">
        <v>8</v>
      </c>
      <c r="H223" s="407" t="n">
        <v>10.8</v>
      </c>
      <c r="I223" s="407" t="n">
        <v>11.28</v>
      </c>
      <c r="J223" s="38" t="n">
        <v>56</v>
      </c>
      <c r="K223" s="39" t="inlineStr">
        <is>
          <t>СК1</t>
        </is>
      </c>
      <c r="L223" s="38" t="n">
        <v>55</v>
      </c>
      <c r="M223" s="544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3" s="409" t="n"/>
      <c r="O223" s="409" t="n"/>
      <c r="P223" s="409" t="n"/>
      <c r="Q223" s="376" t="n"/>
      <c r="R223" s="40" t="inlineStr"/>
      <c r="S223" s="40" t="inlineStr"/>
      <c r="T223" s="41" t="inlineStr">
        <is>
          <t>кг</t>
        </is>
      </c>
      <c r="U223" s="410" t="n">
        <v>0</v>
      </c>
      <c r="V223" s="411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</row>
    <row r="224" ht="27" customHeight="1">
      <c r="A224" s="64" t="inlineStr">
        <is>
          <t>SU001793</t>
        </is>
      </c>
      <c r="B224" s="64" t="inlineStr">
        <is>
          <t>P002227</t>
        </is>
      </c>
      <c r="C224" s="37" t="n">
        <v>4301011121</v>
      </c>
      <c r="D224" s="131" t="n">
        <v>4607091387421</v>
      </c>
      <c r="E224" s="376" t="n"/>
      <c r="F224" s="407" t="n">
        <v>1.35</v>
      </c>
      <c r="G224" s="38" t="n">
        <v>8</v>
      </c>
      <c r="H224" s="407" t="n">
        <v>10.8</v>
      </c>
      <c r="I224" s="407" t="n">
        <v>11.28</v>
      </c>
      <c r="J224" s="38" t="n">
        <v>48</v>
      </c>
      <c r="K224" s="39" t="inlineStr">
        <is>
          <t>ВЗ</t>
        </is>
      </c>
      <c r="L224" s="38" t="n">
        <v>55</v>
      </c>
      <c r="M224" s="545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4" s="409" t="n"/>
      <c r="O224" s="409" t="n"/>
      <c r="P224" s="409" t="n"/>
      <c r="Q224" s="376" t="n"/>
      <c r="R224" s="40" t="inlineStr"/>
      <c r="S224" s="40" t="inlineStr"/>
      <c r="T224" s="41" t="inlineStr">
        <is>
          <t>кг</t>
        </is>
      </c>
      <c r="U224" s="410" t="n">
        <v>0</v>
      </c>
      <c r="V224" s="411">
        <f>IFERROR(IF(U224="",0,CEILING((U224/$H224),1)*$H224),"")</f>
        <v/>
      </c>
      <c r="W224" s="42">
        <f>IFERROR(IF(V224=0,"",ROUNDUP(V224/H224,0)*0.02039),"")</f>
        <v/>
      </c>
      <c r="X224" s="69" t="inlineStr"/>
      <c r="Y224" s="70" t="inlineStr"/>
    </row>
    <row r="225" ht="27" customHeight="1">
      <c r="A225" s="64" t="inlineStr">
        <is>
          <t>SU001799</t>
        </is>
      </c>
      <c r="B225" s="64" t="inlineStr">
        <is>
          <t>P003076</t>
        </is>
      </c>
      <c r="C225" s="37" t="n">
        <v>4301011396</v>
      </c>
      <c r="D225" s="131" t="n">
        <v>4607091387452</v>
      </c>
      <c r="E225" s="376" t="n"/>
      <c r="F225" s="407" t="n">
        <v>1.35</v>
      </c>
      <c r="G225" s="38" t="n">
        <v>8</v>
      </c>
      <c r="H225" s="407" t="n">
        <v>10.8</v>
      </c>
      <c r="I225" s="407" t="n">
        <v>11.28</v>
      </c>
      <c r="J225" s="38" t="n">
        <v>48</v>
      </c>
      <c r="K225" s="39" t="inlineStr">
        <is>
          <t>ВЗ</t>
        </is>
      </c>
      <c r="L225" s="38" t="n">
        <v>55</v>
      </c>
      <c r="M225" s="546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5" s="409" t="n"/>
      <c r="O225" s="409" t="n"/>
      <c r="P225" s="409" t="n"/>
      <c r="Q225" s="376" t="n"/>
      <c r="R225" s="40" t="inlineStr"/>
      <c r="S225" s="40" t="inlineStr"/>
      <c r="T225" s="41" t="inlineStr">
        <is>
          <t>кг</t>
        </is>
      </c>
      <c r="U225" s="410" t="n">
        <v>0</v>
      </c>
      <c r="V225" s="411">
        <f>IFERROR(IF(U225="",0,CEILING((U225/$H225),1)*$H225),"")</f>
        <v/>
      </c>
      <c r="W225" s="42">
        <f>IFERROR(IF(V225=0,"",ROUNDUP(V225/H225,0)*0.02039),"")</f>
        <v/>
      </c>
      <c r="X225" s="69" t="inlineStr"/>
      <c r="Y225" s="70" t="inlineStr"/>
    </row>
    <row r="226" ht="27" customHeight="1">
      <c r="A226" s="64" t="inlineStr">
        <is>
          <t>SU001799</t>
        </is>
      </c>
      <c r="B226" s="64" t="inlineStr">
        <is>
          <t>P001799</t>
        </is>
      </c>
      <c r="C226" s="37" t="n">
        <v>4301011322</v>
      </c>
      <c r="D226" s="131" t="n">
        <v>4607091387452</v>
      </c>
      <c r="E226" s="376" t="n"/>
      <c r="F226" s="407" t="n">
        <v>1.35</v>
      </c>
      <c r="G226" s="38" t="n">
        <v>8</v>
      </c>
      <c r="H226" s="407" t="n">
        <v>10.8</v>
      </c>
      <c r="I226" s="407" t="n">
        <v>11.28</v>
      </c>
      <c r="J226" s="38" t="n">
        <v>56</v>
      </c>
      <c r="K226" s="39" t="inlineStr">
        <is>
          <t>СК3</t>
        </is>
      </c>
      <c r="L226" s="38" t="n">
        <v>55</v>
      </c>
      <c r="M226" s="547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26" s="409" t="n"/>
      <c r="O226" s="409" t="n"/>
      <c r="P226" s="409" t="n"/>
      <c r="Q226" s="376" t="n"/>
      <c r="R226" s="40" t="inlineStr"/>
      <c r="S226" s="40" t="inlineStr"/>
      <c r="T226" s="41" t="inlineStr">
        <is>
          <t>кг</t>
        </is>
      </c>
      <c r="U226" s="410" t="n">
        <v>0</v>
      </c>
      <c r="V226" s="411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</row>
    <row r="227" ht="27" customHeight="1">
      <c r="A227" s="64" t="inlineStr">
        <is>
          <t>SU001792</t>
        </is>
      </c>
      <c r="B227" s="64" t="inlineStr">
        <is>
          <t>P001792</t>
        </is>
      </c>
      <c r="C227" s="37" t="n">
        <v>4301011313</v>
      </c>
      <c r="D227" s="131" t="n">
        <v>4607091385984</v>
      </c>
      <c r="E227" s="376" t="n"/>
      <c r="F227" s="407" t="n">
        <v>1.35</v>
      </c>
      <c r="G227" s="38" t="n">
        <v>8</v>
      </c>
      <c r="H227" s="407" t="n">
        <v>10.8</v>
      </c>
      <c r="I227" s="407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548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27" s="409" t="n"/>
      <c r="O227" s="409" t="n"/>
      <c r="P227" s="409" t="n"/>
      <c r="Q227" s="376" t="n"/>
      <c r="R227" s="40" t="inlineStr"/>
      <c r="S227" s="40" t="inlineStr"/>
      <c r="T227" s="41" t="inlineStr">
        <is>
          <t>кг</t>
        </is>
      </c>
      <c r="U227" s="410" t="n">
        <v>0</v>
      </c>
      <c r="V227" s="411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</row>
    <row r="228" ht="27" customHeight="1">
      <c r="A228" s="64" t="inlineStr">
        <is>
          <t>SU001794</t>
        </is>
      </c>
      <c r="B228" s="64" t="inlineStr">
        <is>
          <t>P001794</t>
        </is>
      </c>
      <c r="C228" s="37" t="n">
        <v>4301011316</v>
      </c>
      <c r="D228" s="131" t="n">
        <v>4607091387438</v>
      </c>
      <c r="E228" s="376" t="n"/>
      <c r="F228" s="407" t="n">
        <v>0.5</v>
      </c>
      <c r="G228" s="38" t="n">
        <v>10</v>
      </c>
      <c r="H228" s="407" t="n">
        <v>5</v>
      </c>
      <c r="I228" s="407" t="n">
        <v>5.24</v>
      </c>
      <c r="J228" s="38" t="n">
        <v>120</v>
      </c>
      <c r="K228" s="39" t="inlineStr">
        <is>
          <t>СК1</t>
        </is>
      </c>
      <c r="L228" s="38" t="n">
        <v>55</v>
      </c>
      <c r="M228" s="549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28" s="409" t="n"/>
      <c r="O228" s="409" t="n"/>
      <c r="P228" s="409" t="n"/>
      <c r="Q228" s="376" t="n"/>
      <c r="R228" s="40" t="inlineStr"/>
      <c r="S228" s="40" t="inlineStr"/>
      <c r="T228" s="41" t="inlineStr">
        <is>
          <t>кг</t>
        </is>
      </c>
      <c r="U228" s="410" t="n">
        <v>0</v>
      </c>
      <c r="V228" s="411">
        <f>IFERROR(IF(U228="",0,CEILING((U228/$H228),1)*$H228),"")</f>
        <v/>
      </c>
      <c r="W228" s="42">
        <f>IFERROR(IF(V228=0,"",ROUNDUP(V228/H228,0)*0.00937),"")</f>
        <v/>
      </c>
      <c r="X228" s="69" t="inlineStr"/>
      <c r="Y228" s="70" t="inlineStr"/>
    </row>
    <row r="229" ht="27" customHeight="1">
      <c r="A229" s="64" t="inlineStr">
        <is>
          <t>SU001795</t>
        </is>
      </c>
      <c r="B229" s="64" t="inlineStr">
        <is>
          <t>P001795</t>
        </is>
      </c>
      <c r="C229" s="37" t="n">
        <v>4301011318</v>
      </c>
      <c r="D229" s="131" t="n">
        <v>4607091387469</v>
      </c>
      <c r="E229" s="376" t="n"/>
      <c r="F229" s="407" t="n">
        <v>0.5</v>
      </c>
      <c r="G229" s="38" t="n">
        <v>10</v>
      </c>
      <c r="H229" s="407" t="n">
        <v>5</v>
      </c>
      <c r="I229" s="407" t="n">
        <v>5.21</v>
      </c>
      <c r="J229" s="38" t="n">
        <v>120</v>
      </c>
      <c r="K229" s="39" t="inlineStr">
        <is>
          <t>СК2</t>
        </is>
      </c>
      <c r="L229" s="38" t="n">
        <v>55</v>
      </c>
      <c r="M229" s="550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29" s="409" t="n"/>
      <c r="O229" s="409" t="n"/>
      <c r="P229" s="409" t="n"/>
      <c r="Q229" s="376" t="n"/>
      <c r="R229" s="40" t="inlineStr"/>
      <c r="S229" s="40" t="inlineStr"/>
      <c r="T229" s="41" t="inlineStr">
        <is>
          <t>кг</t>
        </is>
      </c>
      <c r="U229" s="410" t="n">
        <v>0</v>
      </c>
      <c r="V229" s="411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</row>
    <row r="230">
      <c r="A230" s="139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412" t="n"/>
      <c r="M230" s="413" t="inlineStr">
        <is>
          <t>Итого</t>
        </is>
      </c>
      <c r="N230" s="384" t="n"/>
      <c r="O230" s="384" t="n"/>
      <c r="P230" s="384" t="n"/>
      <c r="Q230" s="384" t="n"/>
      <c r="R230" s="384" t="n"/>
      <c r="S230" s="385" t="n"/>
      <c r="T230" s="43" t="inlineStr">
        <is>
          <t>кор</t>
        </is>
      </c>
      <c r="U230" s="414">
        <f>IFERROR(U223/H223,"0")+IFERROR(U224/H224,"0")+IFERROR(U225/H225,"0")+IFERROR(U226/H226,"0")+IFERROR(U227/H227,"0")+IFERROR(U228/H228,"0")+IFERROR(U229/H229,"0")</f>
        <v/>
      </c>
      <c r="V230" s="414">
        <f>IFERROR(V223/H223,"0")+IFERROR(V224/H224,"0")+IFERROR(V225/H225,"0")+IFERROR(V226/H226,"0")+IFERROR(V227/H227,"0")+IFERROR(V228/H228,"0")+IFERROR(V229/H229,"0")</f>
        <v/>
      </c>
      <c r="W230" s="414">
        <f>IFERROR(IF(W223="",0,W223),"0")+IFERROR(IF(W224="",0,W224),"0")+IFERROR(IF(W225="",0,W225),"0")+IFERROR(IF(W226="",0,W226),"0")+IFERROR(IF(W227="",0,W227),"0")+IFERROR(IF(W228="",0,W228),"0")+IFERROR(IF(W229="",0,W229),"0")</f>
        <v/>
      </c>
      <c r="X230" s="415" t="n"/>
      <c r="Y230" s="415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412" t="n"/>
      <c r="M231" s="413" t="inlineStr">
        <is>
          <t>Итого</t>
        </is>
      </c>
      <c r="N231" s="384" t="n"/>
      <c r="O231" s="384" t="n"/>
      <c r="P231" s="384" t="n"/>
      <c r="Q231" s="384" t="n"/>
      <c r="R231" s="384" t="n"/>
      <c r="S231" s="385" t="n"/>
      <c r="T231" s="43" t="inlineStr">
        <is>
          <t>кг</t>
        </is>
      </c>
      <c r="U231" s="414">
        <f>IFERROR(SUM(U223:U229),"0")</f>
        <v/>
      </c>
      <c r="V231" s="414">
        <f>IFERROR(SUM(V223:V229),"0")</f>
        <v/>
      </c>
      <c r="W231" s="43" t="n"/>
      <c r="X231" s="415" t="n"/>
      <c r="Y231" s="415" t="n"/>
    </row>
    <row r="232" ht="14.25" customHeight="1">
      <c r="A232" s="130" t="inlineStr">
        <is>
          <t>Копченые колбасы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30" t="n"/>
      <c r="Y232" s="130" t="n"/>
    </row>
    <row r="233" ht="27" customHeight="1">
      <c r="A233" s="64" t="inlineStr">
        <is>
          <t>SU001801</t>
        </is>
      </c>
      <c r="B233" s="64" t="inlineStr">
        <is>
          <t>P003014</t>
        </is>
      </c>
      <c r="C233" s="37" t="n">
        <v>4301031154</v>
      </c>
      <c r="D233" s="131" t="n">
        <v>4607091387292</v>
      </c>
      <c r="E233" s="376" t="n"/>
      <c r="F233" s="407" t="n">
        <v>0.63</v>
      </c>
      <c r="G233" s="38" t="n">
        <v>6</v>
      </c>
      <c r="H233" s="407" t="n">
        <v>3.78</v>
      </c>
      <c r="I233" s="407" t="n">
        <v>4.04</v>
      </c>
      <c r="J233" s="38" t="n">
        <v>156</v>
      </c>
      <c r="K233" s="39" t="inlineStr">
        <is>
          <t>СК2</t>
        </is>
      </c>
      <c r="L233" s="38" t="n">
        <v>45</v>
      </c>
      <c r="M233" s="551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3" s="409" t="n"/>
      <c r="O233" s="409" t="n"/>
      <c r="P233" s="409" t="n"/>
      <c r="Q233" s="376" t="n"/>
      <c r="R233" s="40" t="inlineStr"/>
      <c r="S233" s="40" t="inlineStr"/>
      <c r="T233" s="41" t="inlineStr">
        <is>
          <t>кг</t>
        </is>
      </c>
      <c r="U233" s="410" t="n">
        <v>0</v>
      </c>
      <c r="V233" s="411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</row>
    <row r="234" ht="27" customHeight="1">
      <c r="A234" s="64" t="inlineStr">
        <is>
          <t>SU000231</t>
        </is>
      </c>
      <c r="B234" s="64" t="inlineStr">
        <is>
          <t>P003015</t>
        </is>
      </c>
      <c r="C234" s="37" t="n">
        <v>4301031155</v>
      </c>
      <c r="D234" s="131" t="n">
        <v>4607091387315</v>
      </c>
      <c r="E234" s="376" t="n"/>
      <c r="F234" s="407" t="n">
        <v>0.7</v>
      </c>
      <c r="G234" s="38" t="n">
        <v>4</v>
      </c>
      <c r="H234" s="407" t="n">
        <v>2.8</v>
      </c>
      <c r="I234" s="407" t="n">
        <v>3.048</v>
      </c>
      <c r="J234" s="38" t="n">
        <v>156</v>
      </c>
      <c r="K234" s="39" t="inlineStr">
        <is>
          <t>СК2</t>
        </is>
      </c>
      <c r="L234" s="38" t="n">
        <v>45</v>
      </c>
      <c r="M234" s="552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4" s="409" t="n"/>
      <c r="O234" s="409" t="n"/>
      <c r="P234" s="409" t="n"/>
      <c r="Q234" s="376" t="n"/>
      <c r="R234" s="40" t="inlineStr"/>
      <c r="S234" s="40" t="inlineStr"/>
      <c r="T234" s="41" t="inlineStr">
        <is>
          <t>кг</t>
        </is>
      </c>
      <c r="U234" s="410" t="n">
        <v>0</v>
      </c>
      <c r="V234" s="411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2" t="n"/>
      <c r="M235" s="413" t="inlineStr">
        <is>
          <t>Итого</t>
        </is>
      </c>
      <c r="N235" s="384" t="n"/>
      <c r="O235" s="384" t="n"/>
      <c r="P235" s="384" t="n"/>
      <c r="Q235" s="384" t="n"/>
      <c r="R235" s="384" t="n"/>
      <c r="S235" s="385" t="n"/>
      <c r="T235" s="43" t="inlineStr">
        <is>
          <t>кор</t>
        </is>
      </c>
      <c r="U235" s="414">
        <f>IFERROR(U233/H233,"0")+IFERROR(U234/H234,"0")</f>
        <v/>
      </c>
      <c r="V235" s="414">
        <f>IFERROR(V233/H233,"0")+IFERROR(V234/H234,"0")</f>
        <v/>
      </c>
      <c r="W235" s="414">
        <f>IFERROR(IF(W233="",0,W233),"0")+IFERROR(IF(W234="",0,W234),"0")</f>
        <v/>
      </c>
      <c r="X235" s="415" t="n"/>
      <c r="Y235" s="41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2" t="n"/>
      <c r="M236" s="413" t="inlineStr">
        <is>
          <t>Итого</t>
        </is>
      </c>
      <c r="N236" s="384" t="n"/>
      <c r="O236" s="384" t="n"/>
      <c r="P236" s="384" t="n"/>
      <c r="Q236" s="384" t="n"/>
      <c r="R236" s="384" t="n"/>
      <c r="S236" s="385" t="n"/>
      <c r="T236" s="43" t="inlineStr">
        <is>
          <t>кг</t>
        </is>
      </c>
      <c r="U236" s="414">
        <f>IFERROR(SUM(U233:U234),"0")</f>
        <v/>
      </c>
      <c r="V236" s="414">
        <f>IFERROR(SUM(V233:V234),"0")</f>
        <v/>
      </c>
      <c r="W236" s="43" t="n"/>
      <c r="X236" s="415" t="n"/>
      <c r="Y236" s="415" t="n"/>
    </row>
    <row r="237" ht="16.5" customHeight="1">
      <c r="A237" s="129" t="inlineStr">
        <is>
          <t>Бавария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29" t="n"/>
      <c r="Y237" s="129" t="n"/>
    </row>
    <row r="238" ht="14.25" customHeight="1">
      <c r="A238" s="130" t="inlineStr">
        <is>
          <t>Копченые колбасы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30" t="n"/>
      <c r="Y238" s="130" t="n"/>
    </row>
    <row r="239" ht="37.5" customHeight="1">
      <c r="A239" s="64" t="inlineStr">
        <is>
          <t>SU002061</t>
        </is>
      </c>
      <c r="B239" s="64" t="inlineStr">
        <is>
          <t>P002232</t>
        </is>
      </c>
      <c r="C239" s="37" t="n">
        <v>4301030368</v>
      </c>
      <c r="D239" s="131" t="n">
        <v>4607091383232</v>
      </c>
      <c r="E239" s="376" t="n"/>
      <c r="F239" s="407" t="n">
        <v>0.28</v>
      </c>
      <c r="G239" s="38" t="n">
        <v>6</v>
      </c>
      <c r="H239" s="407" t="n">
        <v>1.68</v>
      </c>
      <c r="I239" s="407" t="n">
        <v>2.6</v>
      </c>
      <c r="J239" s="38" t="n">
        <v>156</v>
      </c>
      <c r="K239" s="39" t="inlineStr">
        <is>
          <t>СК2</t>
        </is>
      </c>
      <c r="L239" s="38" t="n">
        <v>35</v>
      </c>
      <c r="M239" s="553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39" s="409" t="n"/>
      <c r="O239" s="409" t="n"/>
      <c r="P239" s="409" t="n"/>
      <c r="Q239" s="376" t="n"/>
      <c r="R239" s="40" t="inlineStr"/>
      <c r="S239" s="40" t="inlineStr"/>
      <c r="T239" s="41" t="inlineStr">
        <is>
          <t>кг</t>
        </is>
      </c>
      <c r="U239" s="410" t="n">
        <v>0</v>
      </c>
      <c r="V239" s="411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 ht="27" customHeight="1">
      <c r="A240" s="64" t="inlineStr">
        <is>
          <t>SU002252</t>
        </is>
      </c>
      <c r="B240" s="64" t="inlineStr">
        <is>
          <t>P002461</t>
        </is>
      </c>
      <c r="C240" s="37" t="n">
        <v>4301031066</v>
      </c>
      <c r="D240" s="131" t="n">
        <v>4607091383836</v>
      </c>
      <c r="E240" s="376" t="n"/>
      <c r="F240" s="407" t="n">
        <v>0.3</v>
      </c>
      <c r="G240" s="38" t="n">
        <v>6</v>
      </c>
      <c r="H240" s="407" t="n">
        <v>1.8</v>
      </c>
      <c r="I240" s="407" t="n">
        <v>2.048</v>
      </c>
      <c r="J240" s="38" t="n">
        <v>156</v>
      </c>
      <c r="K240" s="39" t="inlineStr">
        <is>
          <t>СК2</t>
        </is>
      </c>
      <c r="L240" s="38" t="n">
        <v>40</v>
      </c>
      <c r="M240" s="554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0" s="409" t="n"/>
      <c r="O240" s="409" t="n"/>
      <c r="P240" s="409" t="n"/>
      <c r="Q240" s="376" t="n"/>
      <c r="R240" s="40" t="inlineStr"/>
      <c r="S240" s="40" t="inlineStr"/>
      <c r="T240" s="41" t="inlineStr">
        <is>
          <t>кг</t>
        </is>
      </c>
      <c r="U240" s="410" t="n">
        <v>0</v>
      </c>
      <c r="V240" s="411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</row>
    <row r="241">
      <c r="A241" s="13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2" t="n"/>
      <c r="M241" s="413" t="inlineStr">
        <is>
          <t>Итого</t>
        </is>
      </c>
      <c r="N241" s="384" t="n"/>
      <c r="O241" s="384" t="n"/>
      <c r="P241" s="384" t="n"/>
      <c r="Q241" s="384" t="n"/>
      <c r="R241" s="384" t="n"/>
      <c r="S241" s="385" t="n"/>
      <c r="T241" s="43" t="inlineStr">
        <is>
          <t>кор</t>
        </is>
      </c>
      <c r="U241" s="414">
        <f>IFERROR(U239/H239,"0")+IFERROR(U240/H240,"0")</f>
        <v/>
      </c>
      <c r="V241" s="414">
        <f>IFERROR(V239/H239,"0")+IFERROR(V240/H240,"0")</f>
        <v/>
      </c>
      <c r="W241" s="414">
        <f>IFERROR(IF(W239="",0,W239),"0")+IFERROR(IF(W240="",0,W240),"0")</f>
        <v/>
      </c>
      <c r="X241" s="415" t="n"/>
      <c r="Y241" s="415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412" t="n"/>
      <c r="M242" s="413" t="inlineStr">
        <is>
          <t>Итого</t>
        </is>
      </c>
      <c r="N242" s="384" t="n"/>
      <c r="O242" s="384" t="n"/>
      <c r="P242" s="384" t="n"/>
      <c r="Q242" s="384" t="n"/>
      <c r="R242" s="384" t="n"/>
      <c r="S242" s="385" t="n"/>
      <c r="T242" s="43" t="inlineStr">
        <is>
          <t>кг</t>
        </is>
      </c>
      <c r="U242" s="414">
        <f>IFERROR(SUM(U239:U240),"0")</f>
        <v/>
      </c>
      <c r="V242" s="414">
        <f>IFERROR(SUM(V239:V240),"0")</f>
        <v/>
      </c>
      <c r="W242" s="43" t="n"/>
      <c r="X242" s="415" t="n"/>
      <c r="Y242" s="415" t="n"/>
    </row>
    <row r="243" ht="14.25" customHeight="1">
      <c r="A243" s="130" t="inlineStr">
        <is>
          <t>Сосиски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27" customHeight="1">
      <c r="A244" s="64" t="inlineStr">
        <is>
          <t>SU001835</t>
        </is>
      </c>
      <c r="B244" s="64" t="inlineStr">
        <is>
          <t>P002202</t>
        </is>
      </c>
      <c r="C244" s="37" t="n">
        <v>4301051142</v>
      </c>
      <c r="D244" s="131" t="n">
        <v>4607091387919</v>
      </c>
      <c r="E244" s="376" t="n"/>
      <c r="F244" s="407" t="n">
        <v>1.35</v>
      </c>
      <c r="G244" s="38" t="n">
        <v>6</v>
      </c>
      <c r="H244" s="407" t="n">
        <v>8.1</v>
      </c>
      <c r="I244" s="407" t="n">
        <v>8.664</v>
      </c>
      <c r="J244" s="38" t="n">
        <v>56</v>
      </c>
      <c r="K244" s="39" t="inlineStr">
        <is>
          <t>СК2</t>
        </is>
      </c>
      <c r="L244" s="38" t="n">
        <v>45</v>
      </c>
      <c r="M244" s="555">
        <f>HYPERLINK("https://abiproduct.ru/products/Охлажденные/Стародворье/Бавария/Сосиски/P002202/","Сосиски Баварские Бавария Весовые П/а мгс Стародворье")</f>
        <v/>
      </c>
      <c r="N244" s="409" t="n"/>
      <c r="O244" s="409" t="n"/>
      <c r="P244" s="409" t="n"/>
      <c r="Q244" s="376" t="n"/>
      <c r="R244" s="40" t="inlineStr"/>
      <c r="S244" s="40" t="inlineStr"/>
      <c r="T244" s="41" t="inlineStr">
        <is>
          <t>кг</t>
        </is>
      </c>
      <c r="U244" s="410" t="n">
        <v>0</v>
      </c>
      <c r="V244" s="411">
        <f>IFERROR(IF(U244="",0,CEILING((U244/$H244),1)*$H244),"")</f>
        <v/>
      </c>
      <c r="W244" s="42">
        <f>IFERROR(IF(V244=0,"",ROUNDUP(V244/H244,0)*0.02175),"")</f>
        <v/>
      </c>
      <c r="X244" s="69" t="inlineStr"/>
      <c r="Y244" s="70" t="inlineStr"/>
    </row>
    <row r="245" ht="27" customHeight="1">
      <c r="A245" s="64" t="inlineStr">
        <is>
          <t>SU001836</t>
        </is>
      </c>
      <c r="B245" s="64" t="inlineStr">
        <is>
          <t>P002201</t>
        </is>
      </c>
      <c r="C245" s="37" t="n">
        <v>4301051109</v>
      </c>
      <c r="D245" s="131" t="n">
        <v>4607091383942</v>
      </c>
      <c r="E245" s="376" t="n"/>
      <c r="F245" s="407" t="n">
        <v>0.42</v>
      </c>
      <c r="G245" s="38" t="n">
        <v>6</v>
      </c>
      <c r="H245" s="407" t="n">
        <v>2.52</v>
      </c>
      <c r="I245" s="407" t="n">
        <v>2.792</v>
      </c>
      <c r="J245" s="38" t="n">
        <v>156</v>
      </c>
      <c r="K245" s="39" t="inlineStr">
        <is>
          <t>СК3</t>
        </is>
      </c>
      <c r="L245" s="38" t="n">
        <v>45</v>
      </c>
      <c r="M245" s="556">
        <f>HYPERLINK("https://abiproduct.ru/products/Охлажденные/Стародворье/Бавария/Сосиски/P002201/","Сосиски Баварские Бавария Фикс.вес 0,42 П/а мгс Стародворье")</f>
        <v/>
      </c>
      <c r="N245" s="409" t="n"/>
      <c r="O245" s="409" t="n"/>
      <c r="P245" s="409" t="n"/>
      <c r="Q245" s="376" t="n"/>
      <c r="R245" s="40" t="inlineStr"/>
      <c r="S245" s="40" t="inlineStr"/>
      <c r="T245" s="41" t="inlineStr">
        <is>
          <t>кг</t>
        </is>
      </c>
      <c r="U245" s="410" t="n">
        <v>0</v>
      </c>
      <c r="V245" s="411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 ht="27" customHeight="1">
      <c r="A246" s="64" t="inlineStr">
        <is>
          <t>SU001970</t>
        </is>
      </c>
      <c r="B246" s="64" t="inlineStr">
        <is>
          <t>P001837</t>
        </is>
      </c>
      <c r="C246" s="37" t="n">
        <v>4301051300</v>
      </c>
      <c r="D246" s="131" t="n">
        <v>4607091383959</v>
      </c>
      <c r="E246" s="376" t="n"/>
      <c r="F246" s="407" t="n">
        <v>0.42</v>
      </c>
      <c r="G246" s="38" t="n">
        <v>6</v>
      </c>
      <c r="H246" s="407" t="n">
        <v>2.52</v>
      </c>
      <c r="I246" s="407" t="n">
        <v>2.78</v>
      </c>
      <c r="J246" s="38" t="n">
        <v>156</v>
      </c>
      <c r="K246" s="39" t="inlineStr">
        <is>
          <t>СК2</t>
        </is>
      </c>
      <c r="L246" s="38" t="n">
        <v>35</v>
      </c>
      <c r="M246" s="557">
        <f>HYPERLINK("https://abiproduct.ru/products/Охлажденные/Стародворье/Бавария/Сосиски/P001837/","Сосиски Баварские с сыром Бавария Фикс.вес 0,42 ц/о Стародворье")</f>
        <v/>
      </c>
      <c r="N246" s="409" t="n"/>
      <c r="O246" s="409" t="n"/>
      <c r="P246" s="409" t="n"/>
      <c r="Q246" s="376" t="n"/>
      <c r="R246" s="40" t="inlineStr"/>
      <c r="S246" s="40" t="inlineStr"/>
      <c r="T246" s="41" t="inlineStr">
        <is>
          <t>кг</t>
        </is>
      </c>
      <c r="U246" s="410" t="n">
        <v>0</v>
      </c>
      <c r="V246" s="411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</row>
    <row r="247">
      <c r="A247" s="139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2" t="n"/>
      <c r="M247" s="413" t="inlineStr">
        <is>
          <t>Итого</t>
        </is>
      </c>
      <c r="N247" s="384" t="n"/>
      <c r="O247" s="384" t="n"/>
      <c r="P247" s="384" t="n"/>
      <c r="Q247" s="384" t="n"/>
      <c r="R247" s="384" t="n"/>
      <c r="S247" s="385" t="n"/>
      <c r="T247" s="43" t="inlineStr">
        <is>
          <t>кор</t>
        </is>
      </c>
      <c r="U247" s="414">
        <f>IFERROR(U244/H244,"0")+IFERROR(U245/H245,"0")+IFERROR(U246/H246,"0")</f>
        <v/>
      </c>
      <c r="V247" s="414">
        <f>IFERROR(V244/H244,"0")+IFERROR(V245/H245,"0")+IFERROR(V246/H246,"0")</f>
        <v/>
      </c>
      <c r="W247" s="414">
        <f>IFERROR(IF(W244="",0,W244),"0")+IFERROR(IF(W245="",0,W245),"0")+IFERROR(IF(W246="",0,W246),"0")</f>
        <v/>
      </c>
      <c r="X247" s="415" t="n"/>
      <c r="Y247" s="415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412" t="n"/>
      <c r="M248" s="413" t="inlineStr">
        <is>
          <t>Итого</t>
        </is>
      </c>
      <c r="N248" s="384" t="n"/>
      <c r="O248" s="384" t="n"/>
      <c r="P248" s="384" t="n"/>
      <c r="Q248" s="384" t="n"/>
      <c r="R248" s="384" t="n"/>
      <c r="S248" s="385" t="n"/>
      <c r="T248" s="43" t="inlineStr">
        <is>
          <t>кг</t>
        </is>
      </c>
      <c r="U248" s="414">
        <f>IFERROR(SUM(U244:U246),"0")</f>
        <v/>
      </c>
      <c r="V248" s="414">
        <f>IFERROR(SUM(V244:V246),"0")</f>
        <v/>
      </c>
      <c r="W248" s="43" t="n"/>
      <c r="X248" s="415" t="n"/>
      <c r="Y248" s="415" t="n"/>
    </row>
    <row r="249" ht="14.25" customHeight="1">
      <c r="A249" s="130" t="inlineStr">
        <is>
          <t>Сардельки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30" t="n"/>
      <c r="Y249" s="130" t="n"/>
    </row>
    <row r="250" ht="27" customHeight="1">
      <c r="A250" s="64" t="inlineStr">
        <is>
          <t>SU002173</t>
        </is>
      </c>
      <c r="B250" s="64" t="inlineStr">
        <is>
          <t>P002361</t>
        </is>
      </c>
      <c r="C250" s="37" t="n">
        <v>4301060324</v>
      </c>
      <c r="D250" s="131" t="n">
        <v>4607091388831</v>
      </c>
      <c r="E250" s="376" t="n"/>
      <c r="F250" s="407" t="n">
        <v>0.38</v>
      </c>
      <c r="G250" s="38" t="n">
        <v>6</v>
      </c>
      <c r="H250" s="407" t="n">
        <v>2.28</v>
      </c>
      <c r="I250" s="407" t="n">
        <v>2.552</v>
      </c>
      <c r="J250" s="38" t="n">
        <v>156</v>
      </c>
      <c r="K250" s="39" t="inlineStr">
        <is>
          <t>СК2</t>
        </is>
      </c>
      <c r="L250" s="38" t="n">
        <v>40</v>
      </c>
      <c r="M250" s="558">
        <f>HYPERLINK("https://abiproduct.ru/products/Охлажденные/Стародворье/Бавария/Сардельки/P002361/","Сардельки Баварские Бавария фикс.вес 0,38 п/а мгс Стародворье")</f>
        <v/>
      </c>
      <c r="N250" s="409" t="n"/>
      <c r="O250" s="409" t="n"/>
      <c r="P250" s="409" t="n"/>
      <c r="Q250" s="376" t="n"/>
      <c r="R250" s="40" t="inlineStr"/>
      <c r="S250" s="40" t="inlineStr"/>
      <c r="T250" s="41" t="inlineStr">
        <is>
          <t>кг</t>
        </is>
      </c>
      <c r="U250" s="410" t="n">
        <v>0</v>
      </c>
      <c r="V250" s="411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>
      <c r="A251" s="139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412" t="n"/>
      <c r="M251" s="413" t="inlineStr">
        <is>
          <t>Итого</t>
        </is>
      </c>
      <c r="N251" s="384" t="n"/>
      <c r="O251" s="384" t="n"/>
      <c r="P251" s="384" t="n"/>
      <c r="Q251" s="384" t="n"/>
      <c r="R251" s="384" t="n"/>
      <c r="S251" s="385" t="n"/>
      <c r="T251" s="43" t="inlineStr">
        <is>
          <t>кор</t>
        </is>
      </c>
      <c r="U251" s="414">
        <f>IFERROR(U250/H250,"0")</f>
        <v/>
      </c>
      <c r="V251" s="414">
        <f>IFERROR(V250/H250,"0")</f>
        <v/>
      </c>
      <c r="W251" s="414">
        <f>IFERROR(IF(W250="",0,W250),"0")</f>
        <v/>
      </c>
      <c r="X251" s="415" t="n"/>
      <c r="Y251" s="415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2" t="n"/>
      <c r="M252" s="413" t="inlineStr">
        <is>
          <t>Итого</t>
        </is>
      </c>
      <c r="N252" s="384" t="n"/>
      <c r="O252" s="384" t="n"/>
      <c r="P252" s="384" t="n"/>
      <c r="Q252" s="384" t="n"/>
      <c r="R252" s="384" t="n"/>
      <c r="S252" s="385" t="n"/>
      <c r="T252" s="43" t="inlineStr">
        <is>
          <t>кг</t>
        </is>
      </c>
      <c r="U252" s="414">
        <f>IFERROR(SUM(U250:U250),"0")</f>
        <v/>
      </c>
      <c r="V252" s="414">
        <f>IFERROR(SUM(V250:V250),"0")</f>
        <v/>
      </c>
      <c r="W252" s="43" t="n"/>
      <c r="X252" s="415" t="n"/>
      <c r="Y252" s="415" t="n"/>
    </row>
    <row r="253" ht="14.25" customHeight="1">
      <c r="A253" s="130" t="inlineStr">
        <is>
          <t>Сырокопченые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30" t="n"/>
      <c r="Y253" s="130" t="n"/>
    </row>
    <row r="254" ht="27" customHeight="1">
      <c r="A254" s="64" t="inlineStr">
        <is>
          <t>SU002092</t>
        </is>
      </c>
      <c r="B254" s="64" t="inlineStr">
        <is>
          <t>P002290</t>
        </is>
      </c>
      <c r="C254" s="37" t="n">
        <v>4301032015</v>
      </c>
      <c r="D254" s="131" t="n">
        <v>4607091383102</v>
      </c>
      <c r="E254" s="376" t="n"/>
      <c r="F254" s="407" t="n">
        <v>0.17</v>
      </c>
      <c r="G254" s="38" t="n">
        <v>15</v>
      </c>
      <c r="H254" s="407" t="n">
        <v>2.55</v>
      </c>
      <c r="I254" s="407" t="n">
        <v>2.975</v>
      </c>
      <c r="J254" s="38" t="n">
        <v>156</v>
      </c>
      <c r="K254" s="39" t="inlineStr">
        <is>
          <t>АК</t>
        </is>
      </c>
      <c r="L254" s="38" t="n">
        <v>180</v>
      </c>
      <c r="M254" s="559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4" s="409" t="n"/>
      <c r="O254" s="409" t="n"/>
      <c r="P254" s="409" t="n"/>
      <c r="Q254" s="376" t="n"/>
      <c r="R254" s="40" t="inlineStr"/>
      <c r="S254" s="40" t="inlineStr"/>
      <c r="T254" s="41" t="inlineStr">
        <is>
          <t>кг</t>
        </is>
      </c>
      <c r="U254" s="410" t="n">
        <v>0</v>
      </c>
      <c r="V254" s="411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</row>
    <row r="255">
      <c r="A255" s="13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412" t="n"/>
      <c r="M255" s="413" t="inlineStr">
        <is>
          <t>Итого</t>
        </is>
      </c>
      <c r="N255" s="384" t="n"/>
      <c r="O255" s="384" t="n"/>
      <c r="P255" s="384" t="n"/>
      <c r="Q255" s="384" t="n"/>
      <c r="R255" s="384" t="n"/>
      <c r="S255" s="385" t="n"/>
      <c r="T255" s="43" t="inlineStr">
        <is>
          <t>кор</t>
        </is>
      </c>
      <c r="U255" s="414">
        <f>IFERROR(U254/H254,"0")</f>
        <v/>
      </c>
      <c r="V255" s="414">
        <f>IFERROR(V254/H254,"0")</f>
        <v/>
      </c>
      <c r="W255" s="414">
        <f>IFERROR(IF(W254="",0,W254),"0")</f>
        <v/>
      </c>
      <c r="X255" s="415" t="n"/>
      <c r="Y255" s="41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2" t="n"/>
      <c r="M256" s="413" t="inlineStr">
        <is>
          <t>Итого</t>
        </is>
      </c>
      <c r="N256" s="384" t="n"/>
      <c r="O256" s="384" t="n"/>
      <c r="P256" s="384" t="n"/>
      <c r="Q256" s="384" t="n"/>
      <c r="R256" s="384" t="n"/>
      <c r="S256" s="385" t="n"/>
      <c r="T256" s="43" t="inlineStr">
        <is>
          <t>кг</t>
        </is>
      </c>
      <c r="U256" s="414">
        <f>IFERROR(SUM(U254:U254),"0")</f>
        <v/>
      </c>
      <c r="V256" s="414">
        <f>IFERROR(SUM(V254:V254),"0")</f>
        <v/>
      </c>
      <c r="W256" s="43" t="n"/>
      <c r="X256" s="415" t="n"/>
      <c r="Y256" s="415" t="n"/>
    </row>
    <row r="257" ht="14.25" customHeight="1">
      <c r="A257" s="130" t="inlineStr">
        <is>
          <t>Сыровяленые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30" t="n"/>
      <c r="Y257" s="130" t="n"/>
    </row>
    <row r="258" ht="27" customHeight="1">
      <c r="A258" s="64" t="inlineStr">
        <is>
          <t>SU002457</t>
        </is>
      </c>
      <c r="B258" s="64" t="inlineStr">
        <is>
          <t>P002756</t>
        </is>
      </c>
      <c r="C258" s="37" t="n">
        <v>4301032026</v>
      </c>
      <c r="D258" s="131" t="n">
        <v>4607091389142</v>
      </c>
      <c r="E258" s="376" t="n"/>
      <c r="F258" s="407" t="n">
        <v>0.15</v>
      </c>
      <c r="G258" s="38" t="n">
        <v>10</v>
      </c>
      <c r="H258" s="407" t="n">
        <v>1.5</v>
      </c>
      <c r="I258" s="407" t="n">
        <v>1.76</v>
      </c>
      <c r="J258" s="38" t="n">
        <v>200</v>
      </c>
      <c r="K258" s="39" t="inlineStr">
        <is>
          <t>ДК</t>
        </is>
      </c>
      <c r="L258" s="38" t="n">
        <v>150</v>
      </c>
      <c r="M258" s="560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58" s="409" t="n"/>
      <c r="O258" s="409" t="n"/>
      <c r="P258" s="409" t="n"/>
      <c r="Q258" s="376" t="n"/>
      <c r="R258" s="40" t="inlineStr"/>
      <c r="S258" s="40" t="inlineStr"/>
      <c r="T258" s="41" t="inlineStr">
        <is>
          <t>кг</t>
        </is>
      </c>
      <c r="U258" s="410" t="n">
        <v>0</v>
      </c>
      <c r="V258" s="411">
        <f>IFERROR(IF(U258="",0,CEILING((U258/$H258),1)*$H258),"")</f>
        <v/>
      </c>
      <c r="W258" s="42">
        <f>IFERROR(IF(V258=0,"",ROUNDUP(V258/H258,0)*0.00673),"")</f>
        <v/>
      </c>
      <c r="X258" s="69" t="inlineStr"/>
      <c r="Y258" s="70" t="inlineStr"/>
    </row>
    <row r="259">
      <c r="A259" s="13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412" t="n"/>
      <c r="M259" s="413" t="inlineStr">
        <is>
          <t>Итого</t>
        </is>
      </c>
      <c r="N259" s="384" t="n"/>
      <c r="O259" s="384" t="n"/>
      <c r="P259" s="384" t="n"/>
      <c r="Q259" s="384" t="n"/>
      <c r="R259" s="384" t="n"/>
      <c r="S259" s="385" t="n"/>
      <c r="T259" s="43" t="inlineStr">
        <is>
          <t>кор</t>
        </is>
      </c>
      <c r="U259" s="414">
        <f>IFERROR(U258/H258,"0")</f>
        <v/>
      </c>
      <c r="V259" s="414">
        <f>IFERROR(V258/H258,"0")</f>
        <v/>
      </c>
      <c r="W259" s="414">
        <f>IFERROR(IF(W258="",0,W258),"0")</f>
        <v/>
      </c>
      <c r="X259" s="415" t="n"/>
      <c r="Y259" s="415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2" t="n"/>
      <c r="M260" s="413" t="inlineStr">
        <is>
          <t>Итого</t>
        </is>
      </c>
      <c r="N260" s="384" t="n"/>
      <c r="O260" s="384" t="n"/>
      <c r="P260" s="384" t="n"/>
      <c r="Q260" s="384" t="n"/>
      <c r="R260" s="384" t="n"/>
      <c r="S260" s="385" t="n"/>
      <c r="T260" s="43" t="inlineStr">
        <is>
          <t>кг</t>
        </is>
      </c>
      <c r="U260" s="414">
        <f>IFERROR(SUM(U258:U258),"0")</f>
        <v/>
      </c>
      <c r="V260" s="414">
        <f>IFERROR(SUM(V258:V258),"0")</f>
        <v/>
      </c>
      <c r="W260" s="43" t="n"/>
      <c r="X260" s="415" t="n"/>
      <c r="Y260" s="415" t="n"/>
    </row>
    <row r="261" ht="27.75" customHeight="1">
      <c r="A261" s="128" t="inlineStr">
        <is>
          <t>Особый рецепт</t>
        </is>
      </c>
      <c r="B261" s="406" t="n"/>
      <c r="C261" s="406" t="n"/>
      <c r="D261" s="406" t="n"/>
      <c r="E261" s="406" t="n"/>
      <c r="F261" s="406" t="n"/>
      <c r="G261" s="406" t="n"/>
      <c r="H261" s="406" t="n"/>
      <c r="I261" s="406" t="n"/>
      <c r="J261" s="406" t="n"/>
      <c r="K261" s="406" t="n"/>
      <c r="L261" s="406" t="n"/>
      <c r="M261" s="406" t="n"/>
      <c r="N261" s="406" t="n"/>
      <c r="O261" s="406" t="n"/>
      <c r="P261" s="406" t="n"/>
      <c r="Q261" s="406" t="n"/>
      <c r="R261" s="406" t="n"/>
      <c r="S261" s="406" t="n"/>
      <c r="T261" s="406" t="n"/>
      <c r="U261" s="406" t="n"/>
      <c r="V261" s="406" t="n"/>
      <c r="W261" s="406" t="n"/>
      <c r="X261" s="55" t="n"/>
      <c r="Y261" s="55" t="n"/>
    </row>
    <row r="262" ht="16.5" customHeight="1">
      <c r="A262" s="129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29" t="n"/>
      <c r="Y262" s="129" t="n"/>
    </row>
    <row r="263" ht="14.25" customHeight="1">
      <c r="A263" s="130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30" t="n"/>
      <c r="Y263" s="130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131" t="n">
        <v>4607091383997</v>
      </c>
      <c r="E264" s="376" t="n"/>
      <c r="F264" s="407" t="n">
        <v>2.5</v>
      </c>
      <c r="G264" s="38" t="n">
        <v>6</v>
      </c>
      <c r="H264" s="407" t="n">
        <v>15</v>
      </c>
      <c r="I264" s="407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561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409" t="n"/>
      <c r="O264" s="409" t="n"/>
      <c r="P264" s="409" t="n"/>
      <c r="Q264" s="376" t="n"/>
      <c r="R264" s="40" t="inlineStr"/>
      <c r="S264" s="40" t="inlineStr"/>
      <c r="T264" s="41" t="inlineStr">
        <is>
          <t>кг</t>
        </is>
      </c>
      <c r="U264" s="410" t="n">
        <v>0</v>
      </c>
      <c r="V264" s="411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131" t="n">
        <v>4607091383997</v>
      </c>
      <c r="E265" s="376" t="n"/>
      <c r="F265" s="407" t="n">
        <v>2.5</v>
      </c>
      <c r="G265" s="38" t="n">
        <v>6</v>
      </c>
      <c r="H265" s="407" t="n">
        <v>15</v>
      </c>
      <c r="I265" s="407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562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409" t="n"/>
      <c r="O265" s="409" t="n"/>
      <c r="P265" s="409" t="n"/>
      <c r="Q265" s="376" t="n"/>
      <c r="R265" s="40" t="inlineStr"/>
      <c r="S265" s="40" t="inlineStr"/>
      <c r="T265" s="41" t="inlineStr">
        <is>
          <t>кг</t>
        </is>
      </c>
      <c r="U265" s="410" t="n">
        <v>2300</v>
      </c>
      <c r="V265" s="411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131" t="n">
        <v>4607091384130</v>
      </c>
      <c r="E266" s="376" t="n"/>
      <c r="F266" s="407" t="n">
        <v>2.5</v>
      </c>
      <c r="G266" s="38" t="n">
        <v>6</v>
      </c>
      <c r="H266" s="407" t="n">
        <v>15</v>
      </c>
      <c r="I266" s="407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563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409" t="n"/>
      <c r="O266" s="409" t="n"/>
      <c r="P266" s="409" t="n"/>
      <c r="Q266" s="376" t="n"/>
      <c r="R266" s="40" t="inlineStr"/>
      <c r="S266" s="40" t="inlineStr"/>
      <c r="T266" s="41" t="inlineStr">
        <is>
          <t>кг</t>
        </is>
      </c>
      <c r="U266" s="410" t="n">
        <v>3500</v>
      </c>
      <c r="V266" s="411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131" t="n">
        <v>4607091384130</v>
      </c>
      <c r="E267" s="376" t="n"/>
      <c r="F267" s="407" t="n">
        <v>2.5</v>
      </c>
      <c r="G267" s="38" t="n">
        <v>6</v>
      </c>
      <c r="H267" s="407" t="n">
        <v>15</v>
      </c>
      <c r="I267" s="407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564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409" t="n"/>
      <c r="O267" s="409" t="n"/>
      <c r="P267" s="409" t="n"/>
      <c r="Q267" s="376" t="n"/>
      <c r="R267" s="40" t="inlineStr"/>
      <c r="S267" s="40" t="inlineStr"/>
      <c r="T267" s="41" t="inlineStr">
        <is>
          <t>кг</t>
        </is>
      </c>
      <c r="U267" s="410" t="n">
        <v>0</v>
      </c>
      <c r="V267" s="411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131" t="n">
        <v>4607091384147</v>
      </c>
      <c r="E268" s="376" t="n"/>
      <c r="F268" s="407" t="n">
        <v>2.5</v>
      </c>
      <c r="G268" s="38" t="n">
        <v>6</v>
      </c>
      <c r="H268" s="407" t="n">
        <v>15</v>
      </c>
      <c r="I268" s="407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565">
        <f>HYPERLINK("https://abiproduct.ru/products/Охлажденные/Особый рецепт/Особая/Вареные колбасы/P002564/","Вареные колбасы Особая Особая Весовые П/а Особый рецепт")</f>
        <v/>
      </c>
      <c r="N268" s="409" t="n"/>
      <c r="O268" s="409" t="n"/>
      <c r="P268" s="409" t="n"/>
      <c r="Q268" s="376" t="n"/>
      <c r="R268" s="40" t="inlineStr"/>
      <c r="S268" s="40" t="inlineStr"/>
      <c r="T268" s="41" t="inlineStr">
        <is>
          <t>кг</t>
        </is>
      </c>
      <c r="U268" s="410" t="n">
        <v>2000</v>
      </c>
      <c r="V268" s="411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131" t="n">
        <v>4607091384147</v>
      </c>
      <c r="E269" s="376" t="n"/>
      <c r="F269" s="407" t="n">
        <v>2.5</v>
      </c>
      <c r="G269" s="38" t="n">
        <v>6</v>
      </c>
      <c r="H269" s="407" t="n">
        <v>15</v>
      </c>
      <c r="I269" s="407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566" t="inlineStr">
        <is>
          <t>Вареные колбасы Особая Особая Весовые П/а Особый рецепт</t>
        </is>
      </c>
      <c r="N269" s="409" t="n"/>
      <c r="O269" s="409" t="n"/>
      <c r="P269" s="409" t="n"/>
      <c r="Q269" s="376" t="n"/>
      <c r="R269" s="40" t="inlineStr"/>
      <c r="S269" s="40" t="inlineStr"/>
      <c r="T269" s="41" t="inlineStr">
        <is>
          <t>кг</t>
        </is>
      </c>
      <c r="U269" s="410" t="n">
        <v>0</v>
      </c>
      <c r="V269" s="411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131" t="n">
        <v>4607091384154</v>
      </c>
      <c r="E270" s="376" t="n"/>
      <c r="F270" s="407" t="n">
        <v>0.5</v>
      </c>
      <c r="G270" s="38" t="n">
        <v>10</v>
      </c>
      <c r="H270" s="407" t="n">
        <v>5</v>
      </c>
      <c r="I270" s="407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567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409" t="n"/>
      <c r="O270" s="409" t="n"/>
      <c r="P270" s="409" t="n"/>
      <c r="Q270" s="376" t="n"/>
      <c r="R270" s="40" t="inlineStr"/>
      <c r="S270" s="40" t="inlineStr"/>
      <c r="T270" s="41" t="inlineStr">
        <is>
          <t>кг</t>
        </is>
      </c>
      <c r="U270" s="410" t="n">
        <v>80</v>
      </c>
      <c r="V270" s="411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131" t="n">
        <v>4607091384161</v>
      </c>
      <c r="E271" s="376" t="n"/>
      <c r="F271" s="407" t="n">
        <v>0.5</v>
      </c>
      <c r="G271" s="38" t="n">
        <v>10</v>
      </c>
      <c r="H271" s="407" t="n">
        <v>5</v>
      </c>
      <c r="I271" s="407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568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/>
      </c>
      <c r="N271" s="409" t="n"/>
      <c r="O271" s="409" t="n"/>
      <c r="P271" s="409" t="n"/>
      <c r="Q271" s="376" t="n"/>
      <c r="R271" s="40" t="inlineStr"/>
      <c r="S271" s="40" t="inlineStr"/>
      <c r="T271" s="41" t="inlineStr">
        <is>
          <t>кг</t>
        </is>
      </c>
      <c r="U271" s="410" t="n">
        <v>0</v>
      </c>
      <c r="V271" s="411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</row>
    <row r="272">
      <c r="A272" s="13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412" t="n"/>
      <c r="M272" s="413" t="inlineStr">
        <is>
          <t>Итого</t>
        </is>
      </c>
      <c r="N272" s="384" t="n"/>
      <c r="O272" s="384" t="n"/>
      <c r="P272" s="384" t="n"/>
      <c r="Q272" s="384" t="n"/>
      <c r="R272" s="384" t="n"/>
      <c r="S272" s="385" t="n"/>
      <c r="T272" s="43" t="inlineStr">
        <is>
          <t>кор</t>
        </is>
      </c>
      <c r="U272" s="414">
        <f>IFERROR(U264/H264,"0")+IFERROR(U265/H265,"0")+IFERROR(U266/H266,"0")+IFERROR(U267/H267,"0")+IFERROR(U268/H268,"0")+IFERROR(U269/H269,"0")+IFERROR(U270/H270,"0")+IFERROR(U271/H271,"0")</f>
        <v/>
      </c>
      <c r="V272" s="414">
        <f>IFERROR(V264/H264,"0")+IFERROR(V265/H265,"0")+IFERROR(V266/H266,"0")+IFERROR(V267/H267,"0")+IFERROR(V268/H268,"0")+IFERROR(V269/H269,"0")+IFERROR(V270/H270,"0")+IFERROR(V271/H271,"0")</f>
        <v/>
      </c>
      <c r="W272" s="414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415" t="n"/>
      <c r="Y272" s="41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412" t="n"/>
      <c r="M273" s="413" t="inlineStr">
        <is>
          <t>Итого</t>
        </is>
      </c>
      <c r="N273" s="384" t="n"/>
      <c r="O273" s="384" t="n"/>
      <c r="P273" s="384" t="n"/>
      <c r="Q273" s="384" t="n"/>
      <c r="R273" s="384" t="n"/>
      <c r="S273" s="385" t="n"/>
      <c r="T273" s="43" t="inlineStr">
        <is>
          <t>кг</t>
        </is>
      </c>
      <c r="U273" s="414">
        <f>IFERROR(SUM(U264:U271),"0")</f>
        <v/>
      </c>
      <c r="V273" s="414">
        <f>IFERROR(SUM(V264:V271),"0")</f>
        <v/>
      </c>
      <c r="W273" s="43" t="n"/>
      <c r="X273" s="415" t="n"/>
      <c r="Y273" s="415" t="n"/>
    </row>
    <row r="274" ht="14.25" customHeight="1">
      <c r="A274" s="130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30" t="n"/>
      <c r="Y274" s="130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131" t="n">
        <v>4607091383980</v>
      </c>
      <c r="E275" s="376" t="n"/>
      <c r="F275" s="407" t="n">
        <v>2.5</v>
      </c>
      <c r="G275" s="38" t="n">
        <v>6</v>
      </c>
      <c r="H275" s="407" t="n">
        <v>15</v>
      </c>
      <c r="I275" s="407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569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/>
      </c>
      <c r="N275" s="409" t="n"/>
      <c r="O275" s="409" t="n"/>
      <c r="P275" s="409" t="n"/>
      <c r="Q275" s="376" t="n"/>
      <c r="R275" s="40" t="inlineStr"/>
      <c r="S275" s="40" t="inlineStr"/>
      <c r="T275" s="41" t="inlineStr">
        <is>
          <t>кг</t>
        </is>
      </c>
      <c r="U275" s="410" t="n">
        <v>600</v>
      </c>
      <c r="V275" s="411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131" t="n">
        <v>4607091384178</v>
      </c>
      <c r="E276" s="376" t="n"/>
      <c r="F276" s="407" t="n">
        <v>0.4</v>
      </c>
      <c r="G276" s="38" t="n">
        <v>10</v>
      </c>
      <c r="H276" s="407" t="n">
        <v>4</v>
      </c>
      <c r="I276" s="407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570">
        <f>HYPERLINK("https://abiproduct.ru/products/Охлажденные/Особый рецепт/Особая/Ветчины/P002556/","Ветчины Нежная Особая Особая Фикс.вес 0,4 П/а Особый рецепт")</f>
        <v/>
      </c>
      <c r="N276" s="409" t="n"/>
      <c r="O276" s="409" t="n"/>
      <c r="P276" s="409" t="n"/>
      <c r="Q276" s="376" t="n"/>
      <c r="R276" s="40" t="inlineStr"/>
      <c r="S276" s="40" t="inlineStr"/>
      <c r="T276" s="41" t="inlineStr">
        <is>
          <t>кг</t>
        </is>
      </c>
      <c r="U276" s="410" t="n">
        <v>0</v>
      </c>
      <c r="V276" s="411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2" t="n"/>
      <c r="M277" s="413" t="inlineStr">
        <is>
          <t>Итого</t>
        </is>
      </c>
      <c r="N277" s="384" t="n"/>
      <c r="O277" s="384" t="n"/>
      <c r="P277" s="384" t="n"/>
      <c r="Q277" s="384" t="n"/>
      <c r="R277" s="384" t="n"/>
      <c r="S277" s="385" t="n"/>
      <c r="T277" s="43" t="inlineStr">
        <is>
          <t>кор</t>
        </is>
      </c>
      <c r="U277" s="414">
        <f>IFERROR(U275/H275,"0")+IFERROR(U276/H276,"0")</f>
        <v/>
      </c>
      <c r="V277" s="414">
        <f>IFERROR(V275/H275,"0")+IFERROR(V276/H276,"0")</f>
        <v/>
      </c>
      <c r="W277" s="414">
        <f>IFERROR(IF(W275="",0,W275),"0")+IFERROR(IF(W276="",0,W276),"0")</f>
        <v/>
      </c>
      <c r="X277" s="415" t="n"/>
      <c r="Y277" s="415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2" t="n"/>
      <c r="M278" s="413" t="inlineStr">
        <is>
          <t>Итого</t>
        </is>
      </c>
      <c r="N278" s="384" t="n"/>
      <c r="O278" s="384" t="n"/>
      <c r="P278" s="384" t="n"/>
      <c r="Q278" s="384" t="n"/>
      <c r="R278" s="384" t="n"/>
      <c r="S278" s="385" t="n"/>
      <c r="T278" s="43" t="inlineStr">
        <is>
          <t>кг</t>
        </is>
      </c>
      <c r="U278" s="414">
        <f>IFERROR(SUM(U275:U276),"0")</f>
        <v/>
      </c>
      <c r="V278" s="414">
        <f>IFERROR(SUM(V275:V276),"0")</f>
        <v/>
      </c>
      <c r="W278" s="43" t="n"/>
      <c r="X278" s="415" t="n"/>
      <c r="Y278" s="415" t="n"/>
    </row>
    <row r="279" ht="14.25" customHeight="1">
      <c r="A279" s="130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SU002362</t>
        </is>
      </c>
      <c r="B280" s="64" t="inlineStr">
        <is>
          <t>P002631</t>
        </is>
      </c>
      <c r="C280" s="37" t="n">
        <v>4301031141</v>
      </c>
      <c r="D280" s="131" t="n">
        <v>4607091384833</v>
      </c>
      <c r="E280" s="376" t="n"/>
      <c r="F280" s="407" t="n">
        <v>0.73</v>
      </c>
      <c r="G280" s="38" t="n">
        <v>6</v>
      </c>
      <c r="H280" s="407" t="n">
        <v>4.38</v>
      </c>
      <c r="I280" s="407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571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0" s="409" t="n"/>
      <c r="O280" s="409" t="n"/>
      <c r="P280" s="409" t="n"/>
      <c r="Q280" s="376" t="n"/>
      <c r="R280" s="40" t="inlineStr"/>
      <c r="S280" s="40" t="inlineStr"/>
      <c r="T280" s="41" t="inlineStr">
        <is>
          <t>кг</t>
        </is>
      </c>
      <c r="U280" s="410" t="n">
        <v>0</v>
      </c>
      <c r="V280" s="411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</row>
    <row r="281" ht="27" customHeight="1">
      <c r="A281" s="64" t="inlineStr">
        <is>
          <t>SU002364</t>
        </is>
      </c>
      <c r="B281" s="64" t="inlineStr">
        <is>
          <t>P002633</t>
        </is>
      </c>
      <c r="C281" s="37" t="n">
        <v>4301031137</v>
      </c>
      <c r="D281" s="131" t="n">
        <v>4607091384857</v>
      </c>
      <c r="E281" s="376" t="n"/>
      <c r="F281" s="407" t="n">
        <v>0.73</v>
      </c>
      <c r="G281" s="38" t="n">
        <v>6</v>
      </c>
      <c r="H281" s="407" t="n">
        <v>4.38</v>
      </c>
      <c r="I281" s="407" t="n">
        <v>4.58</v>
      </c>
      <c r="J281" s="38" t="n">
        <v>156</v>
      </c>
      <c r="K281" s="39" t="inlineStr">
        <is>
          <t>СК2</t>
        </is>
      </c>
      <c r="L281" s="38" t="n">
        <v>35</v>
      </c>
      <c r="M281" s="572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/>
      </c>
      <c r="N281" s="409" t="n"/>
      <c r="O281" s="409" t="n"/>
      <c r="P281" s="409" t="n"/>
      <c r="Q281" s="376" t="n"/>
      <c r="R281" s="40" t="inlineStr"/>
      <c r="S281" s="40" t="inlineStr"/>
      <c r="T281" s="41" t="inlineStr">
        <is>
          <t>кг</t>
        </is>
      </c>
      <c r="U281" s="410" t="n">
        <v>0</v>
      </c>
      <c r="V281" s="411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2" t="n"/>
      <c r="M282" s="413" t="inlineStr">
        <is>
          <t>Итого</t>
        </is>
      </c>
      <c r="N282" s="384" t="n"/>
      <c r="O282" s="384" t="n"/>
      <c r="P282" s="384" t="n"/>
      <c r="Q282" s="384" t="n"/>
      <c r="R282" s="384" t="n"/>
      <c r="S282" s="385" t="n"/>
      <c r="T282" s="43" t="inlineStr">
        <is>
          <t>кор</t>
        </is>
      </c>
      <c r="U282" s="414">
        <f>IFERROR(U280/H280,"0")+IFERROR(U281/H281,"0")</f>
        <v/>
      </c>
      <c r="V282" s="414">
        <f>IFERROR(V280/H280,"0")+IFERROR(V281/H281,"0")</f>
        <v/>
      </c>
      <c r="W282" s="414">
        <f>IFERROR(IF(W280="",0,W280),"0")+IFERROR(IF(W281="",0,W281),"0")</f>
        <v/>
      </c>
      <c r="X282" s="415" t="n"/>
      <c r="Y282" s="415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2" t="n"/>
      <c r="M283" s="413" t="inlineStr">
        <is>
          <t>Итого</t>
        </is>
      </c>
      <c r="N283" s="384" t="n"/>
      <c r="O283" s="384" t="n"/>
      <c r="P283" s="384" t="n"/>
      <c r="Q283" s="384" t="n"/>
      <c r="R283" s="384" t="n"/>
      <c r="S283" s="385" t="n"/>
      <c r="T283" s="43" t="inlineStr">
        <is>
          <t>кг</t>
        </is>
      </c>
      <c r="U283" s="414">
        <f>IFERROR(SUM(U280:U281),"0")</f>
        <v/>
      </c>
      <c r="V283" s="414">
        <f>IFERROR(SUM(V280:V281),"0")</f>
        <v/>
      </c>
      <c r="W283" s="43" t="n"/>
      <c r="X283" s="415" t="n"/>
      <c r="Y283" s="415" t="n"/>
    </row>
    <row r="284" ht="14.25" customHeight="1">
      <c r="A284" s="130" t="inlineStr">
        <is>
          <t>Сосиски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SU000246</t>
        </is>
      </c>
      <c r="B285" s="64" t="inlineStr">
        <is>
          <t>P002690</t>
        </is>
      </c>
      <c r="C285" s="37" t="n">
        <v>4301051298</v>
      </c>
      <c r="D285" s="131" t="n">
        <v>4607091384260</v>
      </c>
      <c r="E285" s="376" t="n"/>
      <c r="F285" s="407" t="n">
        <v>1.3</v>
      </c>
      <c r="G285" s="38" t="n">
        <v>6</v>
      </c>
      <c r="H285" s="407" t="n">
        <v>7.8</v>
      </c>
      <c r="I285" s="407" t="n">
        <v>8.364000000000001</v>
      </c>
      <c r="J285" s="38" t="n">
        <v>56</v>
      </c>
      <c r="K285" s="39" t="inlineStr">
        <is>
          <t>СК2</t>
        </is>
      </c>
      <c r="L285" s="38" t="n">
        <v>35</v>
      </c>
      <c r="M285" s="573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/>
      </c>
      <c r="N285" s="409" t="n"/>
      <c r="O285" s="409" t="n"/>
      <c r="P285" s="409" t="n"/>
      <c r="Q285" s="376" t="n"/>
      <c r="R285" s="40" t="inlineStr"/>
      <c r="S285" s="40" t="inlineStr"/>
      <c r="T285" s="41" t="inlineStr">
        <is>
          <t>кг</t>
        </is>
      </c>
      <c r="U285" s="410" t="n">
        <v>250</v>
      </c>
      <c r="V285" s="411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</row>
    <row r="286">
      <c r="A286" s="139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412" t="n"/>
      <c r="M286" s="413" t="inlineStr">
        <is>
          <t>Итого</t>
        </is>
      </c>
      <c r="N286" s="384" t="n"/>
      <c r="O286" s="384" t="n"/>
      <c r="P286" s="384" t="n"/>
      <c r="Q286" s="384" t="n"/>
      <c r="R286" s="384" t="n"/>
      <c r="S286" s="385" t="n"/>
      <c r="T286" s="43" t="inlineStr">
        <is>
          <t>кор</t>
        </is>
      </c>
      <c r="U286" s="414">
        <f>IFERROR(U285/H285,"0")</f>
        <v/>
      </c>
      <c r="V286" s="414">
        <f>IFERROR(V285/H285,"0")</f>
        <v/>
      </c>
      <c r="W286" s="414">
        <f>IFERROR(IF(W285="",0,W285),"0")</f>
        <v/>
      </c>
      <c r="X286" s="415" t="n"/>
      <c r="Y286" s="415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2" t="n"/>
      <c r="M287" s="413" t="inlineStr">
        <is>
          <t>Итого</t>
        </is>
      </c>
      <c r="N287" s="384" t="n"/>
      <c r="O287" s="384" t="n"/>
      <c r="P287" s="384" t="n"/>
      <c r="Q287" s="384" t="n"/>
      <c r="R287" s="384" t="n"/>
      <c r="S287" s="385" t="n"/>
      <c r="T287" s="43" t="inlineStr">
        <is>
          <t>кг</t>
        </is>
      </c>
      <c r="U287" s="414">
        <f>IFERROR(SUM(U285:U285),"0")</f>
        <v/>
      </c>
      <c r="V287" s="414">
        <f>IFERROR(SUM(V285:V285),"0")</f>
        <v/>
      </c>
      <c r="W287" s="43" t="n"/>
      <c r="X287" s="415" t="n"/>
      <c r="Y287" s="415" t="n"/>
    </row>
    <row r="288" ht="14.25" customHeight="1">
      <c r="A288" s="130" t="inlineStr">
        <is>
          <t>Сардельки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30" t="n"/>
      <c r="Y288" s="130" t="n"/>
    </row>
    <row r="289" ht="16.5" customHeight="1">
      <c r="A289" s="64" t="inlineStr">
        <is>
          <t>SU002287</t>
        </is>
      </c>
      <c r="B289" s="64" t="inlineStr">
        <is>
          <t>P002490</t>
        </is>
      </c>
      <c r="C289" s="37" t="n">
        <v>4301060314</v>
      </c>
      <c r="D289" s="131" t="n">
        <v>4607091384673</v>
      </c>
      <c r="E289" s="376" t="n"/>
      <c r="F289" s="407" t="n">
        <v>1.3</v>
      </c>
      <c r="G289" s="38" t="n">
        <v>6</v>
      </c>
      <c r="H289" s="407" t="n">
        <v>7.8</v>
      </c>
      <c r="I289" s="407" t="n">
        <v>8.364000000000001</v>
      </c>
      <c r="J289" s="38" t="n">
        <v>56</v>
      </c>
      <c r="K289" s="39" t="inlineStr">
        <is>
          <t>СК2</t>
        </is>
      </c>
      <c r="L289" s="38" t="n">
        <v>30</v>
      </c>
      <c r="M289" s="574">
        <f>HYPERLINK("https://abiproduct.ru/products/Охлажденные/Особый рецепт/Особая/Сардельки/P002490/","Сардельки Сочные Особая Весовые NDX мгс Особый рецепт")</f>
        <v/>
      </c>
      <c r="N289" s="409" t="n"/>
      <c r="O289" s="409" t="n"/>
      <c r="P289" s="409" t="n"/>
      <c r="Q289" s="376" t="n"/>
      <c r="R289" s="40" t="inlineStr"/>
      <c r="S289" s="40" t="inlineStr"/>
      <c r="T289" s="41" t="inlineStr">
        <is>
          <t>кг</t>
        </is>
      </c>
      <c r="U289" s="410" t="n">
        <v>800</v>
      </c>
      <c r="V289" s="411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</row>
    <row r="290">
      <c r="A290" s="139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412" t="n"/>
      <c r="M290" s="413" t="inlineStr">
        <is>
          <t>Итого</t>
        </is>
      </c>
      <c r="N290" s="384" t="n"/>
      <c r="O290" s="384" t="n"/>
      <c r="P290" s="384" t="n"/>
      <c r="Q290" s="384" t="n"/>
      <c r="R290" s="384" t="n"/>
      <c r="S290" s="385" t="n"/>
      <c r="T290" s="43" t="inlineStr">
        <is>
          <t>кор</t>
        </is>
      </c>
      <c r="U290" s="414">
        <f>IFERROR(U289/H289,"0")</f>
        <v/>
      </c>
      <c r="V290" s="414">
        <f>IFERROR(V289/H289,"0")</f>
        <v/>
      </c>
      <c r="W290" s="414">
        <f>IFERROR(IF(W289="",0,W289),"0")</f>
        <v/>
      </c>
      <c r="X290" s="415" t="n"/>
      <c r="Y290" s="415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2" t="n"/>
      <c r="M291" s="413" t="inlineStr">
        <is>
          <t>Итого</t>
        </is>
      </c>
      <c r="N291" s="384" t="n"/>
      <c r="O291" s="384" t="n"/>
      <c r="P291" s="384" t="n"/>
      <c r="Q291" s="384" t="n"/>
      <c r="R291" s="384" t="n"/>
      <c r="S291" s="385" t="n"/>
      <c r="T291" s="43" t="inlineStr">
        <is>
          <t>кг</t>
        </is>
      </c>
      <c r="U291" s="414">
        <f>IFERROR(SUM(U289:U289),"0")</f>
        <v/>
      </c>
      <c r="V291" s="414">
        <f>IFERROR(SUM(V289:V289),"0")</f>
        <v/>
      </c>
      <c r="W291" s="43" t="n"/>
      <c r="X291" s="415" t="n"/>
      <c r="Y291" s="415" t="n"/>
    </row>
    <row r="292" ht="16.5" customHeight="1">
      <c r="A292" s="129" t="inlineStr">
        <is>
          <t>Особая Без свинины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29" t="n"/>
      <c r="Y292" s="129" t="n"/>
    </row>
    <row r="293" ht="14.25" customHeight="1">
      <c r="A293" s="130" t="inlineStr">
        <is>
          <t>Вареные колбасы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27" customHeight="1">
      <c r="A294" s="64" t="inlineStr">
        <is>
          <t>SU002073</t>
        </is>
      </c>
      <c r="B294" s="64" t="inlineStr">
        <is>
          <t>P002563</t>
        </is>
      </c>
      <c r="C294" s="37" t="n">
        <v>4301011324</v>
      </c>
      <c r="D294" s="131" t="n">
        <v>4607091384185</v>
      </c>
      <c r="E294" s="376" t="n"/>
      <c r="F294" s="407" t="n">
        <v>0.8</v>
      </c>
      <c r="G294" s="38" t="n">
        <v>15</v>
      </c>
      <c r="H294" s="407" t="n">
        <v>12</v>
      </c>
      <c r="I294" s="407" t="n">
        <v>12.48</v>
      </c>
      <c r="J294" s="38" t="n">
        <v>56</v>
      </c>
      <c r="K294" s="39" t="inlineStr">
        <is>
          <t>СК2</t>
        </is>
      </c>
      <c r="L294" s="38" t="n">
        <v>60</v>
      </c>
      <c r="M294" s="575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4" s="409" t="n"/>
      <c r="O294" s="409" t="n"/>
      <c r="P294" s="409" t="n"/>
      <c r="Q294" s="376" t="n"/>
      <c r="R294" s="40" t="inlineStr"/>
      <c r="S294" s="40" t="inlineStr"/>
      <c r="T294" s="41" t="inlineStr">
        <is>
          <t>кг</t>
        </is>
      </c>
      <c r="U294" s="410" t="n">
        <v>0</v>
      </c>
      <c r="V294" s="411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 ht="27" customHeight="1">
      <c r="A295" s="64" t="inlineStr">
        <is>
          <t>SU002187</t>
        </is>
      </c>
      <c r="B295" s="64" t="inlineStr">
        <is>
          <t>P002559</t>
        </is>
      </c>
      <c r="C295" s="37" t="n">
        <v>4301011312</v>
      </c>
      <c r="D295" s="131" t="n">
        <v>4607091384192</v>
      </c>
      <c r="E295" s="376" t="n"/>
      <c r="F295" s="407" t="n">
        <v>1.8</v>
      </c>
      <c r="G295" s="38" t="n">
        <v>6</v>
      </c>
      <c r="H295" s="407" t="n">
        <v>10.8</v>
      </c>
      <c r="I295" s="407" t="n">
        <v>11.28</v>
      </c>
      <c r="J295" s="38" t="n">
        <v>56</v>
      </c>
      <c r="K295" s="39" t="inlineStr">
        <is>
          <t>СК1</t>
        </is>
      </c>
      <c r="L295" s="38" t="n">
        <v>60</v>
      </c>
      <c r="M295" s="576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5" s="409" t="n"/>
      <c r="O295" s="409" t="n"/>
      <c r="P295" s="409" t="n"/>
      <c r="Q295" s="376" t="n"/>
      <c r="R295" s="40" t="inlineStr"/>
      <c r="S295" s="40" t="inlineStr"/>
      <c r="T295" s="41" t="inlineStr">
        <is>
          <t>кг</t>
        </is>
      </c>
      <c r="U295" s="410" t="n">
        <v>0</v>
      </c>
      <c r="V295" s="411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</row>
    <row r="296" ht="27" customHeight="1">
      <c r="A296" s="64" t="inlineStr">
        <is>
          <t>SU002899</t>
        </is>
      </c>
      <c r="B296" s="64" t="inlineStr">
        <is>
          <t>P003323</t>
        </is>
      </c>
      <c r="C296" s="37" t="n">
        <v>4301011483</v>
      </c>
      <c r="D296" s="131" t="n">
        <v>4680115881907</v>
      </c>
      <c r="E296" s="376" t="n"/>
      <c r="F296" s="407" t="n">
        <v>1.8</v>
      </c>
      <c r="G296" s="38" t="n">
        <v>6</v>
      </c>
      <c r="H296" s="407" t="n">
        <v>10.8</v>
      </c>
      <c r="I296" s="407" t="n">
        <v>11.28</v>
      </c>
      <c r="J296" s="38" t="n">
        <v>56</v>
      </c>
      <c r="K296" s="39" t="inlineStr">
        <is>
          <t>СК2</t>
        </is>
      </c>
      <c r="L296" s="38" t="n">
        <v>60</v>
      </c>
      <c r="M296" s="577" t="inlineStr">
        <is>
          <t>Вареные колбасы "Молочная оригинальная" Вес П/а ТМ "Особый рецепт" большой батон</t>
        </is>
      </c>
      <c r="N296" s="409" t="n"/>
      <c r="O296" s="409" t="n"/>
      <c r="P296" s="409" t="n"/>
      <c r="Q296" s="376" t="n"/>
      <c r="R296" s="40" t="inlineStr"/>
      <c r="S296" s="40" t="inlineStr"/>
      <c r="T296" s="41" t="inlineStr">
        <is>
          <t>кг</t>
        </is>
      </c>
      <c r="U296" s="410" t="n">
        <v>0</v>
      </c>
      <c r="V296" s="411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</row>
    <row r="297" ht="27" customHeight="1">
      <c r="A297" s="64" t="inlineStr">
        <is>
          <t>SU002462</t>
        </is>
      </c>
      <c r="B297" s="64" t="inlineStr">
        <is>
          <t>P002768</t>
        </is>
      </c>
      <c r="C297" s="37" t="n">
        <v>4301011303</v>
      </c>
      <c r="D297" s="131" t="n">
        <v>4607091384680</v>
      </c>
      <c r="E297" s="376" t="n"/>
      <c r="F297" s="407" t="n">
        <v>0.4</v>
      </c>
      <c r="G297" s="38" t="n">
        <v>10</v>
      </c>
      <c r="H297" s="407" t="n">
        <v>4</v>
      </c>
      <c r="I297" s="407" t="n">
        <v>4.21</v>
      </c>
      <c r="J297" s="38" t="n">
        <v>120</v>
      </c>
      <c r="K297" s="39" t="inlineStr">
        <is>
          <t>СК2</t>
        </is>
      </c>
      <c r="L297" s="38" t="n">
        <v>60</v>
      </c>
      <c r="M297" s="578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7" s="409" t="n"/>
      <c r="O297" s="409" t="n"/>
      <c r="P297" s="409" t="n"/>
      <c r="Q297" s="376" t="n"/>
      <c r="R297" s="40" t="inlineStr"/>
      <c r="S297" s="40" t="inlineStr"/>
      <c r="T297" s="41" t="inlineStr">
        <is>
          <t>кг</t>
        </is>
      </c>
      <c r="U297" s="410" t="n">
        <v>0</v>
      </c>
      <c r="V297" s="411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</row>
    <row r="298">
      <c r="A298" s="13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412" t="n"/>
      <c r="M298" s="413" t="inlineStr">
        <is>
          <t>Итого</t>
        </is>
      </c>
      <c r="N298" s="384" t="n"/>
      <c r="O298" s="384" t="n"/>
      <c r="P298" s="384" t="n"/>
      <c r="Q298" s="384" t="n"/>
      <c r="R298" s="384" t="n"/>
      <c r="S298" s="385" t="n"/>
      <c r="T298" s="43" t="inlineStr">
        <is>
          <t>кор</t>
        </is>
      </c>
      <c r="U298" s="414">
        <f>IFERROR(U294/H294,"0")+IFERROR(U295/H295,"0")+IFERROR(U296/H296,"0")+IFERROR(U297/H297,"0")</f>
        <v/>
      </c>
      <c r="V298" s="414">
        <f>IFERROR(V294/H294,"0")+IFERROR(V295/H295,"0")+IFERROR(V296/H296,"0")+IFERROR(V297/H297,"0")</f>
        <v/>
      </c>
      <c r="W298" s="414">
        <f>IFERROR(IF(W294="",0,W294),"0")+IFERROR(IF(W295="",0,W295),"0")+IFERROR(IF(W296="",0,W296),"0")+IFERROR(IF(W297="",0,W297),"0")</f>
        <v/>
      </c>
      <c r="X298" s="415" t="n"/>
      <c r="Y298" s="415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412" t="n"/>
      <c r="M299" s="413" t="inlineStr">
        <is>
          <t>Итого</t>
        </is>
      </c>
      <c r="N299" s="384" t="n"/>
      <c r="O299" s="384" t="n"/>
      <c r="P299" s="384" t="n"/>
      <c r="Q299" s="384" t="n"/>
      <c r="R299" s="384" t="n"/>
      <c r="S299" s="385" t="n"/>
      <c r="T299" s="43" t="inlineStr">
        <is>
          <t>кг</t>
        </is>
      </c>
      <c r="U299" s="414">
        <f>IFERROR(SUM(U294:U297),"0")</f>
        <v/>
      </c>
      <c r="V299" s="414">
        <f>IFERROR(SUM(V294:V297),"0")</f>
        <v/>
      </c>
      <c r="W299" s="43" t="n"/>
      <c r="X299" s="415" t="n"/>
      <c r="Y299" s="415" t="n"/>
    </row>
    <row r="300" ht="14.25" customHeight="1">
      <c r="A300" s="130" t="inlineStr">
        <is>
          <t>Копченые колбасы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30" t="n"/>
      <c r="Y300" s="130" t="n"/>
    </row>
    <row r="301" ht="27" customHeight="1">
      <c r="A301" s="64" t="inlineStr">
        <is>
          <t>SU002360</t>
        </is>
      </c>
      <c r="B301" s="64" t="inlineStr">
        <is>
          <t>P002629</t>
        </is>
      </c>
      <c r="C301" s="37" t="n">
        <v>4301031139</v>
      </c>
      <c r="D301" s="131" t="n">
        <v>4607091384802</v>
      </c>
      <c r="E301" s="376" t="n"/>
      <c r="F301" s="407" t="n">
        <v>0.73</v>
      </c>
      <c r="G301" s="38" t="n">
        <v>6</v>
      </c>
      <c r="H301" s="407" t="n">
        <v>4.38</v>
      </c>
      <c r="I301" s="407" t="n">
        <v>4.58</v>
      </c>
      <c r="J301" s="38" t="n">
        <v>156</v>
      </c>
      <c r="K301" s="39" t="inlineStr">
        <is>
          <t>СК2</t>
        </is>
      </c>
      <c r="L301" s="38" t="n">
        <v>35</v>
      </c>
      <c r="M301" s="579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1" s="409" t="n"/>
      <c r="O301" s="409" t="n"/>
      <c r="P301" s="409" t="n"/>
      <c r="Q301" s="376" t="n"/>
      <c r="R301" s="40" t="inlineStr"/>
      <c r="S301" s="40" t="inlineStr"/>
      <c r="T301" s="41" t="inlineStr">
        <is>
          <t>кг</t>
        </is>
      </c>
      <c r="U301" s="410" t="n">
        <v>180</v>
      </c>
      <c r="V301" s="411">
        <f>IFERROR(IF(U301="",0,CEILING((U301/$H301),1)*$H301),"")</f>
        <v/>
      </c>
      <c r="W301" s="42">
        <f>IFERROR(IF(V301=0,"",ROUNDUP(V301/H301,0)*0.00753),"")</f>
        <v/>
      </c>
      <c r="X301" s="69" t="inlineStr"/>
      <c r="Y301" s="70" t="inlineStr"/>
    </row>
    <row r="302" ht="27" customHeight="1">
      <c r="A302" s="64" t="inlineStr">
        <is>
          <t>SU002361</t>
        </is>
      </c>
      <c r="B302" s="64" t="inlineStr">
        <is>
          <t>P002630</t>
        </is>
      </c>
      <c r="C302" s="37" t="n">
        <v>4301031140</v>
      </c>
      <c r="D302" s="131" t="n">
        <v>4607091384826</v>
      </c>
      <c r="E302" s="376" t="n"/>
      <c r="F302" s="407" t="n">
        <v>0.35</v>
      </c>
      <c r="G302" s="38" t="n">
        <v>8</v>
      </c>
      <c r="H302" s="407" t="n">
        <v>2.8</v>
      </c>
      <c r="I302" s="407" t="n">
        <v>2.9</v>
      </c>
      <c r="J302" s="38" t="n">
        <v>234</v>
      </c>
      <c r="K302" s="39" t="inlineStr">
        <is>
          <t>СК2</t>
        </is>
      </c>
      <c r="L302" s="38" t="n">
        <v>35</v>
      </c>
      <c r="M302" s="580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2" s="409" t="n"/>
      <c r="O302" s="409" t="n"/>
      <c r="P302" s="409" t="n"/>
      <c r="Q302" s="376" t="n"/>
      <c r="R302" s="40" t="inlineStr"/>
      <c r="S302" s="40" t="inlineStr"/>
      <c r="T302" s="41" t="inlineStr">
        <is>
          <t>кг</t>
        </is>
      </c>
      <c r="U302" s="410" t="n">
        <v>0</v>
      </c>
      <c r="V302" s="411">
        <f>IFERROR(IF(U302="",0,CEILING((U302/$H302),1)*$H302),"")</f>
        <v/>
      </c>
      <c r="W302" s="42">
        <f>IFERROR(IF(V302=0,"",ROUNDUP(V302/H302,0)*0.00502),"")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2" t="n"/>
      <c r="M303" s="413" t="inlineStr">
        <is>
          <t>Итого</t>
        </is>
      </c>
      <c r="N303" s="384" t="n"/>
      <c r="O303" s="384" t="n"/>
      <c r="P303" s="384" t="n"/>
      <c r="Q303" s="384" t="n"/>
      <c r="R303" s="384" t="n"/>
      <c r="S303" s="385" t="n"/>
      <c r="T303" s="43" t="inlineStr">
        <is>
          <t>кор</t>
        </is>
      </c>
      <c r="U303" s="414">
        <f>IFERROR(U301/H301,"0")+IFERROR(U302/H302,"0")</f>
        <v/>
      </c>
      <c r="V303" s="414">
        <f>IFERROR(V301/H301,"0")+IFERROR(V302/H302,"0")</f>
        <v/>
      </c>
      <c r="W303" s="414">
        <f>IFERROR(IF(W301="",0,W301),"0")+IFERROR(IF(W302="",0,W302),"0")</f>
        <v/>
      </c>
      <c r="X303" s="415" t="n"/>
      <c r="Y303" s="415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2" t="n"/>
      <c r="M304" s="413" t="inlineStr">
        <is>
          <t>Итого</t>
        </is>
      </c>
      <c r="N304" s="384" t="n"/>
      <c r="O304" s="384" t="n"/>
      <c r="P304" s="384" t="n"/>
      <c r="Q304" s="384" t="n"/>
      <c r="R304" s="384" t="n"/>
      <c r="S304" s="385" t="n"/>
      <c r="T304" s="43" t="inlineStr">
        <is>
          <t>кг</t>
        </is>
      </c>
      <c r="U304" s="414">
        <f>IFERROR(SUM(U301:U302),"0")</f>
        <v/>
      </c>
      <c r="V304" s="414">
        <f>IFERROR(SUM(V301:V302),"0")</f>
        <v/>
      </c>
      <c r="W304" s="43" t="n"/>
      <c r="X304" s="415" t="n"/>
      <c r="Y304" s="415" t="n"/>
    </row>
    <row r="305" ht="14.25" customHeight="1">
      <c r="A305" s="130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SU002896</t>
        </is>
      </c>
      <c r="B306" s="64" t="inlineStr">
        <is>
          <t>P003330</t>
        </is>
      </c>
      <c r="C306" s="37" t="n">
        <v>4301051445</v>
      </c>
      <c r="D306" s="131" t="n">
        <v>4680115881976</v>
      </c>
      <c r="E306" s="376" t="n"/>
      <c r="F306" s="407" t="n">
        <v>1.3</v>
      </c>
      <c r="G306" s="38" t="n">
        <v>6</v>
      </c>
      <c r="H306" s="407" t="n">
        <v>7.8</v>
      </c>
      <c r="I306" s="407" t="n">
        <v>8.279999999999999</v>
      </c>
      <c r="J306" s="38" t="n">
        <v>56</v>
      </c>
      <c r="K306" s="39" t="inlineStr">
        <is>
          <t>СК2</t>
        </is>
      </c>
      <c r="L306" s="38" t="n">
        <v>40</v>
      </c>
      <c r="M306" s="581" t="inlineStr">
        <is>
          <t>Сосиски "Сочные без свинины" Весовые ТМ "Особый рецепт" 1,3 кг</t>
        </is>
      </c>
      <c r="N306" s="409" t="n"/>
      <c r="O306" s="409" t="n"/>
      <c r="P306" s="409" t="n"/>
      <c r="Q306" s="376" t="n"/>
      <c r="R306" s="40" t="inlineStr"/>
      <c r="S306" s="40" t="inlineStr"/>
      <c r="T306" s="41" t="inlineStr">
        <is>
          <t>кг</t>
        </is>
      </c>
      <c r="U306" s="410" t="n">
        <v>0</v>
      </c>
      <c r="V306" s="411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>
        <is>
          <t>Новинка</t>
        </is>
      </c>
    </row>
    <row r="307" ht="27" customHeight="1">
      <c r="A307" s="64" t="inlineStr">
        <is>
          <t>SU002895</t>
        </is>
      </c>
      <c r="B307" s="64" t="inlineStr">
        <is>
          <t>P003329</t>
        </is>
      </c>
      <c r="C307" s="37" t="n">
        <v>4301051444</v>
      </c>
      <c r="D307" s="131" t="n">
        <v>4680115881969</v>
      </c>
      <c r="E307" s="376" t="n"/>
      <c r="F307" s="407" t="n">
        <v>0.4</v>
      </c>
      <c r="G307" s="38" t="n">
        <v>6</v>
      </c>
      <c r="H307" s="407" t="n">
        <v>2.4</v>
      </c>
      <c r="I307" s="407" t="n">
        <v>2.6</v>
      </c>
      <c r="J307" s="38" t="n">
        <v>156</v>
      </c>
      <c r="K307" s="39" t="inlineStr">
        <is>
          <t>СК2</t>
        </is>
      </c>
      <c r="L307" s="38" t="n">
        <v>40</v>
      </c>
      <c r="M307" s="582" t="inlineStr">
        <is>
          <t>Сосиски "Сочные без свинины" ф/в 0,4 кг ТМ "Особый рецепт"</t>
        </is>
      </c>
      <c r="N307" s="409" t="n"/>
      <c r="O307" s="409" t="n"/>
      <c r="P307" s="409" t="n"/>
      <c r="Q307" s="376" t="n"/>
      <c r="R307" s="40" t="inlineStr"/>
      <c r="S307" s="40" t="inlineStr"/>
      <c r="T307" s="41" t="inlineStr">
        <is>
          <t>кг</t>
        </is>
      </c>
      <c r="U307" s="410" t="n">
        <v>0</v>
      </c>
      <c r="V307" s="411">
        <f>IFERROR(IF(U307="",0,CEILING((U307/$H307),1)*$H307),"")</f>
        <v/>
      </c>
      <c r="W307" s="42">
        <f>IFERROR(IF(V307=0,"",ROUNDUP(V307/H307,0)*0.00753),"")</f>
        <v/>
      </c>
      <c r="X307" s="69" t="inlineStr"/>
      <c r="Y307" s="70" t="inlineStr">
        <is>
          <t>Новинка</t>
        </is>
      </c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131" t="n">
        <v>4607091384246</v>
      </c>
      <c r="E308" s="376" t="n"/>
      <c r="F308" s="407" t="n">
        <v>1.3</v>
      </c>
      <c r="G308" s="38" t="n">
        <v>6</v>
      </c>
      <c r="H308" s="407" t="n">
        <v>7.8</v>
      </c>
      <c r="I308" s="407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583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409" t="n"/>
      <c r="O308" s="409" t="n"/>
      <c r="P308" s="409" t="n"/>
      <c r="Q308" s="376" t="n"/>
      <c r="R308" s="40" t="inlineStr"/>
      <c r="S308" s="40" t="inlineStr"/>
      <c r="T308" s="41" t="inlineStr">
        <is>
          <t>кг</t>
        </is>
      </c>
      <c r="U308" s="410" t="n">
        <v>0</v>
      </c>
      <c r="V308" s="411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</row>
    <row r="309" ht="27" customHeight="1">
      <c r="A309" s="64" t="inlineStr">
        <is>
          <t>SU002205</t>
        </is>
      </c>
      <c r="B309" s="64" t="inlineStr">
        <is>
          <t>P002694</t>
        </is>
      </c>
      <c r="C309" s="37" t="n">
        <v>4301051297</v>
      </c>
      <c r="D309" s="131" t="n">
        <v>4607091384253</v>
      </c>
      <c r="E309" s="376" t="n"/>
      <c r="F309" s="407" t="n">
        <v>0.4</v>
      </c>
      <c r="G309" s="38" t="n">
        <v>6</v>
      </c>
      <c r="H309" s="407" t="n">
        <v>2.4</v>
      </c>
      <c r="I309" s="407" t="n">
        <v>2.684</v>
      </c>
      <c r="J309" s="38" t="n">
        <v>156</v>
      </c>
      <c r="K309" s="39" t="inlineStr">
        <is>
          <t>СК2</t>
        </is>
      </c>
      <c r="L309" s="38" t="n">
        <v>40</v>
      </c>
      <c r="M309" s="584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9" s="409" t="n"/>
      <c r="O309" s="409" t="n"/>
      <c r="P309" s="409" t="n"/>
      <c r="Q309" s="376" t="n"/>
      <c r="R309" s="40" t="inlineStr"/>
      <c r="S309" s="40" t="inlineStr"/>
      <c r="T309" s="41" t="inlineStr">
        <is>
          <t>кг</t>
        </is>
      </c>
      <c r="U309" s="410" t="n">
        <v>0</v>
      </c>
      <c r="V309" s="411">
        <f>IFERROR(IF(U309="",0,CEILING((U309/$H309),1)*$H309),"")</f>
        <v/>
      </c>
      <c r="W309" s="42">
        <f>IFERROR(IF(V309=0,"",ROUNDUP(V309/H309,0)*0.00753),"")</f>
        <v/>
      </c>
      <c r="X309" s="69" t="inlineStr"/>
      <c r="Y309" s="70" t="inlineStr"/>
    </row>
    <row r="310">
      <c r="A310" s="139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412" t="n"/>
      <c r="M310" s="413" t="inlineStr">
        <is>
          <t>Итого</t>
        </is>
      </c>
      <c r="N310" s="384" t="n"/>
      <c r="O310" s="384" t="n"/>
      <c r="P310" s="384" t="n"/>
      <c r="Q310" s="384" t="n"/>
      <c r="R310" s="384" t="n"/>
      <c r="S310" s="385" t="n"/>
      <c r="T310" s="43" t="inlineStr">
        <is>
          <t>кор</t>
        </is>
      </c>
      <c r="U310" s="414">
        <f>IFERROR(U306/H306,"0")+IFERROR(U307/H307,"0")+IFERROR(U308/H308,"0")+IFERROR(U309/H309,"0")</f>
        <v/>
      </c>
      <c r="V310" s="414">
        <f>IFERROR(V306/H306,"0")+IFERROR(V307/H307,"0")+IFERROR(V308/H308,"0")+IFERROR(V309/H309,"0")</f>
        <v/>
      </c>
      <c r="W310" s="414">
        <f>IFERROR(IF(W306="",0,W306),"0")+IFERROR(IF(W307="",0,W307),"0")+IFERROR(IF(W308="",0,W308),"0")+IFERROR(IF(W309="",0,W309),"0")</f>
        <v/>
      </c>
      <c r="X310" s="415" t="n"/>
      <c r="Y310" s="415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412" t="n"/>
      <c r="M311" s="413" t="inlineStr">
        <is>
          <t>Итого</t>
        </is>
      </c>
      <c r="N311" s="384" t="n"/>
      <c r="O311" s="384" t="n"/>
      <c r="P311" s="384" t="n"/>
      <c r="Q311" s="384" t="n"/>
      <c r="R311" s="384" t="n"/>
      <c r="S311" s="385" t="n"/>
      <c r="T311" s="43" t="inlineStr">
        <is>
          <t>кг</t>
        </is>
      </c>
      <c r="U311" s="414">
        <f>IFERROR(SUM(U306:U309),"0")</f>
        <v/>
      </c>
      <c r="V311" s="414">
        <f>IFERROR(SUM(V306:V309),"0")</f>
        <v/>
      </c>
      <c r="W311" s="43" t="n"/>
      <c r="X311" s="415" t="n"/>
      <c r="Y311" s="415" t="n"/>
    </row>
    <row r="312" ht="14.25" customHeight="1">
      <c r="A312" s="130" t="inlineStr">
        <is>
          <t>Сардельки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30" t="n"/>
      <c r="Y312" s="130" t="n"/>
    </row>
    <row r="313" ht="27" customHeight="1">
      <c r="A313" s="64" t="inlineStr">
        <is>
          <t>SU002472</t>
        </is>
      </c>
      <c r="B313" s="64" t="inlineStr">
        <is>
          <t>P002973</t>
        </is>
      </c>
      <c r="C313" s="37" t="n">
        <v>4301060322</v>
      </c>
      <c r="D313" s="131" t="n">
        <v>4607091389357</v>
      </c>
      <c r="E313" s="376" t="n"/>
      <c r="F313" s="407" t="n">
        <v>1.3</v>
      </c>
      <c r="G313" s="38" t="n">
        <v>6</v>
      </c>
      <c r="H313" s="407" t="n">
        <v>7.8</v>
      </c>
      <c r="I313" s="407" t="n">
        <v>8.279999999999999</v>
      </c>
      <c r="J313" s="38" t="n">
        <v>56</v>
      </c>
      <c r="K313" s="39" t="inlineStr">
        <is>
          <t>СК2</t>
        </is>
      </c>
      <c r="L313" s="38" t="n">
        <v>40</v>
      </c>
      <c r="M313" s="585" t="inlineStr">
        <is>
          <t>Сардельки Левантские Особая Без свинины Весовые NDX мгс Особый рецепт</t>
        </is>
      </c>
      <c r="N313" s="409" t="n"/>
      <c r="O313" s="409" t="n"/>
      <c r="P313" s="409" t="n"/>
      <c r="Q313" s="376" t="n"/>
      <c r="R313" s="40" t="inlineStr"/>
      <c r="S313" s="40" t="inlineStr"/>
      <c r="T313" s="41" t="inlineStr">
        <is>
          <t>кг</t>
        </is>
      </c>
      <c r="U313" s="410" t="n">
        <v>0</v>
      </c>
      <c r="V313" s="411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>
      <c r="A314" s="13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412" t="n"/>
      <c r="M314" s="413" t="inlineStr">
        <is>
          <t>Итого</t>
        </is>
      </c>
      <c r="N314" s="384" t="n"/>
      <c r="O314" s="384" t="n"/>
      <c r="P314" s="384" t="n"/>
      <c r="Q314" s="384" t="n"/>
      <c r="R314" s="384" t="n"/>
      <c r="S314" s="385" t="n"/>
      <c r="T314" s="43" t="inlineStr">
        <is>
          <t>кор</t>
        </is>
      </c>
      <c r="U314" s="414">
        <f>IFERROR(U313/H313,"0")</f>
        <v/>
      </c>
      <c r="V314" s="414">
        <f>IFERROR(V313/H313,"0")</f>
        <v/>
      </c>
      <c r="W314" s="414">
        <f>IFERROR(IF(W313="",0,W313),"0")</f>
        <v/>
      </c>
      <c r="X314" s="415" t="n"/>
      <c r="Y314" s="415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2" t="n"/>
      <c r="M315" s="413" t="inlineStr">
        <is>
          <t>Итого</t>
        </is>
      </c>
      <c r="N315" s="384" t="n"/>
      <c r="O315" s="384" t="n"/>
      <c r="P315" s="384" t="n"/>
      <c r="Q315" s="384" t="n"/>
      <c r="R315" s="384" t="n"/>
      <c r="S315" s="385" t="n"/>
      <c r="T315" s="43" t="inlineStr">
        <is>
          <t>кг</t>
        </is>
      </c>
      <c r="U315" s="414">
        <f>IFERROR(SUM(U313:U313),"0")</f>
        <v/>
      </c>
      <c r="V315" s="414">
        <f>IFERROR(SUM(V313:V313),"0")</f>
        <v/>
      </c>
      <c r="W315" s="43" t="n"/>
      <c r="X315" s="415" t="n"/>
      <c r="Y315" s="415" t="n"/>
    </row>
    <row r="316" ht="27.75" customHeight="1">
      <c r="A316" s="128" t="inlineStr">
        <is>
          <t>Баварушка</t>
        </is>
      </c>
      <c r="B316" s="406" t="n"/>
      <c r="C316" s="406" t="n"/>
      <c r="D316" s="406" t="n"/>
      <c r="E316" s="406" t="n"/>
      <c r="F316" s="406" t="n"/>
      <c r="G316" s="406" t="n"/>
      <c r="H316" s="406" t="n"/>
      <c r="I316" s="406" t="n"/>
      <c r="J316" s="406" t="n"/>
      <c r="K316" s="406" t="n"/>
      <c r="L316" s="406" t="n"/>
      <c r="M316" s="406" t="n"/>
      <c r="N316" s="406" t="n"/>
      <c r="O316" s="406" t="n"/>
      <c r="P316" s="406" t="n"/>
      <c r="Q316" s="406" t="n"/>
      <c r="R316" s="406" t="n"/>
      <c r="S316" s="406" t="n"/>
      <c r="T316" s="406" t="n"/>
      <c r="U316" s="406" t="n"/>
      <c r="V316" s="406" t="n"/>
      <c r="W316" s="406" t="n"/>
      <c r="X316" s="55" t="n"/>
      <c r="Y316" s="55" t="n"/>
    </row>
    <row r="317" ht="16.5" customHeight="1">
      <c r="A317" s="129" t="inlineStr">
        <is>
          <t>Филейбургская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29" t="n"/>
      <c r="Y317" s="129" t="n"/>
    </row>
    <row r="318" ht="14.25" customHeight="1">
      <c r="A318" s="130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30" t="n"/>
      <c r="Y318" s="130" t="n"/>
    </row>
    <row r="319" ht="27" customHeight="1">
      <c r="A319" s="64" t="inlineStr">
        <is>
          <t>SU002477</t>
        </is>
      </c>
      <c r="B319" s="64" t="inlineStr">
        <is>
          <t>P003148</t>
        </is>
      </c>
      <c r="C319" s="37" t="n">
        <v>4301011428</v>
      </c>
      <c r="D319" s="131" t="n">
        <v>4607091389708</v>
      </c>
      <c r="E319" s="376" t="n"/>
      <c r="F319" s="407" t="n">
        <v>0.45</v>
      </c>
      <c r="G319" s="38" t="n">
        <v>6</v>
      </c>
      <c r="H319" s="407" t="n">
        <v>2.7</v>
      </c>
      <c r="I319" s="407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586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9" s="409" t="n"/>
      <c r="O319" s="409" t="n"/>
      <c r="P319" s="409" t="n"/>
      <c r="Q319" s="376" t="n"/>
      <c r="R319" s="40" t="inlineStr"/>
      <c r="S319" s="40" t="inlineStr"/>
      <c r="T319" s="41" t="inlineStr">
        <is>
          <t>кг</t>
        </is>
      </c>
      <c r="U319" s="410" t="n">
        <v>0</v>
      </c>
      <c r="V319" s="411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</row>
    <row r="320" ht="27" customHeight="1">
      <c r="A320" s="64" t="inlineStr">
        <is>
          <t>SU002476</t>
        </is>
      </c>
      <c r="B320" s="64" t="inlineStr">
        <is>
          <t>P003147</t>
        </is>
      </c>
      <c r="C320" s="37" t="n">
        <v>4301011427</v>
      </c>
      <c r="D320" s="131" t="n">
        <v>4607091389692</v>
      </c>
      <c r="E320" s="376" t="n"/>
      <c r="F320" s="407" t="n">
        <v>0.45</v>
      </c>
      <c r="G320" s="38" t="n">
        <v>6</v>
      </c>
      <c r="H320" s="407" t="n">
        <v>2.7</v>
      </c>
      <c r="I320" s="407" t="n">
        <v>2.9</v>
      </c>
      <c r="J320" s="38" t="n">
        <v>156</v>
      </c>
      <c r="K320" s="39" t="inlineStr">
        <is>
          <t>СК1</t>
        </is>
      </c>
      <c r="L320" s="38" t="n">
        <v>50</v>
      </c>
      <c r="M320" s="587" t="inlineStr">
        <is>
          <t>Вареные колбасы Филейбургская Филейбургская Фикс.Вес 0,45 П/а Баварушка</t>
        </is>
      </c>
      <c r="N320" s="409" t="n"/>
      <c r="O320" s="409" t="n"/>
      <c r="P320" s="409" t="n"/>
      <c r="Q320" s="376" t="n"/>
      <c r="R320" s="40" t="inlineStr"/>
      <c r="S320" s="40" t="inlineStr"/>
      <c r="T320" s="41" t="inlineStr">
        <is>
          <t>кг</t>
        </is>
      </c>
      <c r="U320" s="410" t="n">
        <v>0</v>
      </c>
      <c r="V320" s="411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</row>
    <row r="321">
      <c r="A321" s="139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2" t="n"/>
      <c r="M321" s="413" t="inlineStr">
        <is>
          <t>Итого</t>
        </is>
      </c>
      <c r="N321" s="384" t="n"/>
      <c r="O321" s="384" t="n"/>
      <c r="P321" s="384" t="n"/>
      <c r="Q321" s="384" t="n"/>
      <c r="R321" s="384" t="n"/>
      <c r="S321" s="385" t="n"/>
      <c r="T321" s="43" t="inlineStr">
        <is>
          <t>кор</t>
        </is>
      </c>
      <c r="U321" s="414">
        <f>IFERROR(U319/H319,"0")+IFERROR(U320/H320,"0")</f>
        <v/>
      </c>
      <c r="V321" s="414">
        <f>IFERROR(V319/H319,"0")+IFERROR(V320/H320,"0")</f>
        <v/>
      </c>
      <c r="W321" s="414">
        <f>IFERROR(IF(W319="",0,W319),"0")+IFERROR(IF(W320="",0,W320),"0")</f>
        <v/>
      </c>
      <c r="X321" s="415" t="n"/>
      <c r="Y321" s="415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412" t="n"/>
      <c r="M322" s="413" t="inlineStr">
        <is>
          <t>Итого</t>
        </is>
      </c>
      <c r="N322" s="384" t="n"/>
      <c r="O322" s="384" t="n"/>
      <c r="P322" s="384" t="n"/>
      <c r="Q322" s="384" t="n"/>
      <c r="R322" s="384" t="n"/>
      <c r="S322" s="385" t="n"/>
      <c r="T322" s="43" t="inlineStr">
        <is>
          <t>кг</t>
        </is>
      </c>
      <c r="U322" s="414">
        <f>IFERROR(SUM(U319:U320),"0")</f>
        <v/>
      </c>
      <c r="V322" s="414">
        <f>IFERROR(SUM(V319:V320),"0")</f>
        <v/>
      </c>
      <c r="W322" s="43" t="n"/>
      <c r="X322" s="415" t="n"/>
      <c r="Y322" s="415" t="n"/>
    </row>
    <row r="323" ht="14.25" customHeight="1">
      <c r="A323" s="1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30" t="n"/>
      <c r="Y323" s="130" t="n"/>
    </row>
    <row r="324" ht="27" customHeight="1">
      <c r="A324" s="64" t="inlineStr">
        <is>
          <t>SU002614</t>
        </is>
      </c>
      <c r="B324" s="64" t="inlineStr">
        <is>
          <t>P003138</t>
        </is>
      </c>
      <c r="C324" s="37" t="n">
        <v>4301031177</v>
      </c>
      <c r="D324" s="131" t="n">
        <v>4607091389753</v>
      </c>
      <c r="E324" s="376" t="n"/>
      <c r="F324" s="407" t="n">
        <v>0.7</v>
      </c>
      <c r="G324" s="38" t="n">
        <v>6</v>
      </c>
      <c r="H324" s="407" t="n">
        <v>4.2</v>
      </c>
      <c r="I324" s="407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588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4" s="409" t="n"/>
      <c r="O324" s="409" t="n"/>
      <c r="P324" s="409" t="n"/>
      <c r="Q324" s="376" t="n"/>
      <c r="R324" s="40" t="inlineStr"/>
      <c r="S324" s="40" t="inlineStr"/>
      <c r="T324" s="41" t="inlineStr">
        <is>
          <t>кг</t>
        </is>
      </c>
      <c r="U324" s="410" t="n">
        <v>0</v>
      </c>
      <c r="V324" s="411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</row>
    <row r="325" ht="27" customHeight="1">
      <c r="A325" s="64" t="inlineStr">
        <is>
          <t>SU002615</t>
        </is>
      </c>
      <c r="B325" s="64" t="inlineStr">
        <is>
          <t>P003136</t>
        </is>
      </c>
      <c r="C325" s="37" t="n">
        <v>4301031174</v>
      </c>
      <c r="D325" s="131" t="n">
        <v>4607091389760</v>
      </c>
      <c r="E325" s="376" t="n"/>
      <c r="F325" s="407" t="n">
        <v>0.7</v>
      </c>
      <c r="G325" s="38" t="n">
        <v>6</v>
      </c>
      <c r="H325" s="407" t="n">
        <v>4.2</v>
      </c>
      <c r="I325" s="407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589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5" s="409" t="n"/>
      <c r="O325" s="409" t="n"/>
      <c r="P325" s="409" t="n"/>
      <c r="Q325" s="376" t="n"/>
      <c r="R325" s="40" t="inlineStr"/>
      <c r="S325" s="40" t="inlineStr"/>
      <c r="T325" s="41" t="inlineStr">
        <is>
          <t>кг</t>
        </is>
      </c>
      <c r="U325" s="410" t="n">
        <v>0</v>
      </c>
      <c r="V325" s="411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SU002613</t>
        </is>
      </c>
      <c r="B326" s="64" t="inlineStr">
        <is>
          <t>P003133</t>
        </is>
      </c>
      <c r="C326" s="37" t="n">
        <v>4301031175</v>
      </c>
      <c r="D326" s="131" t="n">
        <v>4607091389746</v>
      </c>
      <c r="E326" s="376" t="n"/>
      <c r="F326" s="407" t="n">
        <v>0.7</v>
      </c>
      <c r="G326" s="38" t="n">
        <v>6</v>
      </c>
      <c r="H326" s="407" t="n">
        <v>4.2</v>
      </c>
      <c r="I326" s="407" t="n">
        <v>4.43</v>
      </c>
      <c r="J326" s="38" t="n">
        <v>156</v>
      </c>
      <c r="K326" s="39" t="inlineStr">
        <is>
          <t>СК2</t>
        </is>
      </c>
      <c r="L326" s="38" t="n">
        <v>45</v>
      </c>
      <c r="M326" s="590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6" s="409" t="n"/>
      <c r="O326" s="409" t="n"/>
      <c r="P326" s="409" t="n"/>
      <c r="Q326" s="376" t="n"/>
      <c r="R326" s="40" t="inlineStr"/>
      <c r="S326" s="40" t="inlineStr"/>
      <c r="T326" s="41" t="inlineStr">
        <is>
          <t>кг</t>
        </is>
      </c>
      <c r="U326" s="410" t="n">
        <v>370</v>
      </c>
      <c r="V326" s="411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 ht="27" customHeight="1">
      <c r="A327" s="64" t="inlineStr">
        <is>
          <t>SU002538</t>
        </is>
      </c>
      <c r="B327" s="64" t="inlineStr">
        <is>
          <t>P003139</t>
        </is>
      </c>
      <c r="C327" s="37" t="n">
        <v>4301031178</v>
      </c>
      <c r="D327" s="131" t="n">
        <v>4607091384338</v>
      </c>
      <c r="E327" s="376" t="n"/>
      <c r="F327" s="407" t="n">
        <v>0.35</v>
      </c>
      <c r="G327" s="38" t="n">
        <v>6</v>
      </c>
      <c r="H327" s="407" t="n">
        <v>2.1</v>
      </c>
      <c r="I327" s="407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591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7" s="409" t="n"/>
      <c r="O327" s="409" t="n"/>
      <c r="P327" s="409" t="n"/>
      <c r="Q327" s="376" t="n"/>
      <c r="R327" s="40" t="inlineStr"/>
      <c r="S327" s="40" t="inlineStr"/>
      <c r="T327" s="41" t="inlineStr">
        <is>
          <t>кг</t>
        </is>
      </c>
      <c r="U327" s="410" t="n">
        <v>0</v>
      </c>
      <c r="V327" s="411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</row>
    <row r="328" ht="37.5" customHeight="1">
      <c r="A328" s="64" t="inlineStr">
        <is>
          <t>SU002602</t>
        </is>
      </c>
      <c r="B328" s="64" t="inlineStr">
        <is>
          <t>P003132</t>
        </is>
      </c>
      <c r="C328" s="37" t="n">
        <v>4301031171</v>
      </c>
      <c r="D328" s="131" t="n">
        <v>4607091389524</v>
      </c>
      <c r="E328" s="376" t="n"/>
      <c r="F328" s="407" t="n">
        <v>0.35</v>
      </c>
      <c r="G328" s="38" t="n">
        <v>6</v>
      </c>
      <c r="H328" s="407" t="n">
        <v>2.1</v>
      </c>
      <c r="I328" s="407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592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8" s="409" t="n"/>
      <c r="O328" s="409" t="n"/>
      <c r="P328" s="409" t="n"/>
      <c r="Q328" s="376" t="n"/>
      <c r="R328" s="40" t="inlineStr"/>
      <c r="S328" s="40" t="inlineStr"/>
      <c r="T328" s="41" t="inlineStr">
        <is>
          <t>кг</t>
        </is>
      </c>
      <c r="U328" s="410" t="n">
        <v>52.5</v>
      </c>
      <c r="V328" s="411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</row>
    <row r="329" ht="27" customHeight="1">
      <c r="A329" s="64" t="inlineStr">
        <is>
          <t>SU002603</t>
        </is>
      </c>
      <c r="B329" s="64" t="inlineStr">
        <is>
          <t>P003131</t>
        </is>
      </c>
      <c r="C329" s="37" t="n">
        <v>4301031170</v>
      </c>
      <c r="D329" s="131" t="n">
        <v>4607091384345</v>
      </c>
      <c r="E329" s="376" t="n"/>
      <c r="F329" s="407" t="n">
        <v>0.35</v>
      </c>
      <c r="G329" s="38" t="n">
        <v>6</v>
      </c>
      <c r="H329" s="407" t="n">
        <v>2.1</v>
      </c>
      <c r="I329" s="407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593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9" s="409" t="n"/>
      <c r="O329" s="409" t="n"/>
      <c r="P329" s="409" t="n"/>
      <c r="Q329" s="376" t="n"/>
      <c r="R329" s="40" t="inlineStr"/>
      <c r="S329" s="40" t="inlineStr"/>
      <c r="T329" s="41" t="inlineStr">
        <is>
          <t>кг</t>
        </is>
      </c>
      <c r="U329" s="410" t="n">
        <v>0</v>
      </c>
      <c r="V329" s="411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</row>
    <row r="330" ht="27" customHeight="1">
      <c r="A330" s="64" t="inlineStr">
        <is>
          <t>SU002606</t>
        </is>
      </c>
      <c r="B330" s="64" t="inlineStr">
        <is>
          <t>P003134</t>
        </is>
      </c>
      <c r="C330" s="37" t="n">
        <v>4301031172</v>
      </c>
      <c r="D330" s="131" t="n">
        <v>4607091389531</v>
      </c>
      <c r="E330" s="376" t="n"/>
      <c r="F330" s="407" t="n">
        <v>0.35</v>
      </c>
      <c r="G330" s="38" t="n">
        <v>6</v>
      </c>
      <c r="H330" s="407" t="n">
        <v>2.1</v>
      </c>
      <c r="I330" s="407" t="n">
        <v>2.23</v>
      </c>
      <c r="J330" s="38" t="n">
        <v>234</v>
      </c>
      <c r="K330" s="39" t="inlineStr">
        <is>
          <t>СК2</t>
        </is>
      </c>
      <c r="L330" s="38" t="n">
        <v>45</v>
      </c>
      <c r="M330" s="594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0" s="409" t="n"/>
      <c r="O330" s="409" t="n"/>
      <c r="P330" s="409" t="n"/>
      <c r="Q330" s="376" t="n"/>
      <c r="R330" s="40" t="inlineStr"/>
      <c r="S330" s="40" t="inlineStr"/>
      <c r="T330" s="41" t="inlineStr">
        <is>
          <t>кг</t>
        </is>
      </c>
      <c r="U330" s="410" t="n">
        <v>119</v>
      </c>
      <c r="V330" s="411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/>
    </row>
    <row r="331">
      <c r="A331" s="139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412" t="n"/>
      <c r="M331" s="413" t="inlineStr">
        <is>
          <t>Итого</t>
        </is>
      </c>
      <c r="N331" s="384" t="n"/>
      <c r="O331" s="384" t="n"/>
      <c r="P331" s="384" t="n"/>
      <c r="Q331" s="384" t="n"/>
      <c r="R331" s="384" t="n"/>
      <c r="S331" s="385" t="n"/>
      <c r="T331" s="43" t="inlineStr">
        <is>
          <t>кор</t>
        </is>
      </c>
      <c r="U331" s="414">
        <f>IFERROR(U324/H324,"0")+IFERROR(U325/H325,"0")+IFERROR(U326/H326,"0")+IFERROR(U327/H327,"0")+IFERROR(U328/H328,"0")+IFERROR(U329/H329,"0")+IFERROR(U330/H330,"0")</f>
        <v/>
      </c>
      <c r="V331" s="414">
        <f>IFERROR(V324/H324,"0")+IFERROR(V325/H325,"0")+IFERROR(V326/H326,"0")+IFERROR(V327/H327,"0")+IFERROR(V328/H328,"0")+IFERROR(V329/H329,"0")+IFERROR(V330/H330,"0")</f>
        <v/>
      </c>
      <c r="W331" s="414">
        <f>IFERROR(IF(W324="",0,W324),"0")+IFERROR(IF(W325="",0,W325),"0")+IFERROR(IF(W326="",0,W326),"0")+IFERROR(IF(W327="",0,W327),"0")+IFERROR(IF(W328="",0,W328),"0")+IFERROR(IF(W329="",0,W329),"0")+IFERROR(IF(W330="",0,W330),"0")</f>
        <v/>
      </c>
      <c r="X331" s="415" t="n"/>
      <c r="Y331" s="415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412" t="n"/>
      <c r="M332" s="413" t="inlineStr">
        <is>
          <t>Итого</t>
        </is>
      </c>
      <c r="N332" s="384" t="n"/>
      <c r="O332" s="384" t="n"/>
      <c r="P332" s="384" t="n"/>
      <c r="Q332" s="384" t="n"/>
      <c r="R332" s="384" t="n"/>
      <c r="S332" s="385" t="n"/>
      <c r="T332" s="43" t="inlineStr">
        <is>
          <t>кг</t>
        </is>
      </c>
      <c r="U332" s="414">
        <f>IFERROR(SUM(U324:U330),"0")</f>
        <v/>
      </c>
      <c r="V332" s="414">
        <f>IFERROR(SUM(V324:V330),"0")</f>
        <v/>
      </c>
      <c r="W332" s="43" t="n"/>
      <c r="X332" s="415" t="n"/>
      <c r="Y332" s="415" t="n"/>
    </row>
    <row r="333" ht="14.25" customHeight="1">
      <c r="A333" s="130" t="inlineStr">
        <is>
          <t>Сосиски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30" t="n"/>
      <c r="Y333" s="130" t="n"/>
    </row>
    <row r="334" ht="27" customHeight="1">
      <c r="A334" s="64" t="inlineStr">
        <is>
          <t>SU002448</t>
        </is>
      </c>
      <c r="B334" s="64" t="inlineStr">
        <is>
          <t>P002914</t>
        </is>
      </c>
      <c r="C334" s="37" t="n">
        <v>4301051258</v>
      </c>
      <c r="D334" s="131" t="n">
        <v>4607091389685</v>
      </c>
      <c r="E334" s="376" t="n"/>
      <c r="F334" s="407" t="n">
        <v>1.3</v>
      </c>
      <c r="G334" s="38" t="n">
        <v>6</v>
      </c>
      <c r="H334" s="407" t="n">
        <v>7.8</v>
      </c>
      <c r="I334" s="407" t="n">
        <v>8.346</v>
      </c>
      <c r="J334" s="38" t="n">
        <v>56</v>
      </c>
      <c r="K334" s="39" t="inlineStr">
        <is>
          <t>СК3</t>
        </is>
      </c>
      <c r="L334" s="38" t="n">
        <v>45</v>
      </c>
      <c r="M334" s="595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4" s="409" t="n"/>
      <c r="O334" s="409" t="n"/>
      <c r="P334" s="409" t="n"/>
      <c r="Q334" s="376" t="n"/>
      <c r="R334" s="40" t="inlineStr"/>
      <c r="S334" s="40" t="inlineStr"/>
      <c r="T334" s="41" t="inlineStr">
        <is>
          <t>кг</t>
        </is>
      </c>
      <c r="U334" s="410" t="n">
        <v>0</v>
      </c>
      <c r="V334" s="411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</row>
    <row r="335" ht="27" customHeight="1">
      <c r="A335" s="64" t="inlineStr">
        <is>
          <t>SU002557</t>
        </is>
      </c>
      <c r="B335" s="64" t="inlineStr">
        <is>
          <t>P003318</t>
        </is>
      </c>
      <c r="C335" s="37" t="n">
        <v>4301051431</v>
      </c>
      <c r="D335" s="131" t="n">
        <v>4607091389654</v>
      </c>
      <c r="E335" s="376" t="n"/>
      <c r="F335" s="407" t="n">
        <v>0.33</v>
      </c>
      <c r="G335" s="38" t="n">
        <v>6</v>
      </c>
      <c r="H335" s="407" t="n">
        <v>1.98</v>
      </c>
      <c r="I335" s="407" t="n">
        <v>2.258</v>
      </c>
      <c r="J335" s="38" t="n">
        <v>156</v>
      </c>
      <c r="K335" s="39" t="inlineStr">
        <is>
          <t>СК3</t>
        </is>
      </c>
      <c r="L335" s="38" t="n">
        <v>45</v>
      </c>
      <c r="M335" s="596" t="inlineStr">
        <is>
          <t>Сосиски Баварушки (с грудкой ГОСТ 31962-2013) Филейбургская Фикс.вес 0,33 П/а мгс Баварушка</t>
        </is>
      </c>
      <c r="N335" s="409" t="n"/>
      <c r="O335" s="409" t="n"/>
      <c r="P335" s="409" t="n"/>
      <c r="Q335" s="376" t="n"/>
      <c r="R335" s="40" t="inlineStr"/>
      <c r="S335" s="40" t="inlineStr"/>
      <c r="T335" s="41" t="inlineStr">
        <is>
          <t>кг</t>
        </is>
      </c>
      <c r="U335" s="410" t="n">
        <v>0</v>
      </c>
      <c r="V335" s="411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</row>
    <row r="336" ht="27" customHeight="1">
      <c r="A336" s="64" t="inlineStr">
        <is>
          <t>SU002285</t>
        </is>
      </c>
      <c r="B336" s="64" t="inlineStr">
        <is>
          <t>P002969</t>
        </is>
      </c>
      <c r="C336" s="37" t="n">
        <v>4301051284</v>
      </c>
      <c r="D336" s="131" t="n">
        <v>4607091384352</v>
      </c>
      <c r="E336" s="376" t="n"/>
      <c r="F336" s="407" t="n">
        <v>0.6</v>
      </c>
      <c r="G336" s="38" t="n">
        <v>4</v>
      </c>
      <c r="H336" s="407" t="n">
        <v>2.4</v>
      </c>
      <c r="I336" s="407" t="n">
        <v>2.646</v>
      </c>
      <c r="J336" s="38" t="n">
        <v>120</v>
      </c>
      <c r="K336" s="39" t="inlineStr">
        <is>
          <t>СК3</t>
        </is>
      </c>
      <c r="L336" s="38" t="n">
        <v>45</v>
      </c>
      <c r="M336" s="597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6" s="409" t="n"/>
      <c r="O336" s="409" t="n"/>
      <c r="P336" s="409" t="n"/>
      <c r="Q336" s="376" t="n"/>
      <c r="R336" s="40" t="inlineStr"/>
      <c r="S336" s="40" t="inlineStr"/>
      <c r="T336" s="41" t="inlineStr">
        <is>
          <t>кг</t>
        </is>
      </c>
      <c r="U336" s="410" t="n">
        <v>0</v>
      </c>
      <c r="V336" s="411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</row>
    <row r="337" ht="27" customHeight="1">
      <c r="A337" s="64" t="inlineStr">
        <is>
          <t>SU002419</t>
        </is>
      </c>
      <c r="B337" s="64" t="inlineStr">
        <is>
          <t>P002913</t>
        </is>
      </c>
      <c r="C337" s="37" t="n">
        <v>4301051257</v>
      </c>
      <c r="D337" s="131" t="n">
        <v>4607091389661</v>
      </c>
      <c r="E337" s="376" t="n"/>
      <c r="F337" s="407" t="n">
        <v>0.55</v>
      </c>
      <c r="G337" s="38" t="n">
        <v>4</v>
      </c>
      <c r="H337" s="407" t="n">
        <v>2.2</v>
      </c>
      <c r="I337" s="407" t="n">
        <v>2.492</v>
      </c>
      <c r="J337" s="38" t="n">
        <v>120</v>
      </c>
      <c r="K337" s="39" t="inlineStr">
        <is>
          <t>СК3</t>
        </is>
      </c>
      <c r="L337" s="38" t="n">
        <v>45</v>
      </c>
      <c r="M337" s="598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7" s="409" t="n"/>
      <c r="O337" s="409" t="n"/>
      <c r="P337" s="409" t="n"/>
      <c r="Q337" s="376" t="n"/>
      <c r="R337" s="40" t="inlineStr"/>
      <c r="S337" s="40" t="inlineStr"/>
      <c r="T337" s="41" t="inlineStr">
        <is>
          <t>кг</t>
        </is>
      </c>
      <c r="U337" s="410" t="n">
        <v>0</v>
      </c>
      <c r="V337" s="411">
        <f>IFERROR(IF(U337="",0,CEILING((U337/$H337),1)*$H337),"")</f>
        <v/>
      </c>
      <c r="W337" s="42">
        <f>IFERROR(IF(V337=0,"",ROUNDUP(V337/H337,0)*0.00937),"")</f>
        <v/>
      </c>
      <c r="X337" s="69" t="inlineStr"/>
      <c r="Y337" s="70" t="inlineStr"/>
    </row>
    <row r="338">
      <c r="A338" s="139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2" t="n"/>
      <c r="M338" s="413" t="inlineStr">
        <is>
          <t>Итого</t>
        </is>
      </c>
      <c r="N338" s="384" t="n"/>
      <c r="O338" s="384" t="n"/>
      <c r="P338" s="384" t="n"/>
      <c r="Q338" s="384" t="n"/>
      <c r="R338" s="384" t="n"/>
      <c r="S338" s="385" t="n"/>
      <c r="T338" s="43" t="inlineStr">
        <is>
          <t>кор</t>
        </is>
      </c>
      <c r="U338" s="414">
        <f>IFERROR(U334/H334,"0")+IFERROR(U335/H335,"0")+IFERROR(U336/H336,"0")+IFERROR(U337/H337,"0")</f>
        <v/>
      </c>
      <c r="V338" s="414">
        <f>IFERROR(V334/H334,"0")+IFERROR(V335/H335,"0")+IFERROR(V336/H336,"0")+IFERROR(V337/H337,"0")</f>
        <v/>
      </c>
      <c r="W338" s="414">
        <f>IFERROR(IF(W334="",0,W334),"0")+IFERROR(IF(W335="",0,W335),"0")+IFERROR(IF(W336="",0,W336),"0")+IFERROR(IF(W337="",0,W337),"0")</f>
        <v/>
      </c>
      <c r="X338" s="415" t="n"/>
      <c r="Y338" s="415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412" t="n"/>
      <c r="M339" s="413" t="inlineStr">
        <is>
          <t>Итого</t>
        </is>
      </c>
      <c r="N339" s="384" t="n"/>
      <c r="O339" s="384" t="n"/>
      <c r="P339" s="384" t="n"/>
      <c r="Q339" s="384" t="n"/>
      <c r="R339" s="384" t="n"/>
      <c r="S339" s="385" t="n"/>
      <c r="T339" s="43" t="inlineStr">
        <is>
          <t>кг</t>
        </is>
      </c>
      <c r="U339" s="414">
        <f>IFERROR(SUM(U334:U337),"0")</f>
        <v/>
      </c>
      <c r="V339" s="414">
        <f>IFERROR(SUM(V334:V337),"0")</f>
        <v/>
      </c>
      <c r="W339" s="43" t="n"/>
      <c r="X339" s="415" t="n"/>
      <c r="Y339" s="415" t="n"/>
    </row>
    <row r="340" ht="14.25" customHeight="1">
      <c r="A340" s="130" t="inlineStr">
        <is>
          <t>Сардельки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30" t="n"/>
      <c r="Y340" s="130" t="n"/>
    </row>
    <row r="341" ht="27" customHeight="1">
      <c r="A341" s="64" t="inlineStr">
        <is>
          <t>SU002846</t>
        </is>
      </c>
      <c r="B341" s="64" t="inlineStr">
        <is>
          <t>P003254</t>
        </is>
      </c>
      <c r="C341" s="37" t="n">
        <v>4301060352</v>
      </c>
      <c r="D341" s="131" t="n">
        <v>4680115881648</v>
      </c>
      <c r="E341" s="376" t="n"/>
      <c r="F341" s="407" t="n">
        <v>1</v>
      </c>
      <c r="G341" s="38" t="n">
        <v>4</v>
      </c>
      <c r="H341" s="407" t="n">
        <v>4</v>
      </c>
      <c r="I341" s="407" t="n">
        <v>4.404</v>
      </c>
      <c r="J341" s="38" t="n">
        <v>104</v>
      </c>
      <c r="K341" s="39" t="inlineStr">
        <is>
          <t>СК2</t>
        </is>
      </c>
      <c r="L341" s="38" t="n">
        <v>35</v>
      </c>
      <c r="M341" s="599" t="inlineStr">
        <is>
          <t>Сардельки "Шпикачки Филейбургские" весовые н/о ТМ "Баварушка"</t>
        </is>
      </c>
      <c r="N341" s="409" t="n"/>
      <c r="O341" s="409" t="n"/>
      <c r="P341" s="409" t="n"/>
      <c r="Q341" s="376" t="n"/>
      <c r="R341" s="40" t="inlineStr"/>
      <c r="S341" s="40" t="inlineStr"/>
      <c r="T341" s="41" t="inlineStr">
        <is>
          <t>кг</t>
        </is>
      </c>
      <c r="U341" s="410" t="n">
        <v>0</v>
      </c>
      <c r="V341" s="411">
        <f>IFERROR(IF(U341="",0,CEILING((U341/$H341),1)*$H341),"")</f>
        <v/>
      </c>
      <c r="W341" s="42">
        <f>IFERROR(IF(V341=0,"",ROUNDUP(V341/H341,0)*0.01196),"")</f>
        <v/>
      </c>
      <c r="X341" s="69" t="inlineStr"/>
      <c r="Y341" s="70" t="inlineStr"/>
    </row>
    <row r="342">
      <c r="A342" s="139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412" t="n"/>
      <c r="M342" s="413" t="inlineStr">
        <is>
          <t>Итого</t>
        </is>
      </c>
      <c r="N342" s="384" t="n"/>
      <c r="O342" s="384" t="n"/>
      <c r="P342" s="384" t="n"/>
      <c r="Q342" s="384" t="n"/>
      <c r="R342" s="384" t="n"/>
      <c r="S342" s="385" t="n"/>
      <c r="T342" s="43" t="inlineStr">
        <is>
          <t>кор</t>
        </is>
      </c>
      <c r="U342" s="414">
        <f>IFERROR(U341/H341,"0")</f>
        <v/>
      </c>
      <c r="V342" s="414">
        <f>IFERROR(V341/H341,"0")</f>
        <v/>
      </c>
      <c r="W342" s="414">
        <f>IFERROR(IF(W341="",0,W341),"0")</f>
        <v/>
      </c>
      <c r="X342" s="415" t="n"/>
      <c r="Y342" s="415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412" t="n"/>
      <c r="M343" s="413" t="inlineStr">
        <is>
          <t>Итого</t>
        </is>
      </c>
      <c r="N343" s="384" t="n"/>
      <c r="O343" s="384" t="n"/>
      <c r="P343" s="384" t="n"/>
      <c r="Q343" s="384" t="n"/>
      <c r="R343" s="384" t="n"/>
      <c r="S343" s="385" t="n"/>
      <c r="T343" s="43" t="inlineStr">
        <is>
          <t>кг</t>
        </is>
      </c>
      <c r="U343" s="414">
        <f>IFERROR(SUM(U341:U341),"0")</f>
        <v/>
      </c>
      <c r="V343" s="414">
        <f>IFERROR(SUM(V341:V341),"0")</f>
        <v/>
      </c>
      <c r="W343" s="43" t="n"/>
      <c r="X343" s="415" t="n"/>
      <c r="Y343" s="415" t="n"/>
    </row>
    <row r="344" ht="16.5" customHeight="1">
      <c r="A344" s="129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29" t="n"/>
      <c r="Y344" s="129" t="n"/>
    </row>
    <row r="345" ht="14.25" customHeight="1">
      <c r="A345" s="130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30" t="n"/>
      <c r="Y345" s="130" t="n"/>
    </row>
    <row r="346" ht="27" customHeight="1">
      <c r="A346" s="64" t="inlineStr">
        <is>
          <t>SU002542</t>
        </is>
      </c>
      <c r="B346" s="64" t="inlineStr">
        <is>
          <t>P002847</t>
        </is>
      </c>
      <c r="C346" s="37" t="n">
        <v>4301020196</v>
      </c>
      <c r="D346" s="131" t="n">
        <v>4607091389388</v>
      </c>
      <c r="E346" s="376" t="n"/>
      <c r="F346" s="407" t="n">
        <v>1.3</v>
      </c>
      <c r="G346" s="38" t="n">
        <v>4</v>
      </c>
      <c r="H346" s="407" t="n">
        <v>5.2</v>
      </c>
      <c r="I346" s="407" t="n">
        <v>5.608</v>
      </c>
      <c r="J346" s="38" t="n">
        <v>104</v>
      </c>
      <c r="K346" s="39" t="inlineStr">
        <is>
          <t>СК3</t>
        </is>
      </c>
      <c r="L346" s="38" t="n">
        <v>35</v>
      </c>
      <c r="M346" s="600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/>
      </c>
      <c r="N346" s="409" t="n"/>
      <c r="O346" s="409" t="n"/>
      <c r="P346" s="409" t="n"/>
      <c r="Q346" s="376" t="n"/>
      <c r="R346" s="40" t="inlineStr"/>
      <c r="S346" s="40" t="inlineStr"/>
      <c r="T346" s="41" t="inlineStr">
        <is>
          <t>кг</t>
        </is>
      </c>
      <c r="U346" s="410" t="n">
        <v>0</v>
      </c>
      <c r="V346" s="411">
        <f>IFERROR(IF(U346="",0,CEILING((U346/$H346),1)*$H346),"")</f>
        <v/>
      </c>
      <c r="W346" s="42">
        <f>IFERROR(IF(V346=0,"",ROUNDUP(V346/H346,0)*0.01196),"")</f>
        <v/>
      </c>
      <c r="X346" s="69" t="inlineStr"/>
      <c r="Y346" s="70" t="inlineStr"/>
    </row>
    <row r="347" ht="27" customHeight="1">
      <c r="A347" s="64" t="inlineStr">
        <is>
          <t>SU002319</t>
        </is>
      </c>
      <c r="B347" s="64" t="inlineStr">
        <is>
          <t>P002597</t>
        </is>
      </c>
      <c r="C347" s="37" t="n">
        <v>4301020185</v>
      </c>
      <c r="D347" s="131" t="n">
        <v>4607091389364</v>
      </c>
      <c r="E347" s="376" t="n"/>
      <c r="F347" s="407" t="n">
        <v>0.42</v>
      </c>
      <c r="G347" s="38" t="n">
        <v>6</v>
      </c>
      <c r="H347" s="407" t="n">
        <v>2.52</v>
      </c>
      <c r="I347" s="407" t="n">
        <v>2.75</v>
      </c>
      <c r="J347" s="38" t="n">
        <v>156</v>
      </c>
      <c r="K347" s="39" t="inlineStr">
        <is>
          <t>СК3</t>
        </is>
      </c>
      <c r="L347" s="38" t="n">
        <v>35</v>
      </c>
      <c r="M347" s="601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409" t="n"/>
      <c r="O347" s="409" t="n"/>
      <c r="P347" s="409" t="n"/>
      <c r="Q347" s="376" t="n"/>
      <c r="R347" s="40" t="inlineStr"/>
      <c r="S347" s="40" t="inlineStr"/>
      <c r="T347" s="41" t="inlineStr">
        <is>
          <t>кг</t>
        </is>
      </c>
      <c r="U347" s="410" t="n">
        <v>0</v>
      </c>
      <c r="V347" s="411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2" t="n"/>
      <c r="M348" s="413" t="inlineStr">
        <is>
          <t>Итого</t>
        </is>
      </c>
      <c r="N348" s="384" t="n"/>
      <c r="O348" s="384" t="n"/>
      <c r="P348" s="384" t="n"/>
      <c r="Q348" s="384" t="n"/>
      <c r="R348" s="384" t="n"/>
      <c r="S348" s="385" t="n"/>
      <c r="T348" s="43" t="inlineStr">
        <is>
          <t>кор</t>
        </is>
      </c>
      <c r="U348" s="414">
        <f>IFERROR(U346/H346,"0")+IFERROR(U347/H347,"0")</f>
        <v/>
      </c>
      <c r="V348" s="414">
        <f>IFERROR(V346/H346,"0")+IFERROR(V347/H347,"0")</f>
        <v/>
      </c>
      <c r="W348" s="414">
        <f>IFERROR(IF(W346="",0,W346),"0")+IFERROR(IF(W347="",0,W347),"0")</f>
        <v/>
      </c>
      <c r="X348" s="415" t="n"/>
      <c r="Y348" s="415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2" t="n"/>
      <c r="M349" s="413" t="inlineStr">
        <is>
          <t>Итого</t>
        </is>
      </c>
      <c r="N349" s="384" t="n"/>
      <c r="O349" s="384" t="n"/>
      <c r="P349" s="384" t="n"/>
      <c r="Q349" s="384" t="n"/>
      <c r="R349" s="384" t="n"/>
      <c r="S349" s="385" t="n"/>
      <c r="T349" s="43" t="inlineStr">
        <is>
          <t>кг</t>
        </is>
      </c>
      <c r="U349" s="414">
        <f>IFERROR(SUM(U346:U347),"0")</f>
        <v/>
      </c>
      <c r="V349" s="414">
        <f>IFERROR(SUM(V346:V347),"0")</f>
        <v/>
      </c>
      <c r="W349" s="43" t="n"/>
      <c r="X349" s="415" t="n"/>
      <c r="Y349" s="415" t="n"/>
    </row>
    <row r="350" ht="14.25" customHeight="1">
      <c r="A350" s="130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30" t="n"/>
      <c r="Y350" s="130" t="n"/>
    </row>
    <row r="351" ht="27" customHeight="1">
      <c r="A351" s="64" t="inlineStr">
        <is>
          <t>SU002612</t>
        </is>
      </c>
      <c r="B351" s="64" t="inlineStr">
        <is>
          <t>P003140</t>
        </is>
      </c>
      <c r="C351" s="37" t="n">
        <v>4301031195</v>
      </c>
      <c r="D351" s="131" t="n">
        <v>4607091389739</v>
      </c>
      <c r="E351" s="376" t="n"/>
      <c r="F351" s="407" t="n">
        <v>0.7</v>
      </c>
      <c r="G351" s="38" t="n">
        <v>6</v>
      </c>
      <c r="H351" s="407" t="n">
        <v>4.2</v>
      </c>
      <c r="I351" s="407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602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409" t="n"/>
      <c r="O351" s="409" t="n"/>
      <c r="P351" s="409" t="n"/>
      <c r="Q351" s="376" t="n"/>
      <c r="R351" s="40" t="inlineStr"/>
      <c r="S351" s="40" t="inlineStr"/>
      <c r="T351" s="41" t="inlineStr">
        <is>
          <t>кг</t>
        </is>
      </c>
      <c r="U351" s="410" t="n">
        <v>1000</v>
      </c>
      <c r="V351" s="411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</row>
    <row r="352" ht="27" customHeight="1">
      <c r="A352" s="64" t="inlineStr">
        <is>
          <t>SU002545</t>
        </is>
      </c>
      <c r="B352" s="64" t="inlineStr">
        <is>
          <t>P003137</t>
        </is>
      </c>
      <c r="C352" s="37" t="n">
        <v>4301031176</v>
      </c>
      <c r="D352" s="131" t="n">
        <v>4607091389425</v>
      </c>
      <c r="E352" s="376" t="n"/>
      <c r="F352" s="407" t="n">
        <v>0.35</v>
      </c>
      <c r="G352" s="38" t="n">
        <v>6</v>
      </c>
      <c r="H352" s="407" t="n">
        <v>2.1</v>
      </c>
      <c r="I352" s="407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603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409" t="n"/>
      <c r="O352" s="409" t="n"/>
      <c r="P352" s="409" t="n"/>
      <c r="Q352" s="376" t="n"/>
      <c r="R352" s="40" t="inlineStr"/>
      <c r="S352" s="40" t="inlineStr"/>
      <c r="T352" s="41" t="inlineStr">
        <is>
          <t>кг</t>
        </is>
      </c>
      <c r="U352" s="410" t="n">
        <v>52.5</v>
      </c>
      <c r="V352" s="411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</row>
    <row r="353" ht="27" customHeight="1">
      <c r="A353" s="64" t="inlineStr">
        <is>
          <t>SU002726</t>
        </is>
      </c>
      <c r="B353" s="64" t="inlineStr">
        <is>
          <t>P003095</t>
        </is>
      </c>
      <c r="C353" s="37" t="n">
        <v>4301031167</v>
      </c>
      <c r="D353" s="131" t="n">
        <v>4680115880771</v>
      </c>
      <c r="E353" s="376" t="n"/>
      <c r="F353" s="407" t="n">
        <v>0.28</v>
      </c>
      <c r="G353" s="38" t="n">
        <v>6</v>
      </c>
      <c r="H353" s="407" t="n">
        <v>1.68</v>
      </c>
      <c r="I353" s="407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604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409" t="n"/>
      <c r="O353" s="409" t="n"/>
      <c r="P353" s="409" t="n"/>
      <c r="Q353" s="376" t="n"/>
      <c r="R353" s="40" t="inlineStr"/>
      <c r="S353" s="40" t="inlineStr"/>
      <c r="T353" s="41" t="inlineStr">
        <is>
          <t>кг</t>
        </is>
      </c>
      <c r="U353" s="410" t="n">
        <v>0</v>
      </c>
      <c r="V353" s="411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</row>
    <row r="354" ht="27" customHeight="1">
      <c r="A354" s="64" t="inlineStr">
        <is>
          <t>SU002604</t>
        </is>
      </c>
      <c r="B354" s="64" t="inlineStr">
        <is>
          <t>P003135</t>
        </is>
      </c>
      <c r="C354" s="37" t="n">
        <v>4301031173</v>
      </c>
      <c r="D354" s="131" t="n">
        <v>4607091389500</v>
      </c>
      <c r="E354" s="376" t="n"/>
      <c r="F354" s="407" t="n">
        <v>0.35</v>
      </c>
      <c r="G354" s="38" t="n">
        <v>6</v>
      </c>
      <c r="H354" s="407" t="n">
        <v>2.1</v>
      </c>
      <c r="I354" s="407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605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409" t="n"/>
      <c r="O354" s="409" t="n"/>
      <c r="P354" s="409" t="n"/>
      <c r="Q354" s="376" t="n"/>
      <c r="R354" s="40" t="inlineStr"/>
      <c r="S354" s="40" t="inlineStr"/>
      <c r="T354" s="41" t="inlineStr">
        <is>
          <t>кг</t>
        </is>
      </c>
      <c r="U354" s="410" t="n">
        <v>0</v>
      </c>
      <c r="V354" s="411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</row>
    <row r="355" ht="27" customHeight="1">
      <c r="A355" s="64" t="inlineStr">
        <is>
          <t>SU002358</t>
        </is>
      </c>
      <c r="B355" s="64" t="inlineStr">
        <is>
          <t>P002642</t>
        </is>
      </c>
      <c r="C355" s="37" t="n">
        <v>4301031103</v>
      </c>
      <c r="D355" s="131" t="n">
        <v>4680115881983</v>
      </c>
      <c r="E355" s="376" t="n"/>
      <c r="F355" s="407" t="n">
        <v>0.28</v>
      </c>
      <c r="G355" s="38" t="n">
        <v>4</v>
      </c>
      <c r="H355" s="407" t="n">
        <v>1.12</v>
      </c>
      <c r="I355" s="407" t="n">
        <v>1.252</v>
      </c>
      <c r="J355" s="38" t="n">
        <v>234</v>
      </c>
      <c r="K355" s="39" t="inlineStr">
        <is>
          <t>СК2</t>
        </is>
      </c>
      <c r="L355" s="38" t="n">
        <v>40</v>
      </c>
      <c r="M355" s="606" t="inlineStr">
        <is>
          <t>Колбаса Балыкбургская по-краковски с копченым балыком в натуральной оболочке 0,28 кг</t>
        </is>
      </c>
      <c r="N355" s="409" t="n"/>
      <c r="O355" s="409" t="n"/>
      <c r="P355" s="409" t="n"/>
      <c r="Q355" s="376" t="n"/>
      <c r="R355" s="40" t="inlineStr"/>
      <c r="S355" s="40" t="inlineStr"/>
      <c r="T355" s="41" t="inlineStr">
        <is>
          <t>кг</t>
        </is>
      </c>
      <c r="U355" s="410" t="n">
        <v>0</v>
      </c>
      <c r="V355" s="411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</row>
    <row r="356">
      <c r="A356" s="139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412" t="n"/>
      <c r="M356" s="413" t="inlineStr">
        <is>
          <t>Итого</t>
        </is>
      </c>
      <c r="N356" s="384" t="n"/>
      <c r="O356" s="384" t="n"/>
      <c r="P356" s="384" t="n"/>
      <c r="Q356" s="384" t="n"/>
      <c r="R356" s="384" t="n"/>
      <c r="S356" s="385" t="n"/>
      <c r="T356" s="43" t="inlineStr">
        <is>
          <t>кор</t>
        </is>
      </c>
      <c r="U356" s="414">
        <f>IFERROR(U351/H351,"0")+IFERROR(U352/H352,"0")+IFERROR(U353/H353,"0")+IFERROR(U354/H354,"0")+IFERROR(U355/H355,"0")</f>
        <v/>
      </c>
      <c r="V356" s="414">
        <f>IFERROR(V351/H351,"0")+IFERROR(V352/H352,"0")+IFERROR(V353/H353,"0")+IFERROR(V354/H354,"0")+IFERROR(V355/H355,"0")</f>
        <v/>
      </c>
      <c r="W356" s="414">
        <f>IFERROR(IF(W351="",0,W351),"0")+IFERROR(IF(W352="",0,W352),"0")+IFERROR(IF(W353="",0,W353),"0")+IFERROR(IF(W354="",0,W354),"0")+IFERROR(IF(W355="",0,W355),"0")</f>
        <v/>
      </c>
      <c r="X356" s="415" t="n"/>
      <c r="Y356" s="415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412" t="n"/>
      <c r="M357" s="413" t="inlineStr">
        <is>
          <t>Итого</t>
        </is>
      </c>
      <c r="N357" s="384" t="n"/>
      <c r="O357" s="384" t="n"/>
      <c r="P357" s="384" t="n"/>
      <c r="Q357" s="384" t="n"/>
      <c r="R357" s="384" t="n"/>
      <c r="S357" s="385" t="n"/>
      <c r="T357" s="43" t="inlineStr">
        <is>
          <t>кг</t>
        </is>
      </c>
      <c r="U357" s="414">
        <f>IFERROR(SUM(U351:U355),"0")</f>
        <v/>
      </c>
      <c r="V357" s="414">
        <f>IFERROR(SUM(V351:V355),"0")</f>
        <v/>
      </c>
      <c r="W357" s="43" t="n"/>
      <c r="X357" s="415" t="n"/>
      <c r="Y357" s="415" t="n"/>
    </row>
    <row r="358" ht="27.75" customHeight="1">
      <c r="A358" s="128" t="inlineStr">
        <is>
          <t>Дугушка</t>
        </is>
      </c>
      <c r="B358" s="406" t="n"/>
      <c r="C358" s="406" t="n"/>
      <c r="D358" s="406" t="n"/>
      <c r="E358" s="406" t="n"/>
      <c r="F358" s="406" t="n"/>
      <c r="G358" s="406" t="n"/>
      <c r="H358" s="406" t="n"/>
      <c r="I358" s="406" t="n"/>
      <c r="J358" s="406" t="n"/>
      <c r="K358" s="406" t="n"/>
      <c r="L358" s="406" t="n"/>
      <c r="M358" s="406" t="n"/>
      <c r="N358" s="406" t="n"/>
      <c r="O358" s="406" t="n"/>
      <c r="P358" s="406" t="n"/>
      <c r="Q358" s="406" t="n"/>
      <c r="R358" s="406" t="n"/>
      <c r="S358" s="406" t="n"/>
      <c r="T358" s="406" t="n"/>
      <c r="U358" s="406" t="n"/>
      <c r="V358" s="406" t="n"/>
      <c r="W358" s="406" t="n"/>
      <c r="X358" s="55" t="n"/>
      <c r="Y358" s="55" t="n"/>
    </row>
    <row r="359" ht="16.5" customHeight="1">
      <c r="A359" s="129" t="inlineStr">
        <is>
          <t>Дугушка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29" t="n"/>
      <c r="Y359" s="129" t="n"/>
    </row>
    <row r="360" ht="14.25" customHeight="1">
      <c r="A360" s="130" t="inlineStr">
        <is>
          <t>Вареные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30" t="n"/>
      <c r="Y360" s="130" t="n"/>
    </row>
    <row r="361" ht="27" customHeight="1">
      <c r="A361" s="64" t="inlineStr">
        <is>
          <t>SU002635</t>
        </is>
      </c>
      <c r="B361" s="64" t="inlineStr">
        <is>
          <t>P002992</t>
        </is>
      </c>
      <c r="C361" s="37" t="n">
        <v>4301011372</v>
      </c>
      <c r="D361" s="131" t="n">
        <v>4680115882782</v>
      </c>
      <c r="E361" s="376" t="n"/>
      <c r="F361" s="407" t="n">
        <v>0.6</v>
      </c>
      <c r="G361" s="38" t="n">
        <v>6</v>
      </c>
      <c r="H361" s="407" t="n">
        <v>3.6</v>
      </c>
      <c r="I361" s="407" t="n">
        <v>3.84</v>
      </c>
      <c r="J361" s="38" t="n">
        <v>120</v>
      </c>
      <c r="K361" s="39" t="inlineStr">
        <is>
          <t>СК1</t>
        </is>
      </c>
      <c r="L361" s="38" t="n">
        <v>50</v>
      </c>
      <c r="M361" s="607" t="inlineStr">
        <is>
          <t>Вареные колбасы "Дугушка со шпиком" Фикс.вес 0,6 П/а ТМ "Дугушка"</t>
        </is>
      </c>
      <c r="N361" s="409" t="n"/>
      <c r="O361" s="409" t="n"/>
      <c r="P361" s="409" t="n"/>
      <c r="Q361" s="376" t="n"/>
      <c r="R361" s="40" t="inlineStr"/>
      <c r="S361" s="40" t="inlineStr"/>
      <c r="T361" s="41" t="inlineStr">
        <is>
          <t>кг</t>
        </is>
      </c>
      <c r="U361" s="410" t="n">
        <v>0</v>
      </c>
      <c r="V361" s="411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>
        <is>
          <t>Новинка</t>
        </is>
      </c>
    </row>
    <row r="362" ht="27" customHeight="1">
      <c r="A362" s="64" t="inlineStr">
        <is>
          <t>SU002011</t>
        </is>
      </c>
      <c r="B362" s="64" t="inlineStr">
        <is>
          <t>P002991</t>
        </is>
      </c>
      <c r="C362" s="37" t="n">
        <v>4301011371</v>
      </c>
      <c r="D362" s="131" t="n">
        <v>4607091389067</v>
      </c>
      <c r="E362" s="376" t="n"/>
      <c r="F362" s="407" t="n">
        <v>0.88</v>
      </c>
      <c r="G362" s="38" t="n">
        <v>6</v>
      </c>
      <c r="H362" s="407" t="n">
        <v>5.28</v>
      </c>
      <c r="I362" s="407" t="n">
        <v>5.64</v>
      </c>
      <c r="J362" s="38" t="n">
        <v>104</v>
      </c>
      <c r="K362" s="39" t="inlineStr">
        <is>
          <t>СК3</t>
        </is>
      </c>
      <c r="L362" s="38" t="n">
        <v>55</v>
      </c>
      <c r="M362" s="608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/>
      </c>
      <c r="N362" s="409" t="n"/>
      <c r="O362" s="409" t="n"/>
      <c r="P362" s="409" t="n"/>
      <c r="Q362" s="376" t="n"/>
      <c r="R362" s="40" t="inlineStr"/>
      <c r="S362" s="40" t="inlineStr"/>
      <c r="T362" s="41" t="inlineStr">
        <is>
          <t>кг</t>
        </is>
      </c>
      <c r="U362" s="410" t="n">
        <v>0</v>
      </c>
      <c r="V362" s="411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</row>
    <row r="363" ht="27" customHeight="1">
      <c r="A363" s="64" t="inlineStr">
        <is>
          <t>SU002094</t>
        </is>
      </c>
      <c r="B363" s="64" t="inlineStr">
        <is>
          <t>P002975</t>
        </is>
      </c>
      <c r="C363" s="37" t="n">
        <v>4301011363</v>
      </c>
      <c r="D363" s="131" t="n">
        <v>4607091383522</v>
      </c>
      <c r="E363" s="376" t="n"/>
      <c r="F363" s="407" t="n">
        <v>0.88</v>
      </c>
      <c r="G363" s="38" t="n">
        <v>6</v>
      </c>
      <c r="H363" s="407" t="n">
        <v>5.28</v>
      </c>
      <c r="I363" s="407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609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/>
      </c>
      <c r="N363" s="409" t="n"/>
      <c r="O363" s="409" t="n"/>
      <c r="P363" s="409" t="n"/>
      <c r="Q363" s="376" t="n"/>
      <c r="R363" s="40" t="inlineStr"/>
      <c r="S363" s="40" t="inlineStr"/>
      <c r="T363" s="41" t="inlineStr">
        <is>
          <t>кг</t>
        </is>
      </c>
      <c r="U363" s="410" t="n">
        <v>0</v>
      </c>
      <c r="V363" s="411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</row>
    <row r="364" ht="27" customHeight="1">
      <c r="A364" s="64" t="inlineStr">
        <is>
          <t>SU002182</t>
        </is>
      </c>
      <c r="B364" s="64" t="inlineStr">
        <is>
          <t>P002990</t>
        </is>
      </c>
      <c r="C364" s="37" t="n">
        <v>4301011431</v>
      </c>
      <c r="D364" s="131" t="n">
        <v>4607091384437</v>
      </c>
      <c r="E364" s="376" t="n"/>
      <c r="F364" s="407" t="n">
        <v>0.88</v>
      </c>
      <c r="G364" s="38" t="n">
        <v>6</v>
      </c>
      <c r="H364" s="407" t="n">
        <v>5.28</v>
      </c>
      <c r="I364" s="407" t="n">
        <v>5.64</v>
      </c>
      <c r="J364" s="38" t="n">
        <v>104</v>
      </c>
      <c r="K364" s="39" t="inlineStr">
        <is>
          <t>СК1</t>
        </is>
      </c>
      <c r="L364" s="38" t="n">
        <v>50</v>
      </c>
      <c r="M364" s="610" t="inlineStr">
        <is>
          <t>Вареные колбасы Дугушка со шпиком Дугушка Весовые Вектор Дугушка</t>
        </is>
      </c>
      <c r="N364" s="409" t="n"/>
      <c r="O364" s="409" t="n"/>
      <c r="P364" s="409" t="n"/>
      <c r="Q364" s="376" t="n"/>
      <c r="R364" s="40" t="inlineStr"/>
      <c r="S364" s="40" t="inlineStr"/>
      <c r="T364" s="41" t="inlineStr">
        <is>
          <t>кг</t>
        </is>
      </c>
      <c r="U364" s="410" t="n">
        <v>0</v>
      </c>
      <c r="V364" s="411">
        <f>IFERROR(IF(U364="",0,CEILING((U364/$H364),1)*$H364),"")</f>
        <v/>
      </c>
      <c r="W364" s="42">
        <f>IFERROR(IF(V364=0,"",ROUNDUP(V364/H364,0)*0.01196),"")</f>
        <v/>
      </c>
      <c r="X364" s="69" t="inlineStr"/>
      <c r="Y364" s="70" t="inlineStr"/>
    </row>
    <row r="365" ht="27" customHeight="1">
      <c r="A365" s="64" t="inlineStr">
        <is>
          <t>SU002010</t>
        </is>
      </c>
      <c r="B365" s="64" t="inlineStr">
        <is>
          <t>P002979</t>
        </is>
      </c>
      <c r="C365" s="37" t="n">
        <v>4301011365</v>
      </c>
      <c r="D365" s="131" t="n">
        <v>4607091389104</v>
      </c>
      <c r="E365" s="376" t="n"/>
      <c r="F365" s="407" t="n">
        <v>0.88</v>
      </c>
      <c r="G365" s="38" t="n">
        <v>6</v>
      </c>
      <c r="H365" s="407" t="n">
        <v>5.28</v>
      </c>
      <c r="I365" s="407" t="n">
        <v>5.64</v>
      </c>
      <c r="J365" s="38" t="n">
        <v>104</v>
      </c>
      <c r="K365" s="39" t="inlineStr">
        <is>
          <t>СК1</t>
        </is>
      </c>
      <c r="L365" s="38" t="n">
        <v>55</v>
      </c>
      <c r="M365" s="611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/>
      </c>
      <c r="N365" s="409" t="n"/>
      <c r="O365" s="409" t="n"/>
      <c r="P365" s="409" t="n"/>
      <c r="Q365" s="376" t="n"/>
      <c r="R365" s="40" t="inlineStr"/>
      <c r="S365" s="40" t="inlineStr"/>
      <c r="T365" s="41" t="inlineStr">
        <is>
          <t>кг</t>
        </is>
      </c>
      <c r="U365" s="410" t="n">
        <v>0</v>
      </c>
      <c r="V365" s="411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</row>
    <row r="366" ht="27" customHeight="1">
      <c r="A366" s="64" t="inlineStr">
        <is>
          <t>SU002019</t>
        </is>
      </c>
      <c r="B366" s="64" t="inlineStr">
        <is>
          <t>P002306</t>
        </is>
      </c>
      <c r="C366" s="37" t="n">
        <v>4301011142</v>
      </c>
      <c r="D366" s="131" t="n">
        <v>4607091389036</v>
      </c>
      <c r="E366" s="376" t="n"/>
      <c r="F366" s="407" t="n">
        <v>0.4</v>
      </c>
      <c r="G366" s="38" t="n">
        <v>6</v>
      </c>
      <c r="H366" s="407" t="n">
        <v>2.4</v>
      </c>
      <c r="I366" s="407" t="n">
        <v>2.6</v>
      </c>
      <c r="J366" s="38" t="n">
        <v>156</v>
      </c>
      <c r="K366" s="39" t="inlineStr">
        <is>
          <t>СК3</t>
        </is>
      </c>
      <c r="L366" s="38" t="n">
        <v>50</v>
      </c>
      <c r="M366" s="612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/>
      </c>
      <c r="N366" s="409" t="n"/>
      <c r="O366" s="409" t="n"/>
      <c r="P366" s="409" t="n"/>
      <c r="Q366" s="376" t="n"/>
      <c r="R366" s="40" t="inlineStr"/>
      <c r="S366" s="40" t="inlineStr"/>
      <c r="T366" s="41" t="inlineStr">
        <is>
          <t>кг</t>
        </is>
      </c>
      <c r="U366" s="410" t="n">
        <v>0</v>
      </c>
      <c r="V366" s="411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</row>
    <row r="367" ht="27" customHeight="1">
      <c r="A367" s="64" t="inlineStr">
        <is>
          <t>SU002632</t>
        </is>
      </c>
      <c r="B367" s="64" t="inlineStr">
        <is>
          <t>P002982</t>
        </is>
      </c>
      <c r="C367" s="37" t="n">
        <v>4301011367</v>
      </c>
      <c r="D367" s="131" t="n">
        <v>4680115880603</v>
      </c>
      <c r="E367" s="376" t="n"/>
      <c r="F367" s="407" t="n">
        <v>0.6</v>
      </c>
      <c r="G367" s="38" t="n">
        <v>6</v>
      </c>
      <c r="H367" s="407" t="n">
        <v>3.6</v>
      </c>
      <c r="I367" s="407" t="n">
        <v>3.84</v>
      </c>
      <c r="J367" s="38" t="n">
        <v>120</v>
      </c>
      <c r="K367" s="39" t="inlineStr">
        <is>
          <t>СК1</t>
        </is>
      </c>
      <c r="L367" s="38" t="n">
        <v>55</v>
      </c>
      <c r="M367" s="613" t="inlineStr">
        <is>
          <t>Вареные колбасы "Докторская ГОСТ" Фикс.вес 0,6 Вектор ТМ "Дугушка"</t>
        </is>
      </c>
      <c r="N367" s="409" t="n"/>
      <c r="O367" s="409" t="n"/>
      <c r="P367" s="409" t="n"/>
      <c r="Q367" s="376" t="n"/>
      <c r="R367" s="40" t="inlineStr"/>
      <c r="S367" s="40" t="inlineStr"/>
      <c r="T367" s="41" t="inlineStr">
        <is>
          <t>кг</t>
        </is>
      </c>
      <c r="U367" s="410" t="n">
        <v>0</v>
      </c>
      <c r="V367" s="411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</row>
    <row r="368" ht="27" customHeight="1">
      <c r="A368" s="64" t="inlineStr">
        <is>
          <t>SU002220</t>
        </is>
      </c>
      <c r="B368" s="64" t="inlineStr">
        <is>
          <t>P002404</t>
        </is>
      </c>
      <c r="C368" s="37" t="n">
        <v>4301011168</v>
      </c>
      <c r="D368" s="131" t="n">
        <v>4607091389999</v>
      </c>
      <c r="E368" s="376" t="n"/>
      <c r="F368" s="407" t="n">
        <v>0.6</v>
      </c>
      <c r="G368" s="38" t="n">
        <v>6</v>
      </c>
      <c r="H368" s="407" t="n">
        <v>3.6</v>
      </c>
      <c r="I368" s="407" t="n">
        <v>3.84</v>
      </c>
      <c r="J368" s="38" t="n">
        <v>120</v>
      </c>
      <c r="K368" s="39" t="inlineStr">
        <is>
          <t>СК1</t>
        </is>
      </c>
      <c r="L368" s="38" t="n">
        <v>55</v>
      </c>
      <c r="M368" s="614" t="inlineStr">
        <is>
          <t>Вареные колбасы "Докторская Дугушка" Фикс.вес 0,6 П/а ТМ "Дугушка"</t>
        </is>
      </c>
      <c r="N368" s="409" t="n"/>
      <c r="O368" s="409" t="n"/>
      <c r="P368" s="409" t="n"/>
      <c r="Q368" s="376" t="n"/>
      <c r="R368" s="40" t="inlineStr"/>
      <c r="S368" s="40" t="inlineStr"/>
      <c r="T368" s="41" t="inlineStr">
        <is>
          <t>кг</t>
        </is>
      </c>
      <c r="U368" s="410" t="n">
        <v>0</v>
      </c>
      <c r="V368" s="411">
        <f>IFERROR(IF(U368="",0,CEILING((U368/$H368),1)*$H368),"")</f>
        <v/>
      </c>
      <c r="W368" s="42">
        <f>IFERROR(IF(V368=0,"",ROUNDUP(V368/H368,0)*0.00937),"")</f>
        <v/>
      </c>
      <c r="X368" s="69" t="inlineStr"/>
      <c r="Y368" s="70" t="inlineStr"/>
    </row>
    <row r="369" ht="27" customHeight="1">
      <c r="A369" s="64" t="inlineStr">
        <is>
          <t>SU002020</t>
        </is>
      </c>
      <c r="B369" s="64" t="inlineStr">
        <is>
          <t>P002308</t>
        </is>
      </c>
      <c r="C369" s="37" t="n">
        <v>4301011190</v>
      </c>
      <c r="D369" s="131" t="n">
        <v>4607091389098</v>
      </c>
      <c r="E369" s="376" t="n"/>
      <c r="F369" s="407" t="n">
        <v>0.4</v>
      </c>
      <c r="G369" s="38" t="n">
        <v>6</v>
      </c>
      <c r="H369" s="407" t="n">
        <v>2.4</v>
      </c>
      <c r="I369" s="407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615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/>
      </c>
      <c r="N369" s="409" t="n"/>
      <c r="O369" s="409" t="n"/>
      <c r="P369" s="409" t="n"/>
      <c r="Q369" s="376" t="n"/>
      <c r="R369" s="40" t="inlineStr"/>
      <c r="S369" s="40" t="inlineStr"/>
      <c r="T369" s="41" t="inlineStr">
        <is>
          <t>кг</t>
        </is>
      </c>
      <c r="U369" s="410" t="n">
        <v>0</v>
      </c>
      <c r="V369" s="411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</row>
    <row r="370" ht="27" customHeight="1">
      <c r="A370" s="64" t="inlineStr">
        <is>
          <t>SU002631</t>
        </is>
      </c>
      <c r="B370" s="64" t="inlineStr">
        <is>
          <t>P002981</t>
        </is>
      </c>
      <c r="C370" s="37" t="n">
        <v>4301011366</v>
      </c>
      <c r="D370" s="131" t="n">
        <v>4607091389982</v>
      </c>
      <c r="E370" s="376" t="n"/>
      <c r="F370" s="407" t="n">
        <v>0.6</v>
      </c>
      <c r="G370" s="38" t="n">
        <v>6</v>
      </c>
      <c r="H370" s="407" t="n">
        <v>3.6</v>
      </c>
      <c r="I370" s="407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616" t="inlineStr">
        <is>
          <t>Вареные колбасы "Молочная Дугушка" Фикс.вес 0,6 П/а ТМ "Дугушка"</t>
        </is>
      </c>
      <c r="N370" s="409" t="n"/>
      <c r="O370" s="409" t="n"/>
      <c r="P370" s="409" t="n"/>
      <c r="Q370" s="376" t="n"/>
      <c r="R370" s="40" t="inlineStr"/>
      <c r="S370" s="40" t="inlineStr"/>
      <c r="T370" s="41" t="inlineStr">
        <is>
          <t>кг</t>
        </is>
      </c>
      <c r="U370" s="410" t="n">
        <v>0</v>
      </c>
      <c r="V370" s="411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</row>
    <row r="371">
      <c r="A371" s="139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412" t="n"/>
      <c r="M371" s="413" t="inlineStr">
        <is>
          <t>Итого</t>
        </is>
      </c>
      <c r="N371" s="384" t="n"/>
      <c r="O371" s="384" t="n"/>
      <c r="P371" s="384" t="n"/>
      <c r="Q371" s="384" t="n"/>
      <c r="R371" s="384" t="n"/>
      <c r="S371" s="385" t="n"/>
      <c r="T371" s="43" t="inlineStr">
        <is>
          <t>кор</t>
        </is>
      </c>
      <c r="U371" s="414">
        <f>IFERROR(U361/H361,"0")+IFERROR(U362/H362,"0")+IFERROR(U363/H363,"0")+IFERROR(U364/H364,"0")+IFERROR(U365/H365,"0")+IFERROR(U366/H366,"0")+IFERROR(U367/H367,"0")+IFERROR(U368/H368,"0")+IFERROR(U369/H369,"0")+IFERROR(U370/H370,"0")</f>
        <v/>
      </c>
      <c r="V371" s="414">
        <f>IFERROR(V361/H361,"0")+IFERROR(V362/H362,"0")+IFERROR(V363/H363,"0")+IFERROR(V364/H364,"0")+IFERROR(V365/H365,"0")+IFERROR(V366/H366,"0")+IFERROR(V367/H367,"0")+IFERROR(V368/H368,"0")+IFERROR(V369/H369,"0")+IFERROR(V370/H370,"0")</f>
        <v/>
      </c>
      <c r="W371" s="414">
        <f>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+IFERROR(IF(W370="",0,W370),"0")</f>
        <v/>
      </c>
      <c r="X371" s="415" t="n"/>
      <c r="Y371" s="415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412" t="n"/>
      <c r="M372" s="413" t="inlineStr">
        <is>
          <t>Итого</t>
        </is>
      </c>
      <c r="N372" s="384" t="n"/>
      <c r="O372" s="384" t="n"/>
      <c r="P372" s="384" t="n"/>
      <c r="Q372" s="384" t="n"/>
      <c r="R372" s="384" t="n"/>
      <c r="S372" s="385" t="n"/>
      <c r="T372" s="43" t="inlineStr">
        <is>
          <t>кг</t>
        </is>
      </c>
      <c r="U372" s="414">
        <f>IFERROR(SUM(U361:U370),"0")</f>
        <v/>
      </c>
      <c r="V372" s="414">
        <f>IFERROR(SUM(V361:V370),"0")</f>
        <v/>
      </c>
      <c r="W372" s="43" t="n"/>
      <c r="X372" s="415" t="n"/>
      <c r="Y372" s="415" t="n"/>
    </row>
    <row r="373" ht="14.25" customHeight="1">
      <c r="A373" s="130" t="inlineStr">
        <is>
          <t>Ветчины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30" t="n"/>
      <c r="Y373" s="130" t="n"/>
    </row>
    <row r="374" ht="16.5" customHeight="1">
      <c r="A374" s="64" t="inlineStr">
        <is>
          <t>SU002035</t>
        </is>
      </c>
      <c r="B374" s="64" t="inlineStr">
        <is>
          <t>P003146</t>
        </is>
      </c>
      <c r="C374" s="37" t="n">
        <v>4301020222</v>
      </c>
      <c r="D374" s="131" t="n">
        <v>4607091388930</v>
      </c>
      <c r="E374" s="376" t="n"/>
      <c r="F374" s="407" t="n">
        <v>0.88</v>
      </c>
      <c r="G374" s="38" t="n">
        <v>6</v>
      </c>
      <c r="H374" s="407" t="n">
        <v>5.28</v>
      </c>
      <c r="I374" s="407" t="n">
        <v>5.64</v>
      </c>
      <c r="J374" s="38" t="n">
        <v>104</v>
      </c>
      <c r="K374" s="39" t="inlineStr">
        <is>
          <t>СК1</t>
        </is>
      </c>
      <c r="L374" s="38" t="n">
        <v>55</v>
      </c>
      <c r="M374" s="617">
        <f>HYPERLINK("https://abiproduct.ru/products/Охлажденные/Дугушка/Дугушка/Ветчины/P003146/","Ветчины Дугушка Дугушка Вес б/о Дугушка")</f>
        <v/>
      </c>
      <c r="N374" s="409" t="n"/>
      <c r="O374" s="409" t="n"/>
      <c r="P374" s="409" t="n"/>
      <c r="Q374" s="376" t="n"/>
      <c r="R374" s="40" t="inlineStr"/>
      <c r="S374" s="40" t="inlineStr"/>
      <c r="T374" s="41" t="inlineStr">
        <is>
          <t>кг</t>
        </is>
      </c>
      <c r="U374" s="410" t="n">
        <v>0</v>
      </c>
      <c r="V374" s="411">
        <f>IFERROR(IF(U374="",0,CEILING((U374/$H374),1)*$H374),"")</f>
        <v/>
      </c>
      <c r="W374" s="42">
        <f>IFERROR(IF(V374=0,"",ROUNDUP(V374/H374,0)*0.01196),"")</f>
        <v/>
      </c>
      <c r="X374" s="69" t="inlineStr"/>
      <c r="Y374" s="70" t="inlineStr"/>
    </row>
    <row r="375" ht="16.5" customHeight="1">
      <c r="A375" s="64" t="inlineStr">
        <is>
          <t>SU002643</t>
        </is>
      </c>
      <c r="B375" s="64" t="inlineStr">
        <is>
          <t>P002993</t>
        </is>
      </c>
      <c r="C375" s="37" t="n">
        <v>4301020206</v>
      </c>
      <c r="D375" s="131" t="n">
        <v>4680115880054</v>
      </c>
      <c r="E375" s="376" t="n"/>
      <c r="F375" s="407" t="n">
        <v>0.6</v>
      </c>
      <c r="G375" s="38" t="n">
        <v>6</v>
      </c>
      <c r="H375" s="407" t="n">
        <v>3.6</v>
      </c>
      <c r="I375" s="407" t="n">
        <v>3.84</v>
      </c>
      <c r="J375" s="38" t="n">
        <v>120</v>
      </c>
      <c r="K375" s="39" t="inlineStr">
        <is>
          <t>СК1</t>
        </is>
      </c>
      <c r="L375" s="38" t="n">
        <v>55</v>
      </c>
      <c r="M375" s="618" t="inlineStr">
        <is>
          <t>Ветчины "Дугушка" Фикс.вес 0,6 П/а ТМ "Дугушка"</t>
        </is>
      </c>
      <c r="N375" s="409" t="n"/>
      <c r="O375" s="409" t="n"/>
      <c r="P375" s="409" t="n"/>
      <c r="Q375" s="376" t="n"/>
      <c r="R375" s="40" t="inlineStr"/>
      <c r="S375" s="40" t="inlineStr"/>
      <c r="T375" s="41" t="inlineStr">
        <is>
          <t>кг</t>
        </is>
      </c>
      <c r="U375" s="410" t="n">
        <v>0</v>
      </c>
      <c r="V375" s="411">
        <f>IFERROR(IF(U375="",0,CEILING((U375/$H375),1)*$H375),"")</f>
        <v/>
      </c>
      <c r="W375" s="42">
        <f>IFERROR(IF(V375=0,"",ROUNDUP(V375/H375,0)*0.00937),"")</f>
        <v/>
      </c>
      <c r="X375" s="69" t="inlineStr"/>
      <c r="Y375" s="70" t="inlineStr"/>
    </row>
    <row r="376">
      <c r="A376" s="139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412" t="n"/>
      <c r="M376" s="413" t="inlineStr">
        <is>
          <t>Итого</t>
        </is>
      </c>
      <c r="N376" s="384" t="n"/>
      <c r="O376" s="384" t="n"/>
      <c r="P376" s="384" t="n"/>
      <c r="Q376" s="384" t="n"/>
      <c r="R376" s="384" t="n"/>
      <c r="S376" s="385" t="n"/>
      <c r="T376" s="43" t="inlineStr">
        <is>
          <t>кор</t>
        </is>
      </c>
      <c r="U376" s="414">
        <f>IFERROR(U374/H374,"0")+IFERROR(U375/H375,"0")</f>
        <v/>
      </c>
      <c r="V376" s="414">
        <f>IFERROR(V374/H374,"0")+IFERROR(V375/H375,"0")</f>
        <v/>
      </c>
      <c r="W376" s="414">
        <f>IFERROR(IF(W374="",0,W374),"0")+IFERROR(IF(W375="",0,W375),"0")</f>
        <v/>
      </c>
      <c r="X376" s="415" t="n"/>
      <c r="Y376" s="415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2" t="n"/>
      <c r="M377" s="413" t="inlineStr">
        <is>
          <t>Итого</t>
        </is>
      </c>
      <c r="N377" s="384" t="n"/>
      <c r="O377" s="384" t="n"/>
      <c r="P377" s="384" t="n"/>
      <c r="Q377" s="384" t="n"/>
      <c r="R377" s="384" t="n"/>
      <c r="S377" s="385" t="n"/>
      <c r="T377" s="43" t="inlineStr">
        <is>
          <t>кг</t>
        </is>
      </c>
      <c r="U377" s="414">
        <f>IFERROR(SUM(U374:U375),"0")</f>
        <v/>
      </c>
      <c r="V377" s="414">
        <f>IFERROR(SUM(V374:V375),"0")</f>
        <v/>
      </c>
      <c r="W377" s="43" t="n"/>
      <c r="X377" s="415" t="n"/>
      <c r="Y377" s="415" t="n"/>
    </row>
    <row r="378" ht="14.25" customHeight="1">
      <c r="A378" s="130" t="inlineStr">
        <is>
          <t>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30" t="n"/>
      <c r="Y378" s="130" t="n"/>
    </row>
    <row r="379" ht="27" customHeight="1">
      <c r="A379" s="64" t="inlineStr">
        <is>
          <t>SU002916</t>
        </is>
      </c>
      <c r="B379" s="64" t="inlineStr">
        <is>
          <t>P003342</t>
        </is>
      </c>
      <c r="C379" s="37" t="n">
        <v>4301031214</v>
      </c>
      <c r="D379" s="131" t="n">
        <v>4680115882072</v>
      </c>
      <c r="E379" s="376" t="n"/>
      <c r="F379" s="407" t="n">
        <v>0.6</v>
      </c>
      <c r="G379" s="38" t="n">
        <v>6</v>
      </c>
      <c r="H379" s="407" t="n">
        <v>3.6</v>
      </c>
      <c r="I379" s="407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619" t="inlineStr">
        <is>
          <t>В/к колбасы "Рубленая Запеченная" Фикс.вес 0,6 Вектор ТМ "Дугушка"</t>
        </is>
      </c>
      <c r="N379" s="409" t="n"/>
      <c r="O379" s="409" t="n"/>
      <c r="P379" s="409" t="n"/>
      <c r="Q379" s="376" t="n"/>
      <c r="R379" s="40" t="inlineStr"/>
      <c r="S379" s="40" t="inlineStr"/>
      <c r="T379" s="41" t="inlineStr">
        <is>
          <t>кг</t>
        </is>
      </c>
      <c r="U379" s="410" t="n">
        <v>0</v>
      </c>
      <c r="V379" s="411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>
        <is>
          <t>Новинка</t>
        </is>
      </c>
    </row>
    <row r="380" ht="27" customHeight="1">
      <c r="A380" s="64" t="inlineStr">
        <is>
          <t>SU002150</t>
        </is>
      </c>
      <c r="B380" s="64" t="inlineStr">
        <is>
          <t>P003249</t>
        </is>
      </c>
      <c r="C380" s="37" t="n">
        <v>4301031198</v>
      </c>
      <c r="D380" s="131" t="n">
        <v>4607091383348</v>
      </c>
      <c r="E380" s="376" t="n"/>
      <c r="F380" s="407" t="n">
        <v>0.88</v>
      </c>
      <c r="G380" s="38" t="n">
        <v>6</v>
      </c>
      <c r="H380" s="407" t="n">
        <v>5.28</v>
      </c>
      <c r="I380" s="407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0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/>
      </c>
      <c r="N380" s="409" t="n"/>
      <c r="O380" s="409" t="n"/>
      <c r="P380" s="409" t="n"/>
      <c r="Q380" s="376" t="n"/>
      <c r="R380" s="40" t="inlineStr"/>
      <c r="S380" s="40" t="inlineStr"/>
      <c r="T380" s="41" t="inlineStr">
        <is>
          <t>кг</t>
        </is>
      </c>
      <c r="U380" s="410" t="n">
        <v>0</v>
      </c>
      <c r="V380" s="411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27" customHeight="1">
      <c r="A381" s="64" t="inlineStr">
        <is>
          <t>SU002158</t>
        </is>
      </c>
      <c r="B381" s="64" t="inlineStr">
        <is>
          <t>P003152</t>
        </is>
      </c>
      <c r="C381" s="37" t="n">
        <v>4301031188</v>
      </c>
      <c r="D381" s="131" t="n">
        <v>4607091383386</v>
      </c>
      <c r="E381" s="376" t="n"/>
      <c r="F381" s="407" t="n">
        <v>0.88</v>
      </c>
      <c r="G381" s="38" t="n">
        <v>6</v>
      </c>
      <c r="H381" s="407" t="n">
        <v>5.28</v>
      </c>
      <c r="I381" s="407" t="n">
        <v>5.64</v>
      </c>
      <c r="J381" s="38" t="n">
        <v>104</v>
      </c>
      <c r="K381" s="39" t="inlineStr">
        <is>
          <t>СК2</t>
        </is>
      </c>
      <c r="L381" s="38" t="n">
        <v>55</v>
      </c>
      <c r="M381" s="621">
        <f>HYPERLINK("https://abiproduct.ru/products/Охлажденные/Дугушка/Дугушка/Копченые колбасы/P003152/","В/к колбасы Салями Запеченая Дугушка Весовые Вектор Дугушка")</f>
        <v/>
      </c>
      <c r="N381" s="409" t="n"/>
      <c r="O381" s="409" t="n"/>
      <c r="P381" s="409" t="n"/>
      <c r="Q381" s="376" t="n"/>
      <c r="R381" s="40" t="inlineStr"/>
      <c r="S381" s="40" t="inlineStr"/>
      <c r="T381" s="41" t="inlineStr">
        <is>
          <t>кг</t>
        </is>
      </c>
      <c r="U381" s="410" t="n">
        <v>0</v>
      </c>
      <c r="V381" s="411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</row>
    <row r="382" ht="27" customHeight="1">
      <c r="A382" s="64" t="inlineStr">
        <is>
          <t>SU002151</t>
        </is>
      </c>
      <c r="B382" s="64" t="inlineStr">
        <is>
          <t>P003153</t>
        </is>
      </c>
      <c r="C382" s="37" t="n">
        <v>4301031189</v>
      </c>
      <c r="D382" s="131" t="n">
        <v>4607091383355</v>
      </c>
      <c r="E382" s="376" t="n"/>
      <c r="F382" s="407" t="n">
        <v>0.88</v>
      </c>
      <c r="G382" s="38" t="n">
        <v>6</v>
      </c>
      <c r="H382" s="407" t="n">
        <v>5.28</v>
      </c>
      <c r="I382" s="407" t="n">
        <v>5.64</v>
      </c>
      <c r="J382" s="38" t="n">
        <v>104</v>
      </c>
      <c r="K382" s="39" t="inlineStr">
        <is>
          <t>СК2</t>
        </is>
      </c>
      <c r="L382" s="38" t="n">
        <v>55</v>
      </c>
      <c r="M382" s="622">
        <f>HYPERLINK("https://abiproduct.ru/products/Охлажденные/Дугушка/Дугушка/Копченые колбасы/P003153/","В/к колбасы Сервелат Запеченный Дугушка Вес Вектор Дугушка")</f>
        <v/>
      </c>
      <c r="N382" s="409" t="n"/>
      <c r="O382" s="409" t="n"/>
      <c r="P382" s="409" t="n"/>
      <c r="Q382" s="376" t="n"/>
      <c r="R382" s="40" t="inlineStr"/>
      <c r="S382" s="40" t="inlineStr"/>
      <c r="T382" s="41" t="inlineStr">
        <is>
          <t>кг</t>
        </is>
      </c>
      <c r="U382" s="410" t="n">
        <v>0</v>
      </c>
      <c r="V382" s="411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</row>
    <row r="383" ht="27" customHeight="1">
      <c r="A383" s="64" t="inlineStr">
        <is>
          <t>SU002919</t>
        </is>
      </c>
      <c r="B383" s="64" t="inlineStr">
        <is>
          <t>P003345</t>
        </is>
      </c>
      <c r="C383" s="37" t="n">
        <v>4301031217</v>
      </c>
      <c r="D383" s="131" t="n">
        <v>4680115882102</v>
      </c>
      <c r="E383" s="376" t="n"/>
      <c r="F383" s="407" t="n">
        <v>0.6</v>
      </c>
      <c r="G383" s="38" t="n">
        <v>6</v>
      </c>
      <c r="H383" s="407" t="n">
        <v>3.6</v>
      </c>
      <c r="I383" s="407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623" t="inlineStr">
        <is>
          <t>В/к колбасы "Салями Запеченая" Фикс.вес 0,6 Вектор ТМ "Дугушка"</t>
        </is>
      </c>
      <c r="N383" s="409" t="n"/>
      <c r="O383" s="409" t="n"/>
      <c r="P383" s="409" t="n"/>
      <c r="Q383" s="376" t="n"/>
      <c r="R383" s="40" t="inlineStr"/>
      <c r="S383" s="40" t="inlineStr"/>
      <c r="T383" s="41" t="inlineStr">
        <is>
          <t>кг</t>
        </is>
      </c>
      <c r="U383" s="410" t="n">
        <v>0</v>
      </c>
      <c r="V383" s="411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</row>
    <row r="384" ht="27" customHeight="1">
      <c r="A384" s="64" t="inlineStr">
        <is>
          <t>SU002918</t>
        </is>
      </c>
      <c r="B384" s="64" t="inlineStr">
        <is>
          <t>P003344</t>
        </is>
      </c>
      <c r="C384" s="37" t="n">
        <v>4301031216</v>
      </c>
      <c r="D384" s="131" t="n">
        <v>4680115882096</v>
      </c>
      <c r="E384" s="376" t="n"/>
      <c r="F384" s="407" t="n">
        <v>0.6</v>
      </c>
      <c r="G384" s="38" t="n">
        <v>6</v>
      </c>
      <c r="H384" s="407" t="n">
        <v>3.6</v>
      </c>
      <c r="I384" s="407" t="n">
        <v>3.81</v>
      </c>
      <c r="J384" s="38" t="n">
        <v>120</v>
      </c>
      <c r="K384" s="39" t="inlineStr">
        <is>
          <t>СК2</t>
        </is>
      </c>
      <c r="L384" s="38" t="n">
        <v>55</v>
      </c>
      <c r="M384" s="624" t="inlineStr">
        <is>
          <t>В/к колбасы "Сервелат Запеченный" Фикс.вес 0,6 Вектор ТМ "Дугушка"</t>
        </is>
      </c>
      <c r="N384" s="409" t="n"/>
      <c r="O384" s="409" t="n"/>
      <c r="P384" s="409" t="n"/>
      <c r="Q384" s="376" t="n"/>
      <c r="R384" s="40" t="inlineStr"/>
      <c r="S384" s="40" t="inlineStr"/>
      <c r="T384" s="41" t="inlineStr">
        <is>
          <t>кг</t>
        </is>
      </c>
      <c r="U384" s="410" t="n">
        <v>0</v>
      </c>
      <c r="V384" s="411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</row>
    <row r="385">
      <c r="A385" s="139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412" t="n"/>
      <c r="M385" s="413" t="inlineStr">
        <is>
          <t>Итого</t>
        </is>
      </c>
      <c r="N385" s="384" t="n"/>
      <c r="O385" s="384" t="n"/>
      <c r="P385" s="384" t="n"/>
      <c r="Q385" s="384" t="n"/>
      <c r="R385" s="384" t="n"/>
      <c r="S385" s="385" t="n"/>
      <c r="T385" s="43" t="inlineStr">
        <is>
          <t>кор</t>
        </is>
      </c>
      <c r="U385" s="414">
        <f>IFERROR(U379/H379,"0")+IFERROR(U380/H380,"0")+IFERROR(U381/H381,"0")+IFERROR(U382/H382,"0")+IFERROR(U383/H383,"0")+IFERROR(U384/H384,"0")</f>
        <v/>
      </c>
      <c r="V385" s="414">
        <f>IFERROR(V379/H379,"0")+IFERROR(V380/H380,"0")+IFERROR(V381/H381,"0")+IFERROR(V382/H382,"0")+IFERROR(V383/H383,"0")+IFERROR(V384/H384,"0")</f>
        <v/>
      </c>
      <c r="W385" s="414">
        <f>IFERROR(IF(W379="",0,W379),"0")+IFERROR(IF(W380="",0,W380),"0")+IFERROR(IF(W381="",0,W381),"0")+IFERROR(IF(W382="",0,W382),"0")+IFERROR(IF(W383="",0,W383),"0")+IFERROR(IF(W384="",0,W384),"0")</f>
        <v/>
      </c>
      <c r="X385" s="415" t="n"/>
      <c r="Y385" s="415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412" t="n"/>
      <c r="M386" s="413" t="inlineStr">
        <is>
          <t>Итого</t>
        </is>
      </c>
      <c r="N386" s="384" t="n"/>
      <c r="O386" s="384" t="n"/>
      <c r="P386" s="384" t="n"/>
      <c r="Q386" s="384" t="n"/>
      <c r="R386" s="384" t="n"/>
      <c r="S386" s="385" t="n"/>
      <c r="T386" s="43" t="inlineStr">
        <is>
          <t>кг</t>
        </is>
      </c>
      <c r="U386" s="414">
        <f>IFERROR(SUM(U379:U384),"0")</f>
        <v/>
      </c>
      <c r="V386" s="414">
        <f>IFERROR(SUM(V379:V384),"0")</f>
        <v/>
      </c>
      <c r="W386" s="43" t="n"/>
      <c r="X386" s="415" t="n"/>
      <c r="Y386" s="415" t="n"/>
    </row>
    <row r="387" ht="14.25" customHeight="1">
      <c r="A387" s="130" t="inlineStr">
        <is>
          <t>Сосиски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30" t="n"/>
      <c r="Y387" s="130" t="n"/>
    </row>
    <row r="388" ht="16.5" customHeight="1">
      <c r="A388" s="64" t="inlineStr">
        <is>
          <t>SU002218</t>
        </is>
      </c>
      <c r="B388" s="64" t="inlineStr">
        <is>
          <t>P002854</t>
        </is>
      </c>
      <c r="C388" s="37" t="n">
        <v>4301051230</v>
      </c>
      <c r="D388" s="131" t="n">
        <v>4607091383409</v>
      </c>
      <c r="E388" s="376" t="n"/>
      <c r="F388" s="407" t="n">
        <v>1.3</v>
      </c>
      <c r="G388" s="38" t="n">
        <v>6</v>
      </c>
      <c r="H388" s="407" t="n">
        <v>7.8</v>
      </c>
      <c r="I388" s="407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625">
        <f>HYPERLINK("https://abiproduct.ru/products/Охлажденные/Дугушка/Дугушка/Сосиски/P002854/","Сосиски Молочные Дугушки Дугушка Весовые П/а мгс Дугушка")</f>
        <v/>
      </c>
      <c r="N388" s="409" t="n"/>
      <c r="O388" s="409" t="n"/>
      <c r="P388" s="409" t="n"/>
      <c r="Q388" s="376" t="n"/>
      <c r="R388" s="40" t="inlineStr"/>
      <c r="S388" s="40" t="inlineStr"/>
      <c r="T388" s="41" t="inlineStr">
        <is>
          <t>кг</t>
        </is>
      </c>
      <c r="U388" s="410" t="n">
        <v>0</v>
      </c>
      <c r="V388" s="411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</row>
    <row r="389" ht="16.5" customHeight="1">
      <c r="A389" s="64" t="inlineStr">
        <is>
          <t>SU002219</t>
        </is>
      </c>
      <c r="B389" s="64" t="inlineStr">
        <is>
          <t>P002855</t>
        </is>
      </c>
      <c r="C389" s="37" t="n">
        <v>4301051231</v>
      </c>
      <c r="D389" s="131" t="n">
        <v>4607091383416</v>
      </c>
      <c r="E389" s="376" t="n"/>
      <c r="F389" s="407" t="n">
        <v>1.3</v>
      </c>
      <c r="G389" s="38" t="n">
        <v>6</v>
      </c>
      <c r="H389" s="407" t="n">
        <v>7.8</v>
      </c>
      <c r="I389" s="407" t="n">
        <v>8.346</v>
      </c>
      <c r="J389" s="38" t="n">
        <v>56</v>
      </c>
      <c r="K389" s="39" t="inlineStr">
        <is>
          <t>СК2</t>
        </is>
      </c>
      <c r="L389" s="38" t="n">
        <v>45</v>
      </c>
      <c r="M389" s="626">
        <f>HYPERLINK("https://abiproduct.ru/products/Охлажденные/Дугушка/Дугушка/Сосиски/P002855/","Сосиски Сливочные Дугушки Дугушка Весовые П/а мгс Дугушка")</f>
        <v/>
      </c>
      <c r="N389" s="409" t="n"/>
      <c r="O389" s="409" t="n"/>
      <c r="P389" s="409" t="n"/>
      <c r="Q389" s="376" t="n"/>
      <c r="R389" s="40" t="inlineStr"/>
      <c r="S389" s="40" t="inlineStr"/>
      <c r="T389" s="41" t="inlineStr">
        <is>
          <t>кг</t>
        </is>
      </c>
      <c r="U389" s="410" t="n">
        <v>160</v>
      </c>
      <c r="V389" s="411">
        <f>IFERROR(IF(U389="",0,CEILING((U389/$H389),1)*$H389),"")</f>
        <v/>
      </c>
      <c r="W389" s="42">
        <f>IFERROR(IF(V389=0,"",ROUNDUP(V389/H389,0)*0.02175),"")</f>
        <v/>
      </c>
      <c r="X389" s="69" t="inlineStr"/>
      <c r="Y389" s="70" t="inlineStr"/>
    </row>
    <row r="390">
      <c r="A390" s="13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412" t="n"/>
      <c r="M390" s="413" t="inlineStr">
        <is>
          <t>Итого</t>
        </is>
      </c>
      <c r="N390" s="384" t="n"/>
      <c r="O390" s="384" t="n"/>
      <c r="P390" s="384" t="n"/>
      <c r="Q390" s="384" t="n"/>
      <c r="R390" s="384" t="n"/>
      <c r="S390" s="385" t="n"/>
      <c r="T390" s="43" t="inlineStr">
        <is>
          <t>кор</t>
        </is>
      </c>
      <c r="U390" s="414">
        <f>IFERROR(U388/H388,"0")+IFERROR(U389/H389,"0")</f>
        <v/>
      </c>
      <c r="V390" s="414">
        <f>IFERROR(V388/H388,"0")+IFERROR(V389/H389,"0")</f>
        <v/>
      </c>
      <c r="W390" s="414">
        <f>IFERROR(IF(W388="",0,W388),"0")+IFERROR(IF(W389="",0,W389),"0")</f>
        <v/>
      </c>
      <c r="X390" s="415" t="n"/>
      <c r="Y390" s="415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2" t="n"/>
      <c r="M391" s="413" t="inlineStr">
        <is>
          <t>Итого</t>
        </is>
      </c>
      <c r="N391" s="384" t="n"/>
      <c r="O391" s="384" t="n"/>
      <c r="P391" s="384" t="n"/>
      <c r="Q391" s="384" t="n"/>
      <c r="R391" s="384" t="n"/>
      <c r="S391" s="385" t="n"/>
      <c r="T391" s="43" t="inlineStr">
        <is>
          <t>кг</t>
        </is>
      </c>
      <c r="U391" s="414">
        <f>IFERROR(SUM(U388:U389),"0")</f>
        <v/>
      </c>
      <c r="V391" s="414">
        <f>IFERROR(SUM(V388:V389),"0")</f>
        <v/>
      </c>
      <c r="W391" s="43" t="n"/>
      <c r="X391" s="415" t="n"/>
      <c r="Y391" s="415" t="n"/>
    </row>
    <row r="392" ht="27.75" customHeight="1">
      <c r="A392" s="128" t="inlineStr">
        <is>
          <t>Зареченские</t>
        </is>
      </c>
      <c r="B392" s="406" t="n"/>
      <c r="C392" s="406" t="n"/>
      <c r="D392" s="406" t="n"/>
      <c r="E392" s="406" t="n"/>
      <c r="F392" s="406" t="n"/>
      <c r="G392" s="406" t="n"/>
      <c r="H392" s="406" t="n"/>
      <c r="I392" s="406" t="n"/>
      <c r="J392" s="406" t="n"/>
      <c r="K392" s="406" t="n"/>
      <c r="L392" s="406" t="n"/>
      <c r="M392" s="406" t="n"/>
      <c r="N392" s="406" t="n"/>
      <c r="O392" s="406" t="n"/>
      <c r="P392" s="406" t="n"/>
      <c r="Q392" s="406" t="n"/>
      <c r="R392" s="406" t="n"/>
      <c r="S392" s="406" t="n"/>
      <c r="T392" s="406" t="n"/>
      <c r="U392" s="406" t="n"/>
      <c r="V392" s="406" t="n"/>
      <c r="W392" s="406" t="n"/>
      <c r="X392" s="55" t="n"/>
      <c r="Y392" s="55" t="n"/>
    </row>
    <row r="393" ht="16.5" customHeight="1">
      <c r="A393" s="129" t="inlineStr">
        <is>
          <t>Зареченские продукты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29" t="n"/>
      <c r="Y393" s="129" t="n"/>
    </row>
    <row r="394" ht="14.25" customHeight="1">
      <c r="A394" s="130" t="inlineStr">
        <is>
          <t>Вареные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30" t="n"/>
      <c r="Y394" s="130" t="n"/>
    </row>
    <row r="395" ht="27" customHeight="1">
      <c r="A395" s="64" t="inlineStr">
        <is>
          <t>SU002807</t>
        </is>
      </c>
      <c r="B395" s="64" t="inlineStr">
        <is>
          <t>P003210</t>
        </is>
      </c>
      <c r="C395" s="37" t="n">
        <v>4301011434</v>
      </c>
      <c r="D395" s="131" t="n">
        <v>4680115881099</v>
      </c>
      <c r="E395" s="376" t="n"/>
      <c r="F395" s="407" t="n">
        <v>1.5</v>
      </c>
      <c r="G395" s="38" t="n">
        <v>8</v>
      </c>
      <c r="H395" s="407" t="n">
        <v>12</v>
      </c>
      <c r="I395" s="407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627" t="inlineStr">
        <is>
          <t>Вареные колбасы "Муромская" Весовой п/а ТМ "Зареченские"</t>
        </is>
      </c>
      <c r="N395" s="409" t="n"/>
      <c r="O395" s="409" t="n"/>
      <c r="P395" s="409" t="n"/>
      <c r="Q395" s="376" t="n"/>
      <c r="R395" s="40" t="inlineStr"/>
      <c r="S395" s="40" t="inlineStr"/>
      <c r="T395" s="41" t="inlineStr">
        <is>
          <t>кг</t>
        </is>
      </c>
      <c r="U395" s="410" t="n">
        <v>0</v>
      </c>
      <c r="V395" s="411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 ht="27" customHeight="1">
      <c r="A396" s="64" t="inlineStr">
        <is>
          <t>SU002808</t>
        </is>
      </c>
      <c r="B396" s="64" t="inlineStr">
        <is>
          <t>P003214</t>
        </is>
      </c>
      <c r="C396" s="37" t="n">
        <v>4301011435</v>
      </c>
      <c r="D396" s="131" t="n">
        <v>4680115881150</v>
      </c>
      <c r="E396" s="376" t="n"/>
      <c r="F396" s="407" t="n">
        <v>1.5</v>
      </c>
      <c r="G396" s="38" t="n">
        <v>8</v>
      </c>
      <c r="H396" s="407" t="n">
        <v>12</v>
      </c>
      <c r="I396" s="407" t="n">
        <v>12.48</v>
      </c>
      <c r="J396" s="38" t="n">
        <v>56</v>
      </c>
      <c r="K396" s="39" t="inlineStr">
        <is>
          <t>СК1</t>
        </is>
      </c>
      <c r="L396" s="38" t="n">
        <v>50</v>
      </c>
      <c r="M396" s="628" t="inlineStr">
        <is>
          <t>Вареные колбасы "Нежная" НТУ Весовые П/а ТМ "Зареченские"</t>
        </is>
      </c>
      <c r="N396" s="409" t="n"/>
      <c r="O396" s="409" t="n"/>
      <c r="P396" s="409" t="n"/>
      <c r="Q396" s="376" t="n"/>
      <c r="R396" s="40" t="inlineStr"/>
      <c r="S396" s="40" t="inlineStr"/>
      <c r="T396" s="41" t="inlineStr">
        <is>
          <t>кг</t>
        </is>
      </c>
      <c r="U396" s="410" t="n">
        <v>0</v>
      </c>
      <c r="V396" s="411">
        <f>IFERROR(IF(U396="",0,CEILING((U396/$H396),1)*$H396),"")</f>
        <v/>
      </c>
      <c r="W396" s="42">
        <f>IFERROR(IF(V396=0,"",ROUNDUP(V396/H396,0)*0.02175),"")</f>
        <v/>
      </c>
      <c r="X396" s="69" t="inlineStr"/>
      <c r="Y396" s="70" t="inlineStr"/>
    </row>
    <row r="397">
      <c r="A397" s="139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2" t="n"/>
      <c r="M397" s="413" t="inlineStr">
        <is>
          <t>Итого</t>
        </is>
      </c>
      <c r="N397" s="384" t="n"/>
      <c r="O397" s="384" t="n"/>
      <c r="P397" s="384" t="n"/>
      <c r="Q397" s="384" t="n"/>
      <c r="R397" s="384" t="n"/>
      <c r="S397" s="385" t="n"/>
      <c r="T397" s="43" t="inlineStr">
        <is>
          <t>кор</t>
        </is>
      </c>
      <c r="U397" s="414">
        <f>IFERROR(U395/H395,"0")+IFERROR(U396/H396,"0")</f>
        <v/>
      </c>
      <c r="V397" s="414">
        <f>IFERROR(V395/H395,"0")+IFERROR(V396/H396,"0")</f>
        <v/>
      </c>
      <c r="W397" s="414">
        <f>IFERROR(IF(W395="",0,W395),"0")+IFERROR(IF(W396="",0,W396),"0")</f>
        <v/>
      </c>
      <c r="X397" s="415" t="n"/>
      <c r="Y397" s="415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412" t="n"/>
      <c r="M398" s="413" t="inlineStr">
        <is>
          <t>Итого</t>
        </is>
      </c>
      <c r="N398" s="384" t="n"/>
      <c r="O398" s="384" t="n"/>
      <c r="P398" s="384" t="n"/>
      <c r="Q398" s="384" t="n"/>
      <c r="R398" s="384" t="n"/>
      <c r="S398" s="385" t="n"/>
      <c r="T398" s="43" t="inlineStr">
        <is>
          <t>кг</t>
        </is>
      </c>
      <c r="U398" s="414">
        <f>IFERROR(SUM(U395:U396),"0")</f>
        <v/>
      </c>
      <c r="V398" s="414">
        <f>IFERROR(SUM(V395:V396),"0")</f>
        <v/>
      </c>
      <c r="W398" s="43" t="n"/>
      <c r="X398" s="415" t="n"/>
      <c r="Y398" s="415" t="n"/>
    </row>
    <row r="399" ht="14.25" customHeight="1">
      <c r="A399" s="130" t="inlineStr">
        <is>
          <t>Ветчины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30" t="n"/>
      <c r="Y399" s="130" t="n"/>
    </row>
    <row r="400" ht="16.5" customHeight="1">
      <c r="A400" s="64" t="inlineStr">
        <is>
          <t>SU002806</t>
        </is>
      </c>
      <c r="B400" s="64" t="inlineStr">
        <is>
          <t>P003207</t>
        </is>
      </c>
      <c r="C400" s="37" t="n">
        <v>4301020230</v>
      </c>
      <c r="D400" s="131" t="n">
        <v>4680115881112</v>
      </c>
      <c r="E400" s="376" t="n"/>
      <c r="F400" s="407" t="n">
        <v>1.35</v>
      </c>
      <c r="G400" s="38" t="n">
        <v>8</v>
      </c>
      <c r="H400" s="407" t="n">
        <v>10.8</v>
      </c>
      <c r="I400" s="407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629" t="inlineStr">
        <is>
          <t>Ветчины "Нежная" Весовой п/а ТМ "Зареченские"</t>
        </is>
      </c>
      <c r="N400" s="409" t="n"/>
      <c r="O400" s="409" t="n"/>
      <c r="P400" s="409" t="n"/>
      <c r="Q400" s="376" t="n"/>
      <c r="R400" s="40" t="inlineStr"/>
      <c r="S400" s="40" t="inlineStr"/>
      <c r="T400" s="41" t="inlineStr">
        <is>
          <t>кг</t>
        </is>
      </c>
      <c r="U400" s="410" t="n">
        <v>0</v>
      </c>
      <c r="V400" s="411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</row>
    <row r="401" ht="27" customHeight="1">
      <c r="A401" s="64" t="inlineStr">
        <is>
          <t>SU002811</t>
        </is>
      </c>
      <c r="B401" s="64" t="inlineStr">
        <is>
          <t>P003208</t>
        </is>
      </c>
      <c r="C401" s="37" t="n">
        <v>4301020231</v>
      </c>
      <c r="D401" s="131" t="n">
        <v>4680115881129</v>
      </c>
      <c r="E401" s="376" t="n"/>
      <c r="F401" s="407" t="n">
        <v>1.8</v>
      </c>
      <c r="G401" s="38" t="n">
        <v>6</v>
      </c>
      <c r="H401" s="407" t="n">
        <v>10.8</v>
      </c>
      <c r="I401" s="407" t="n">
        <v>11.28</v>
      </c>
      <c r="J401" s="38" t="n">
        <v>56</v>
      </c>
      <c r="K401" s="39" t="inlineStr">
        <is>
          <t>СК1</t>
        </is>
      </c>
      <c r="L401" s="38" t="n">
        <v>50</v>
      </c>
      <c r="M401" s="630" t="inlineStr">
        <is>
          <t>Ветчины "Нежная" Весовой п/а ТМ "Зареченские" большой батон</t>
        </is>
      </c>
      <c r="N401" s="409" t="n"/>
      <c r="O401" s="409" t="n"/>
      <c r="P401" s="409" t="n"/>
      <c r="Q401" s="376" t="n"/>
      <c r="R401" s="40" t="inlineStr"/>
      <c r="S401" s="40" t="inlineStr"/>
      <c r="T401" s="41" t="inlineStr">
        <is>
          <t>кг</t>
        </is>
      </c>
      <c r="U401" s="410" t="n">
        <v>0</v>
      </c>
      <c r="V401" s="411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>
      <c r="A402" s="139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412" t="n"/>
      <c r="M402" s="413" t="inlineStr">
        <is>
          <t>Итого</t>
        </is>
      </c>
      <c r="N402" s="384" t="n"/>
      <c r="O402" s="384" t="n"/>
      <c r="P402" s="384" t="n"/>
      <c r="Q402" s="384" t="n"/>
      <c r="R402" s="384" t="n"/>
      <c r="S402" s="385" t="n"/>
      <c r="T402" s="43" t="inlineStr">
        <is>
          <t>кор</t>
        </is>
      </c>
      <c r="U402" s="414">
        <f>IFERROR(U400/H400,"0")+IFERROR(U401/H401,"0")</f>
        <v/>
      </c>
      <c r="V402" s="414">
        <f>IFERROR(V400/H400,"0")+IFERROR(V401/H401,"0")</f>
        <v/>
      </c>
      <c r="W402" s="414">
        <f>IFERROR(IF(W400="",0,W400),"0")+IFERROR(IF(W401="",0,W401),"0")</f>
        <v/>
      </c>
      <c r="X402" s="415" t="n"/>
      <c r="Y402" s="415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2" t="n"/>
      <c r="M403" s="413" t="inlineStr">
        <is>
          <t>Итого</t>
        </is>
      </c>
      <c r="N403" s="384" t="n"/>
      <c r="O403" s="384" t="n"/>
      <c r="P403" s="384" t="n"/>
      <c r="Q403" s="384" t="n"/>
      <c r="R403" s="384" t="n"/>
      <c r="S403" s="385" t="n"/>
      <c r="T403" s="43" t="inlineStr">
        <is>
          <t>кг</t>
        </is>
      </c>
      <c r="U403" s="414">
        <f>IFERROR(SUM(U400:U401),"0")</f>
        <v/>
      </c>
      <c r="V403" s="414">
        <f>IFERROR(SUM(V400:V401),"0")</f>
        <v/>
      </c>
      <c r="W403" s="43" t="n"/>
      <c r="X403" s="415" t="n"/>
      <c r="Y403" s="415" t="n"/>
    </row>
    <row r="404" ht="14.25" customHeight="1">
      <c r="A404" s="130" t="inlineStr">
        <is>
          <t>Копченые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30" t="n"/>
      <c r="Y404" s="130" t="n"/>
    </row>
    <row r="405" ht="27" customHeight="1">
      <c r="A405" s="64" t="inlineStr">
        <is>
          <t>SU002805</t>
        </is>
      </c>
      <c r="B405" s="64" t="inlineStr">
        <is>
          <t>P003206</t>
        </is>
      </c>
      <c r="C405" s="37" t="n">
        <v>4301031192</v>
      </c>
      <c r="D405" s="131" t="n">
        <v>4680115881167</v>
      </c>
      <c r="E405" s="376" t="n"/>
      <c r="F405" s="407" t="n">
        <v>0.63</v>
      </c>
      <c r="G405" s="38" t="n">
        <v>6</v>
      </c>
      <c r="H405" s="407" t="n">
        <v>3.78</v>
      </c>
      <c r="I405" s="407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631" t="inlineStr">
        <is>
          <t>Копченые колбасы Пражский Зареченские продукты Весовой фиброуз Зареченские</t>
        </is>
      </c>
      <c r="N405" s="409" t="n"/>
      <c r="O405" s="409" t="n"/>
      <c r="P405" s="409" t="n"/>
      <c r="Q405" s="376" t="n"/>
      <c r="R405" s="40" t="inlineStr"/>
      <c r="S405" s="40" t="inlineStr"/>
      <c r="T405" s="41" t="inlineStr">
        <is>
          <t>кг</t>
        </is>
      </c>
      <c r="U405" s="410" t="n">
        <v>330</v>
      </c>
      <c r="V405" s="411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</row>
    <row r="406" ht="16.5" customHeight="1">
      <c r="A406" s="64" t="inlineStr">
        <is>
          <t>SU002809</t>
        </is>
      </c>
      <c r="B406" s="64" t="inlineStr">
        <is>
          <t>P003216</t>
        </is>
      </c>
      <c r="C406" s="37" t="n">
        <v>4301031193</v>
      </c>
      <c r="D406" s="131" t="n">
        <v>4680115881136</v>
      </c>
      <c r="E406" s="376" t="n"/>
      <c r="F406" s="407" t="n">
        <v>0.63</v>
      </c>
      <c r="G406" s="38" t="n">
        <v>6</v>
      </c>
      <c r="H406" s="407" t="n">
        <v>3.78</v>
      </c>
      <c r="I406" s="407" t="n">
        <v>4.04</v>
      </c>
      <c r="J406" s="38" t="n">
        <v>156</v>
      </c>
      <c r="K406" s="39" t="inlineStr">
        <is>
          <t>СК2</t>
        </is>
      </c>
      <c r="L406" s="38" t="n">
        <v>40</v>
      </c>
      <c r="M406" s="632" t="inlineStr">
        <is>
          <t>В/к колбасы "Рижский" НТУ Весовые Фиброуз в/у ТМ "Зареченские"</t>
        </is>
      </c>
      <c r="N406" s="409" t="n"/>
      <c r="O406" s="409" t="n"/>
      <c r="P406" s="409" t="n"/>
      <c r="Q406" s="376" t="n"/>
      <c r="R406" s="40" t="inlineStr"/>
      <c r="S406" s="40" t="inlineStr"/>
      <c r="T406" s="41" t="inlineStr">
        <is>
          <t>кг</t>
        </is>
      </c>
      <c r="U406" s="410" t="n">
        <v>290</v>
      </c>
      <c r="V406" s="411">
        <f>IFERROR(IF(U406="",0,CEILING((U406/$H406),1)*$H406),"")</f>
        <v/>
      </c>
      <c r="W406" s="42">
        <f>IFERROR(IF(V406=0,"",ROUNDUP(V406/H406,0)*0.00753),"")</f>
        <v/>
      </c>
      <c r="X406" s="69" t="inlineStr"/>
      <c r="Y406" s="70" t="inlineStr"/>
    </row>
    <row r="407">
      <c r="A407" s="139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412" t="n"/>
      <c r="M407" s="413" t="inlineStr">
        <is>
          <t>Итого</t>
        </is>
      </c>
      <c r="N407" s="384" t="n"/>
      <c r="O407" s="384" t="n"/>
      <c r="P407" s="384" t="n"/>
      <c r="Q407" s="384" t="n"/>
      <c r="R407" s="384" t="n"/>
      <c r="S407" s="385" t="n"/>
      <c r="T407" s="43" t="inlineStr">
        <is>
          <t>кор</t>
        </is>
      </c>
      <c r="U407" s="414">
        <f>IFERROR(U405/H405,"0")+IFERROR(U406/H406,"0")</f>
        <v/>
      </c>
      <c r="V407" s="414">
        <f>IFERROR(V405/H405,"0")+IFERROR(V406/H406,"0")</f>
        <v/>
      </c>
      <c r="W407" s="414">
        <f>IFERROR(IF(W405="",0,W405),"0")+IFERROR(IF(W406="",0,W406),"0")</f>
        <v/>
      </c>
      <c r="X407" s="415" t="n"/>
      <c r="Y407" s="415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2" t="n"/>
      <c r="M408" s="413" t="inlineStr">
        <is>
          <t>Итого</t>
        </is>
      </c>
      <c r="N408" s="384" t="n"/>
      <c r="O408" s="384" t="n"/>
      <c r="P408" s="384" t="n"/>
      <c r="Q408" s="384" t="n"/>
      <c r="R408" s="384" t="n"/>
      <c r="S408" s="385" t="n"/>
      <c r="T408" s="43" t="inlineStr">
        <is>
          <t>кг</t>
        </is>
      </c>
      <c r="U408" s="414">
        <f>IFERROR(SUM(U405:U406),"0")</f>
        <v/>
      </c>
      <c r="V408" s="414">
        <f>IFERROR(SUM(V405:V406),"0")</f>
        <v/>
      </c>
      <c r="W408" s="43" t="n"/>
      <c r="X408" s="415" t="n"/>
      <c r="Y408" s="415" t="n"/>
    </row>
    <row r="409" ht="14.25" customHeight="1">
      <c r="A409" s="130" t="inlineStr">
        <is>
          <t>Сосиски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30" t="n"/>
      <c r="Y409" s="130" t="n"/>
    </row>
    <row r="410" ht="27" customHeight="1">
      <c r="A410" s="64" t="inlineStr">
        <is>
          <t>SU002810</t>
        </is>
      </c>
      <c r="B410" s="64" t="inlineStr">
        <is>
          <t>P003215</t>
        </is>
      </c>
      <c r="C410" s="37" t="n">
        <v>4301051383</v>
      </c>
      <c r="D410" s="131" t="n">
        <v>4680115881143</v>
      </c>
      <c r="E410" s="376" t="n"/>
      <c r="F410" s="407" t="n">
        <v>1.3</v>
      </c>
      <c r="G410" s="38" t="n">
        <v>6</v>
      </c>
      <c r="H410" s="407" t="n">
        <v>7.8</v>
      </c>
      <c r="I410" s="407" t="n">
        <v>8.364000000000001</v>
      </c>
      <c r="J410" s="38" t="n">
        <v>56</v>
      </c>
      <c r="K410" s="39" t="inlineStr">
        <is>
          <t>СК2</t>
        </is>
      </c>
      <c r="L410" s="38" t="n">
        <v>40</v>
      </c>
      <c r="M410" s="633" t="inlineStr">
        <is>
          <t>Сосиски "Датские" НТУ Весовые П/а мгс ТМ "Зареченские"</t>
        </is>
      </c>
      <c r="N410" s="409" t="n"/>
      <c r="O410" s="409" t="n"/>
      <c r="P410" s="409" t="n"/>
      <c r="Q410" s="376" t="n"/>
      <c r="R410" s="40" t="inlineStr"/>
      <c r="S410" s="40" t="inlineStr"/>
      <c r="T410" s="41" t="inlineStr">
        <is>
          <t>кг</t>
        </is>
      </c>
      <c r="U410" s="410" t="n">
        <v>2250</v>
      </c>
      <c r="V410" s="411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</row>
    <row r="411" ht="27" customHeight="1">
      <c r="A411" s="64" t="inlineStr">
        <is>
          <t>SU002803</t>
        </is>
      </c>
      <c r="B411" s="64" t="inlineStr">
        <is>
          <t>P003204</t>
        </is>
      </c>
      <c r="C411" s="37" t="n">
        <v>4301051381</v>
      </c>
      <c r="D411" s="131" t="n">
        <v>4680115881068</v>
      </c>
      <c r="E411" s="376" t="n"/>
      <c r="F411" s="407" t="n">
        <v>1.3</v>
      </c>
      <c r="G411" s="38" t="n">
        <v>6</v>
      </c>
      <c r="H411" s="407" t="n">
        <v>7.8</v>
      </c>
      <c r="I411" s="407" t="n">
        <v>8.279999999999999</v>
      </c>
      <c r="J411" s="38" t="n">
        <v>56</v>
      </c>
      <c r="K411" s="39" t="inlineStr">
        <is>
          <t>СК2</t>
        </is>
      </c>
      <c r="L411" s="38" t="n">
        <v>30</v>
      </c>
      <c r="M411" s="634" t="inlineStr">
        <is>
          <t>Сосиски "Сочные" Весовой п/а ТМ "Зареченские"</t>
        </is>
      </c>
      <c r="N411" s="409" t="n"/>
      <c r="O411" s="409" t="n"/>
      <c r="P411" s="409" t="n"/>
      <c r="Q411" s="376" t="n"/>
      <c r="R411" s="40" t="inlineStr"/>
      <c r="S411" s="40" t="inlineStr"/>
      <c r="T411" s="41" t="inlineStr">
        <is>
          <t>кг</t>
        </is>
      </c>
      <c r="U411" s="410" t="n">
        <v>0</v>
      </c>
      <c r="V411" s="411">
        <f>IFERROR(IF(U411="",0,CEILING((U411/$H411),1)*$H411),"")</f>
        <v/>
      </c>
      <c r="W411" s="42">
        <f>IFERROR(IF(V411=0,"",ROUNDUP(V411/H411,0)*0.02175),"")</f>
        <v/>
      </c>
      <c r="X411" s="69" t="inlineStr"/>
      <c r="Y411" s="70" t="inlineStr"/>
    </row>
    <row r="412" ht="27" customHeight="1">
      <c r="A412" s="64" t="inlineStr">
        <is>
          <t>SU002804</t>
        </is>
      </c>
      <c r="B412" s="64" t="inlineStr">
        <is>
          <t>P003205</t>
        </is>
      </c>
      <c r="C412" s="37" t="n">
        <v>4301051382</v>
      </c>
      <c r="D412" s="131" t="n">
        <v>4680115881075</v>
      </c>
      <c r="E412" s="376" t="n"/>
      <c r="F412" s="407" t="n">
        <v>0.5</v>
      </c>
      <c r="G412" s="38" t="n">
        <v>6</v>
      </c>
      <c r="H412" s="407" t="n">
        <v>3</v>
      </c>
      <c r="I412" s="407" t="n">
        <v>3.2</v>
      </c>
      <c r="J412" s="38" t="n">
        <v>156</v>
      </c>
      <c r="K412" s="39" t="inlineStr">
        <is>
          <t>СК2</t>
        </is>
      </c>
      <c r="L412" s="38" t="n">
        <v>30</v>
      </c>
      <c r="M412" s="635" t="inlineStr">
        <is>
          <t>Сосиски "Сочные" Фикс.вес 0,5 п/а ТМ "Зареченские"</t>
        </is>
      </c>
      <c r="N412" s="409" t="n"/>
      <c r="O412" s="409" t="n"/>
      <c r="P412" s="409" t="n"/>
      <c r="Q412" s="376" t="n"/>
      <c r="R412" s="40" t="inlineStr"/>
      <c r="S412" s="40" t="inlineStr"/>
      <c r="T412" s="41" t="inlineStr">
        <is>
          <t>кг</t>
        </is>
      </c>
      <c r="U412" s="410" t="n">
        <v>0</v>
      </c>
      <c r="V412" s="411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2" t="n"/>
      <c r="M413" s="413" t="inlineStr">
        <is>
          <t>Итого</t>
        </is>
      </c>
      <c r="N413" s="384" t="n"/>
      <c r="O413" s="384" t="n"/>
      <c r="P413" s="384" t="n"/>
      <c r="Q413" s="384" t="n"/>
      <c r="R413" s="384" t="n"/>
      <c r="S413" s="385" t="n"/>
      <c r="T413" s="43" t="inlineStr">
        <is>
          <t>кор</t>
        </is>
      </c>
      <c r="U413" s="414">
        <f>IFERROR(U410/H410,"0")+IFERROR(U411/H411,"0")+IFERROR(U412/H412,"0")</f>
        <v/>
      </c>
      <c r="V413" s="414">
        <f>IFERROR(V410/H410,"0")+IFERROR(V411/H411,"0")+IFERROR(V412/H412,"0")</f>
        <v/>
      </c>
      <c r="W413" s="414">
        <f>IFERROR(IF(W410="",0,W410),"0")+IFERROR(IF(W411="",0,W411),"0")+IFERROR(IF(W412="",0,W412),"0")</f>
        <v/>
      </c>
      <c r="X413" s="415" t="n"/>
      <c r="Y413" s="415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2" t="n"/>
      <c r="M414" s="413" t="inlineStr">
        <is>
          <t>Итого</t>
        </is>
      </c>
      <c r="N414" s="384" t="n"/>
      <c r="O414" s="384" t="n"/>
      <c r="P414" s="384" t="n"/>
      <c r="Q414" s="384" t="n"/>
      <c r="R414" s="384" t="n"/>
      <c r="S414" s="385" t="n"/>
      <c r="T414" s="43" t="inlineStr">
        <is>
          <t>кг</t>
        </is>
      </c>
      <c r="U414" s="414">
        <f>IFERROR(SUM(U410:U412),"0")</f>
        <v/>
      </c>
      <c r="V414" s="414">
        <f>IFERROR(SUM(V410:V412),"0")</f>
        <v/>
      </c>
      <c r="W414" s="43" t="n"/>
      <c r="X414" s="415" t="n"/>
      <c r="Y414" s="415" t="n"/>
    </row>
    <row r="415" ht="15" customHeight="1">
      <c r="A415" s="36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373" t="n"/>
      <c r="M415" s="636" t="inlineStr">
        <is>
          <t>ИТОГО НЕТТО</t>
        </is>
      </c>
      <c r="N415" s="367" t="n"/>
      <c r="O415" s="367" t="n"/>
      <c r="P415" s="367" t="n"/>
      <c r="Q415" s="367" t="n"/>
      <c r="R415" s="367" t="n"/>
      <c r="S415" s="368" t="n"/>
      <c r="T415" s="43" t="inlineStr">
        <is>
          <t>кг</t>
        </is>
      </c>
      <c r="U415" s="414">
        <f>IFERROR(U24+U33+U38+U42+U46+U52+U59+U77+U86+U98+U108+U115+U123+U131+U150+U155+U174+U198+U207+U213+U220+U231+U236+U242+U248+U252+U256+U260+U273+U278+U283+U287+U291+U299+U304+U311+U315+U322+U332+U339+U343+U349+U357+U372+U377+U386+U391+U398+U403+U408+U414,"0")</f>
        <v/>
      </c>
      <c r="V415" s="414">
        <f>IFERROR(V24+V33+V38+V42+V46+V52+V59+V77+V86+V98+V108+V115+V123+V131+V150+V155+V174+V198+V207+V213+V220+V231+V236+V242+V248+V252+V256+V260+V273+V278+V283+V287+V291+V299+V304+V311+V315+V322+V332+V339+V343+V349+V357+V372+V377+V386+V391+V398+V403+V408+V414,"0")</f>
        <v/>
      </c>
      <c r="W415" s="43" t="n"/>
      <c r="X415" s="415" t="n"/>
      <c r="Y415" s="415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373" t="n"/>
      <c r="M416" s="636" t="inlineStr">
        <is>
          <t>ИТОГО БРУТТО</t>
        </is>
      </c>
      <c r="N416" s="367" t="n"/>
      <c r="O416" s="367" t="n"/>
      <c r="P416" s="367" t="n"/>
      <c r="Q416" s="367" t="n"/>
      <c r="R416" s="367" t="n"/>
      <c r="S416" s="368" t="n"/>
      <c r="T416" s="43" t="inlineStr">
        <is>
          <t>кг</t>
        </is>
      </c>
      <c r="U416" s="41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152*I152/H152,"0")+IFERROR(U153*I153/H153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200*I200/H200,"0")+IFERROR(U201*I201/H201,"0")+IFERROR(U202*I202/H202,"0")+IFERROR(U203*I203/H203,"0")+IFERROR(U204*I204/H204,"0")+IFERROR(U205*I205/H205,"0")+IFERROR(U209*I209/H209,"0")+IFERROR(U210*I210/H210,"0")+IFERROR(U211*I211/H211,"0")+IFERROR(U215*I215/H215,"0")+IFERROR(U216*I216/H216,"0")+IFERROR(U217*I217/H217,"0")+IFERROR(U218*I218/H218,"0")+IFERROR(U223*I223/H223,"0")+IFERROR(U224*I224/H224,"0")+IFERROR(U225*I225/H225,"0")+IFERROR(U226*I226/H226,"0")+IFERROR(U227*I227/H227,"0")+IFERROR(U228*I228/H228,"0")+IFERROR(U229*I229/H229,"0")+IFERROR(U233*I233/H233,"0")+IFERROR(U234*I234/H234,"0")+IFERROR(U239*I239/H239,"0")+IFERROR(U240*I240/H240,"0")+IFERROR(U244*I244/H244,"0")+IFERROR(U245*I245/H245,"0")+IFERROR(U246*I246/H246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367*I367/H367,"0")+IFERROR(U368*I368/H368,"0")+IFERROR(U369*I369/H369,"0")+IFERROR(U370*I370/H370,"0")+IFERROR(U374*I374/H374,"0")+IFERROR(U375*I375/H375,"0")+IFERROR(U379*I379/H379,"0")+IFERROR(U380*I380/H380,"0")+IFERROR(U381*I381/H381,"0")+IFERROR(U382*I382/H382,"0")+IFERROR(U383*I383/H383,"0")+IFERROR(U384*I384/H384,"0")+IFERROR(U388*I388/H388,"0")+IFERROR(U389*I389/H389,"0")+IFERROR(U395*I395/H395,"0")+IFERROR(U396*I396/H396,"0")+IFERROR(U400*I400/H400,"0")+IFERROR(U401*I401/H401,"0")+IFERROR(U405*I405/H405,"0")+IFERROR(U406*I406/H406,"0")+IFERROR(U410*I410/H410,"0")+IFERROR(U411*I411/H411,"0")+IFERROR(U412*I412/H412,"0"),"0")</f>
        <v/>
      </c>
      <c r="V416" s="41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152*I152/H152,"0")+IFERROR(V153*I153/H153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204*I204/H204,"0")+IFERROR(V205*I205/H205,"0")+IFERROR(V209*I209/H209,"0")+IFERROR(V210*I210/H210,"0")+IFERROR(V211*I211/H211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233*I233/H233,"0")+IFERROR(V234*I234/H234,"0")+IFERROR(V239*I239/H239,"0")+IFERROR(V240*I240/H240,"0")+IFERROR(V244*I244/H244,"0")+IFERROR(V245*I245/H245,"0")+IFERROR(V246*I246/H246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379*I379/H379,"0")+IFERROR(V380*I380/H380,"0")+IFERROR(V381*I381/H381,"0")+IFERROR(V382*I382/H382,"0")+IFERROR(V383*I383/H383,"0")+IFERROR(V384*I384/H384,"0")+IFERROR(V388*I388/H388,"0")+IFERROR(V389*I389/H389,"0")+IFERROR(V395*I395/H395,"0")+IFERROR(V396*I396/H396,"0")+IFERROR(V400*I400/H400,"0")+IFERROR(V401*I401/H401,"0")+IFERROR(V405*I405/H405,"0")+IFERROR(V406*I406/H406,"0")+IFERROR(V410*I410/H410,"0")+IFERROR(V411*I411/H411,"0")+IFERROR(V412*I412/H412,"0"),"0")</f>
        <v/>
      </c>
      <c r="W416" s="43" t="n"/>
      <c r="X416" s="415" t="n"/>
      <c r="Y416" s="415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373" t="n"/>
      <c r="M417" s="636" t="inlineStr">
        <is>
          <t>Кол-во паллет</t>
        </is>
      </c>
      <c r="N417" s="367" t="n"/>
      <c r="O417" s="367" t="n"/>
      <c r="P417" s="367" t="n"/>
      <c r="Q417" s="367" t="n"/>
      <c r="R417" s="367" t="n"/>
      <c r="S417" s="368" t="n"/>
      <c r="T417" s="43" t="inlineStr">
        <is>
          <t>шт</t>
        </is>
      </c>
      <c r="U417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148*(U134:U148/H134:H148)),"0")+IFERROR(SUMPRODUCT(1/J152:J153*(U152:U153/H152:H153)),"0")+IFERROR(SUMPRODUCT(1/J157:J172*(U157:U172/H157:H172)),"0")+IFERROR(SUMPRODUCT(1/J176:J196*(U176:U196/H176:H196)),"0")+IFERROR(SUMPRODUCT(1/J200:J205*(U200:U205/H200:H205)),"0")+IFERROR(SUMPRODUCT(1/J209:J211*(U209:U211/H209:H211)),"0")+IFERROR(SUMPRODUCT(1/J215:J218*(U215:U218/H215:H218)),"0")+IFERROR(SUMPRODUCT(1/J223:J229*(U223:U229/H223:H229)),"0")+IFERROR(SUMPRODUCT(1/J233:J234*(U233:U234/H233:H234)),"0")+IFERROR(SUMPRODUCT(1/J239:J240*(U239:U240/H239:H240)),"0")+IFERROR(SUMPRODUCT(1/J244:J246*(U244:U246/H244:H246)),"0")+IFERROR(SUMPRODUCT(1/J250:J250*(U250:U250/H250:H250)),"0")+IFERROR(SUMPRODUCT(1/J254:J254*(U254:U254/H254:H254)),"0")+IFERROR(SUMPRODUCT(1/J258:J258*(U258:U258/H258:H258)),"0")+IFERROR(SUMPRODUCT(1/J264:J271*(U264:U271/H264:H271)),"0")+IFERROR(SUMPRODUCT(1/J275:J276*(U275:U276/H275:H276)),"0")+IFERROR(SUMPRODUCT(1/J280:J281*(U280:U281/H280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370*(U361:U370/H361:H370)),"0")+IFERROR(SUMPRODUCT(1/J374:J375*(U374:U375/H374:H375)),"0")+IFERROR(SUMPRODUCT(1/J379:J384*(U379:U384/H379:H384)),"0")+IFERROR(SUMPRODUCT(1/J388:J389*(U388:U389/H388:H389)),"0")+IFERROR(SUMPRODUCT(1/J395:J396*(U395:U396/H395:H396)),"0")+IFERROR(SUMPRODUCT(1/J400:J401*(U400:U401/H400:H401)),"0")+IFERROR(SUMPRODUCT(1/J405:J406*(U405:U406/H405:H406)),"0")+IFERROR(SUMPRODUCT(1/J410:J412*(U410:U412/H410:H412)),"0"),0)</f>
        <v/>
      </c>
      <c r="V417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148*(V134:V148/H134:H148)),"0")+IFERROR(SUMPRODUCT(1/J152:J153*(V152:V153/H152:H153)),"0")+IFERROR(SUMPRODUCT(1/J157:J172*(V157:V172/H157:H172)),"0")+IFERROR(SUMPRODUCT(1/J176:J196*(V176:V196/H176:H196)),"0")+IFERROR(SUMPRODUCT(1/J200:J205*(V200:V205/H200:H205)),"0")+IFERROR(SUMPRODUCT(1/J209:J211*(V209:V211/H209:H211)),"0")+IFERROR(SUMPRODUCT(1/J215:J218*(V215:V218/H215:H218)),"0")+IFERROR(SUMPRODUCT(1/J223:J229*(V223:V229/H223:H229)),"0")+IFERROR(SUMPRODUCT(1/J233:J234*(V233:V234/H233:H234)),"0")+IFERROR(SUMPRODUCT(1/J239:J240*(V239:V240/H239:H240)),"0")+IFERROR(SUMPRODUCT(1/J244:J246*(V244:V246/H244:H246)),"0")+IFERROR(SUMPRODUCT(1/J250:J250*(V250:V250/H250:H250)),"0")+IFERROR(SUMPRODUCT(1/J254:J254*(V254:V254/H254:H254)),"0")+IFERROR(SUMPRODUCT(1/J258:J258*(V258:V258/H258:H258)),"0")+IFERROR(SUMPRODUCT(1/J264:J271*(V264:V271/H264:H271)),"0")+IFERROR(SUMPRODUCT(1/J275:J276*(V275:V276/H275:H276)),"0")+IFERROR(SUMPRODUCT(1/J280:J281*(V280:V281/H280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370*(V361:V370/H361:H370)),"0")+IFERROR(SUMPRODUCT(1/J374:J375*(V374:V375/H374:H375)),"0")+IFERROR(SUMPRODUCT(1/J379:J384*(V379:V384/H379:H384)),"0")+IFERROR(SUMPRODUCT(1/J388:J389*(V388:V389/H388:H389)),"0")+IFERROR(SUMPRODUCT(1/J395:J396*(V395:V396/H395:H396)),"0")+IFERROR(SUMPRODUCT(1/J400:J401*(V400:V401/H400:H401)),"0")+IFERROR(SUMPRODUCT(1/J405:J406*(V405:V406/H405:H406)),"0")+IFERROR(SUMPRODUCT(1/J410:J412*(V410:V412/H410:H412)),"0"),0)</f>
        <v/>
      </c>
      <c r="W417" s="43" t="n"/>
      <c r="X417" s="415" t="n"/>
      <c r="Y417" s="415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373" t="n"/>
      <c r="M418" s="636" t="inlineStr">
        <is>
          <t>Вес брутто  с паллетами</t>
        </is>
      </c>
      <c r="N418" s="367" t="n"/>
      <c r="O418" s="367" t="n"/>
      <c r="P418" s="367" t="n"/>
      <c r="Q418" s="367" t="n"/>
      <c r="R418" s="367" t="n"/>
      <c r="S418" s="368" t="n"/>
      <c r="T418" s="43" t="inlineStr">
        <is>
          <t>кг</t>
        </is>
      </c>
      <c r="U418" s="414">
        <f>GrossWeightTotal+PalletQtyTotal*25</f>
        <v/>
      </c>
      <c r="V418" s="414">
        <f>GrossWeightTotalR+PalletQtyTotalR*25</f>
        <v/>
      </c>
      <c r="W418" s="43" t="n"/>
      <c r="X418" s="415" t="n"/>
      <c r="Y418" s="415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373" t="n"/>
      <c r="M419" s="636" t="inlineStr">
        <is>
          <t>Кол-во коробок</t>
        </is>
      </c>
      <c r="N419" s="367" t="n"/>
      <c r="O419" s="367" t="n"/>
      <c r="P419" s="367" t="n"/>
      <c r="Q419" s="367" t="n"/>
      <c r="R419" s="367" t="n"/>
      <c r="S419" s="368" t="n"/>
      <c r="T419" s="43" t="inlineStr">
        <is>
          <t>шт</t>
        </is>
      </c>
      <c r="U419" s="414">
        <f>IFERROR(U23+U32+U37+U41+U45+U51+U58+U76+U85+U97+U107+U114+U122+U130+U149+U154+U173+U197+U206+U212+U219+U230+U235+U241+U247+U251+U255+U259+U272+U277+U282+U286+U290+U298+U303+U310+U314+U321+U331+U338+U342+U348+U356+U371+U376+U385+U390+U397+U402+U407+U413,"0")</f>
        <v/>
      </c>
      <c r="V419" s="414">
        <f>IFERROR(V23+V32+V37+V41+V45+V51+V58+V76+V85+V97+V107+V114+V122+V130+V149+V154+V173+V197+V206+V212+V219+V230+V235+V241+V247+V251+V255+V259+V272+V277+V282+V286+V290+V298+V303+V310+V314+V321+V331+V338+V342+V348+V356+V371+V376+V385+V390+V397+V402+V407+V413,"0")</f>
        <v/>
      </c>
      <c r="W419" s="43" t="n"/>
      <c r="X419" s="415" t="n"/>
      <c r="Y419" s="415" t="n"/>
    </row>
    <row r="420" ht="14.2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373" t="n"/>
      <c r="M420" s="636" t="inlineStr">
        <is>
          <t>Объем заказа</t>
        </is>
      </c>
      <c r="N420" s="367" t="n"/>
      <c r="O420" s="367" t="n"/>
      <c r="P420" s="367" t="n"/>
      <c r="Q420" s="367" t="n"/>
      <c r="R420" s="367" t="n"/>
      <c r="S420" s="368" t="n"/>
      <c r="T420" s="46" t="inlineStr">
        <is>
          <t>м3</t>
        </is>
      </c>
      <c r="U420" s="43" t="n"/>
      <c r="V420" s="43" t="n"/>
      <c r="W420" s="43">
        <f>IFERROR(W23+W32+W37+W41+W45+W51+W58+W76+W85+W97+W107+W114+W122+W130+W149+W154+W173+W197+W206+W212+W219+W230+W235+W241+W247+W251+W255+W259+W272+W277+W282+W286+W290+W298+W303+W310+W314+W321+W331+W338+W342+W348+W356+W371+W376+W385+W390+W397+W402+W407+W413,"0")</f>
        <v/>
      </c>
      <c r="X420" s="415" t="n"/>
      <c r="Y420" s="415" t="n"/>
    </row>
    <row r="421" ht="13.5" customHeight="1" thickBot="1"/>
    <row r="422" ht="27" customHeight="1" thickBot="1" thickTop="1">
      <c r="A422" s="47" t="inlineStr">
        <is>
          <t>ТОРГОВАЯ МАРКА</t>
        </is>
      </c>
      <c r="B422" s="364" t="inlineStr">
        <is>
          <t>Ядрена копоть</t>
        </is>
      </c>
      <c r="C422" s="364" t="inlineStr">
        <is>
          <t>Вязанка</t>
        </is>
      </c>
      <c r="D422" s="637" t="n"/>
      <c r="E422" s="637" t="n"/>
      <c r="F422" s="638" t="n"/>
      <c r="G422" s="364" t="inlineStr">
        <is>
          <t>Стародворье</t>
        </is>
      </c>
      <c r="H422" s="637" t="n"/>
      <c r="I422" s="637" t="n"/>
      <c r="J422" s="638" t="n"/>
      <c r="K422" s="364" t="inlineStr">
        <is>
          <t>Особый рецепт</t>
        </is>
      </c>
      <c r="L422" s="638" t="n"/>
      <c r="M422" s="364" t="inlineStr">
        <is>
          <t>Баварушка</t>
        </is>
      </c>
      <c r="N422" s="638" t="n"/>
      <c r="O422" s="364" t="inlineStr">
        <is>
          <t>Дугушка</t>
        </is>
      </c>
      <c r="P422" s="364" t="inlineStr">
        <is>
          <t>Зареченские</t>
        </is>
      </c>
      <c r="Q422" s="1" t="n"/>
      <c r="R422" s="1" t="n"/>
      <c r="S422" s="1" t="n"/>
      <c r="T422" s="1" t="n"/>
      <c r="Y422" s="61" t="n"/>
      <c r="AB422" s="1" t="n"/>
    </row>
    <row r="423" ht="14.25" customHeight="1" thickTop="1">
      <c r="A423" s="365" t="inlineStr">
        <is>
          <t>СЕРИЯ</t>
        </is>
      </c>
      <c r="B423" s="364" t="inlineStr">
        <is>
          <t>Ядрена копоть</t>
        </is>
      </c>
      <c r="C423" s="364" t="inlineStr">
        <is>
          <t>Столичная</t>
        </is>
      </c>
      <c r="D423" s="364" t="inlineStr">
        <is>
          <t>Классическая</t>
        </is>
      </c>
      <c r="E423" s="364" t="inlineStr">
        <is>
          <t>Вязанка</t>
        </is>
      </c>
      <c r="F423" s="364" t="inlineStr">
        <is>
          <t>Сливушки</t>
        </is>
      </c>
      <c r="G423" s="364" t="inlineStr">
        <is>
          <t>Золоченная в печи</t>
        </is>
      </c>
      <c r="H423" s="364" t="inlineStr">
        <is>
          <t>Бордо</t>
        </is>
      </c>
      <c r="I423" s="364" t="inlineStr">
        <is>
          <t>Фирменная</t>
        </is>
      </c>
      <c r="J423" s="364" t="inlineStr">
        <is>
          <t>Бавария</t>
        </is>
      </c>
      <c r="K423" s="364" t="inlineStr">
        <is>
          <t>Особая</t>
        </is>
      </c>
      <c r="L423" s="364" t="inlineStr">
        <is>
          <t>Особая Без свинины</t>
        </is>
      </c>
      <c r="M423" s="364" t="inlineStr">
        <is>
          <t>Филейбургская</t>
        </is>
      </c>
      <c r="N423" s="364" t="inlineStr">
        <is>
          <t>Балыкбургская</t>
        </is>
      </c>
      <c r="O423" s="364" t="inlineStr">
        <is>
          <t>Дугушка</t>
        </is>
      </c>
      <c r="P423" s="364" t="inlineStr">
        <is>
          <t>Зареченские продукты</t>
        </is>
      </c>
      <c r="Q423" s="1" t="n"/>
      <c r="R423" s="1" t="n"/>
      <c r="S423" s="1" t="n"/>
      <c r="T423" s="1" t="n"/>
      <c r="Y423" s="61" t="n"/>
      <c r="AB423" s="1" t="n"/>
    </row>
    <row r="424" ht="13.5" customHeight="1" thickBot="1">
      <c r="A424" s="639" t="n"/>
      <c r="B424" s="640" t="n"/>
      <c r="C424" s="640" t="n"/>
      <c r="D424" s="640" t="n"/>
      <c r="E424" s="640" t="n"/>
      <c r="F424" s="640" t="n"/>
      <c r="G424" s="640" t="n"/>
      <c r="H424" s="640" t="n"/>
      <c r="I424" s="640" t="n"/>
      <c r="J424" s="640" t="n"/>
      <c r="K424" s="640" t="n"/>
      <c r="L424" s="640" t="n"/>
      <c r="M424" s="640" t="n"/>
      <c r="N424" s="640" t="n"/>
      <c r="O424" s="640" t="n"/>
      <c r="P424" s="640" t="n"/>
      <c r="Q424" s="1" t="n"/>
      <c r="R424" s="1" t="n"/>
      <c r="S424" s="1" t="n"/>
      <c r="T424" s="1" t="n"/>
      <c r="Y424" s="61" t="n"/>
      <c r="AB424" s="1" t="n"/>
    </row>
    <row r="425" ht="18" customHeight="1" thickBot="1" thickTop="1">
      <c r="A425" s="47" t="inlineStr">
        <is>
          <t>ИТОГО, кг</t>
        </is>
      </c>
      <c r="B425" s="53">
        <f>IFERROR(V22*1,"0")+IFERROR(V26*1,"0")+IFERROR(V27*1,"0")+IFERROR(V28*1,"0")+IFERROR(V29*1,"0")+IFERROR(V30*1,"0")+IFERROR(V31*1,"0")+IFERROR(V35*1,"0")+IFERROR(V36*1,"0")+IFERROR(V40*1,"0")+IFERROR(V44*1,"0")</f>
        <v/>
      </c>
      <c r="C425" s="53">
        <f>IFERROR(V50*1,"0")</f>
        <v/>
      </c>
      <c r="D425" s="53">
        <f>IFERROR(V55*1,"0")+IFERROR(V56*1,"0")+IFERROR(V57*1,"0")</f>
        <v/>
      </c>
      <c r="E425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25" s="53">
        <f>IFERROR(V118*1,"0")+IFERROR(V119*1,"0")+IFERROR(V120*1,"0")+IFERROR(V121*1,"0")</f>
        <v/>
      </c>
      <c r="G425" s="53">
        <f>IFERROR(V127*1,"0")+IFERROR(V128*1,"0")+IFERROR(V129*1,"0")</f>
        <v/>
      </c>
      <c r="H425" s="53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152*1,"0")+IFERROR(V153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200*1,"0")+IFERROR(V201*1,"0")+IFERROR(V202*1,"0")+IFERROR(V203*1,"0")+IFERROR(V204*1,"0")+IFERROR(V205*1,"0")+IFERROR(V209*1,"0")+IFERROR(V210*1,"0")+IFERROR(V211*1,"0")+IFERROR(V215*1,"0")+IFERROR(V216*1,"0")+IFERROR(V217*1,"0")+IFERROR(V218*1,"0")</f>
        <v/>
      </c>
      <c r="I425" s="53">
        <f>IFERROR(V223*1,"0")+IFERROR(V224*1,"0")+IFERROR(V225*1,"0")+IFERROR(V226*1,"0")+IFERROR(V227*1,"0")+IFERROR(V228*1,"0")+IFERROR(V229*1,"0")+IFERROR(V233*1,"0")+IFERROR(V234*1,"0")</f>
        <v/>
      </c>
      <c r="J425" s="53">
        <f>IFERROR(V239*1,"0")+IFERROR(V240*1,"0")+IFERROR(V244*1,"0")+IFERROR(V245*1,"0")+IFERROR(V246*1,"0")+IFERROR(V250*1,"0")+IFERROR(V254*1,"0")+IFERROR(V258*1,"0")</f>
        <v/>
      </c>
      <c r="K425" s="53">
        <f>IFERROR(V264*1,"0")+IFERROR(V265*1,"0")+IFERROR(V266*1,"0")+IFERROR(V267*1,"0")+IFERROR(V268*1,"0")+IFERROR(V269*1,"0")+IFERROR(V270*1,"0")+IFERROR(V271*1,"0")+IFERROR(V275*1,"0")+IFERROR(V276*1,"0")+IFERROR(V280*1,"0")+IFERROR(V281*1,"0")+IFERROR(V285*1,"0")+IFERROR(V289*1,"0")</f>
        <v/>
      </c>
      <c r="L425" s="53">
        <f>IFERROR(V294*1,"0")+IFERROR(V295*1,"0")+IFERROR(V296*1,"0")+IFERROR(V297*1,"0")+IFERROR(V301*1,"0")+IFERROR(V302*1,"0")+IFERROR(V306*1,"0")+IFERROR(V307*1,"0")+IFERROR(V308*1,"0")+IFERROR(V309*1,"0")+IFERROR(V313*1,"0")</f>
        <v/>
      </c>
      <c r="M425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/>
      </c>
      <c r="N425" s="53">
        <f>IFERROR(V346*1,"0")+IFERROR(V347*1,"0")+IFERROR(V351*1,"0")+IFERROR(V352*1,"0")+IFERROR(V353*1,"0")+IFERROR(V354*1,"0")+IFERROR(V355*1,"0")</f>
        <v/>
      </c>
      <c r="O425" s="53">
        <f>IFERROR(V361*1,"0")+IFERROR(V362*1,"0")+IFERROR(V363*1,"0")+IFERROR(V364*1,"0")+IFERROR(V365*1,"0")+IFERROR(V366*1,"0")+IFERROR(V367*1,"0")+IFERROR(V368*1,"0")+IFERROR(V369*1,"0")+IFERROR(V370*1,"0")+IFERROR(V374*1,"0")+IFERROR(V375*1,"0")+IFERROR(V379*1,"0")+IFERROR(V380*1,"0")+IFERROR(V381*1,"0")+IFERROR(V382*1,"0")+IFERROR(V383*1,"0")+IFERROR(V384*1,"0")+IFERROR(V388*1,"0")+IFERROR(V389*1,"0")</f>
        <v/>
      </c>
      <c r="P425" s="53">
        <f>IFERROR(V395*1,"0")+IFERROR(V396*1,"0")+IFERROR(V400*1,"0")+IFERROR(V401*1,"0")+IFERROR(V405*1,"0")+IFERROR(V406*1,"0")+IFERROR(V410*1,"0")+IFERROR(V411*1,"0")+IFERROR(V412*1,"0")</f>
        <v/>
      </c>
      <c r="Q425" s="1" t="n"/>
      <c r="R425" s="1" t="n"/>
      <c r="S425" s="1" t="n"/>
      <c r="T425" s="1" t="n"/>
      <c r="Y425" s="61" t="n"/>
      <c r="AB425" s="1" t="n"/>
    </row>
    <row r="4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wGdeblE11lM3vciMRPnFw==" formatRows="1" sort="0" spinCount="100000" hashValue="8lUJ5n1ft/gXr1hjGRiKEgoIvX9TgsJaJ1P/vSKRkuEZChBCYLZwCZbC1Ks1pV1RO8AEvx3x73DXVCRW+5t4Q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7">
    <mergeCell ref="J423:J424"/>
    <mergeCell ref="K423:K424"/>
    <mergeCell ref="L423:L424"/>
    <mergeCell ref="M423:M424"/>
    <mergeCell ref="N423:N424"/>
    <mergeCell ref="O423:O424"/>
    <mergeCell ref="P423:P424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M415:S415"/>
    <mergeCell ref="A415:L420"/>
    <mergeCell ref="M416:S416"/>
    <mergeCell ref="M417:S417"/>
    <mergeCell ref="M418:S418"/>
    <mergeCell ref="M419:S419"/>
    <mergeCell ref="M420:S420"/>
    <mergeCell ref="C422:F422"/>
    <mergeCell ref="G422:J422"/>
    <mergeCell ref="K422:L422"/>
    <mergeCell ref="M422:N422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04:W404"/>
    <mergeCell ref="D405:E405"/>
    <mergeCell ref="M405:Q405"/>
    <mergeCell ref="D406:E406"/>
    <mergeCell ref="M406:Q406"/>
    <mergeCell ref="M407:S407"/>
    <mergeCell ref="A407:L408"/>
    <mergeCell ref="M408:S408"/>
    <mergeCell ref="A409:W409"/>
    <mergeCell ref="M397:S397"/>
    <mergeCell ref="A397:L398"/>
    <mergeCell ref="M398:S398"/>
    <mergeCell ref="A399:W399"/>
    <mergeCell ref="D400:E400"/>
    <mergeCell ref="M400:Q400"/>
    <mergeCell ref="D401:E401"/>
    <mergeCell ref="M401:Q401"/>
    <mergeCell ref="M402:S402"/>
    <mergeCell ref="A402:L403"/>
    <mergeCell ref="M403:S403"/>
    <mergeCell ref="M390:S390"/>
    <mergeCell ref="A390:L391"/>
    <mergeCell ref="M391:S391"/>
    <mergeCell ref="A392:W392"/>
    <mergeCell ref="A393:W393"/>
    <mergeCell ref="A394:W394"/>
    <mergeCell ref="D395:E395"/>
    <mergeCell ref="M395:Q395"/>
    <mergeCell ref="D396:E396"/>
    <mergeCell ref="M396:Q396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47:S247"/>
    <mergeCell ref="A247:L248"/>
    <mergeCell ref="M248:S248"/>
    <mergeCell ref="A249:W249"/>
    <mergeCell ref="D250:E250"/>
    <mergeCell ref="M250:Q250"/>
    <mergeCell ref="M251:S251"/>
    <mergeCell ref="A251:L252"/>
    <mergeCell ref="M252:S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A238:W238"/>
    <mergeCell ref="D239:E239"/>
    <mergeCell ref="M239:Q239"/>
    <mergeCell ref="D240:E240"/>
    <mergeCell ref="M240:Q240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195:E195"/>
    <mergeCell ref="M195:Q195"/>
    <mergeCell ref="D196:E196"/>
    <mergeCell ref="M196:Q196"/>
    <mergeCell ref="M197:S197"/>
    <mergeCell ref="A197:L198"/>
    <mergeCell ref="M198:S198"/>
    <mergeCell ref="A199:W199"/>
    <mergeCell ref="D200:E200"/>
    <mergeCell ref="M200:Q200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A175:W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M173:S173"/>
    <mergeCell ref="A173:L174"/>
    <mergeCell ref="M174:S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EOnaidWfhB8dK34gAFzGA==" formatRows="1" sort="0" spinCount="100000" hashValue="mY51Sq0zwkWM3ocXxvj1/BnUblv0QOHIecOb9YAdk4E6GqEyb2i2pApbEh7Nu2fbIRFOnFrwo3cIAjhg7hwDK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2023-07-11T13:43:33Z</dcterms:modified>
  <cp:lastModifiedBy>s-dax.aos.wrk</cp:lastModifiedBy>
</cp:coreProperties>
</file>