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заказа'!$U$415:$U$415</definedName>
    <definedName name="GrossWeightTotalR">'Бланк заказа'!$V$415:$V$415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заказа'!$U$416:$U$416</definedName>
    <definedName name="PalletQtyTotalR">'Бланк заказа'!$V$416:$V$416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заказа'!$B$180:$B$180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заказа'!$B$204:$B$204</definedName>
    <definedName name="ProductId122">'Бланк заказа'!$B$205:$B$205</definedName>
    <definedName name="ProductId123">'Бланк заказа'!$B$206:$B$206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заказа'!$B$213:$B$213</definedName>
    <definedName name="ProductId128">'Бланк заказа'!$B$214:$B$214</definedName>
    <definedName name="ProductId129">'Бланк заказа'!$B$215:$B$215</definedName>
    <definedName name="ProductId13">'Бланк заказа'!$B$51:$B$51</definedName>
    <definedName name="ProductId130">'Бланк заказа'!$B$219:$B$219</definedName>
    <definedName name="ProductId131">'Бланк заказа'!$B$220:$B$220</definedName>
    <definedName name="ProductId132">'Бланк заказа'!$B$221:$B$221</definedName>
    <definedName name="ProductId133">'Бланк заказа'!$B$222:$B$222</definedName>
    <definedName name="ProductId134">'Бланк заказа'!$B$227:$B$227</definedName>
    <definedName name="ProductId135">'Бланк заказа'!$B$228:$B$228</definedName>
    <definedName name="ProductId136">'Бланк заказа'!$B$229:$B$229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заказа'!$B$237:$B$237</definedName>
    <definedName name="ProductId142">'Бланк заказа'!$B$238:$B$238</definedName>
    <definedName name="ProductId143">'Бланк заказа'!$B$243:$B$243</definedName>
    <definedName name="ProductId144">'Бланк заказа'!$B$244:$B$244</definedName>
    <definedName name="ProductId145">'Бланк заказа'!$B$248:$B$248</definedName>
    <definedName name="ProductId146">'Бланк заказа'!$B$249:$B$249</definedName>
    <definedName name="ProductId147">'Бланк заказа'!$B$250:$B$250</definedName>
    <definedName name="ProductId148">'Бланк заказа'!$B$254:$B$254</definedName>
    <definedName name="ProductId149">'Бланк заказа'!$B$258:$B$258</definedName>
    <definedName name="ProductId15">'Бланк заказа'!$B$57:$B$57</definedName>
    <definedName name="ProductId150">'Бланк заказа'!$B$264:$B$264</definedName>
    <definedName name="ProductId151">'Бланк заказа'!$B$265:$B$265</definedName>
    <definedName name="ProductId152">'Бланк заказа'!$B$266:$B$266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заказа'!$B$280:$B$280</definedName>
    <definedName name="ProductId161">'Бланк заказа'!$B$284:$B$284</definedName>
    <definedName name="ProductId162">'Бланк заказа'!$B$288:$B$288</definedName>
    <definedName name="ProductId163">'Бланк заказа'!$B$293:$B$293</definedName>
    <definedName name="ProductId164">'Бланк заказа'!$B$294:$B$294</definedName>
    <definedName name="ProductId165">'Бланк заказа'!$B$295:$B$295</definedName>
    <definedName name="ProductId166">'Бланк заказа'!$B$296:$B$296</definedName>
    <definedName name="ProductId167">'Бланк заказа'!$B$300:$B$300</definedName>
    <definedName name="ProductId168">'Бланк заказа'!$B$301:$B$301</definedName>
    <definedName name="ProductId169">'Бланк заказа'!$B$305:$B$305</definedName>
    <definedName name="ProductId17">'Бланк заказа'!$B$63:$B$63</definedName>
    <definedName name="ProductId170">'Бланк заказа'!$B$306:$B$306</definedName>
    <definedName name="ProductId171">'Бланк заказа'!$B$307:$B$307</definedName>
    <definedName name="ProductId172">'Бланк заказа'!$B$308:$B$308</definedName>
    <definedName name="ProductId173">'Бланк заказа'!$B$312:$B$312</definedName>
    <definedName name="ProductId174">'Бланк заказа'!$B$318:$B$318</definedName>
    <definedName name="ProductId175">'Бланк заказа'!$B$319:$B$319</definedName>
    <definedName name="ProductId176">'Бланк заказа'!$B$323:$B$323</definedName>
    <definedName name="ProductId177">'Бланк заказа'!$B$324:$B$324</definedName>
    <definedName name="ProductId178">'Бланк заказа'!$B$325:$B$325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заказа'!$B$340:$B$340</definedName>
    <definedName name="ProductId188">'Бланк заказа'!$B$345:$B$345</definedName>
    <definedName name="ProductId189">'Бланк заказа'!$B$346:$B$346</definedName>
    <definedName name="ProductId19">'Бланк заказа'!$B$65:$B$65</definedName>
    <definedName name="ProductId190">'Бланк заказа'!$B$350:$B$350</definedName>
    <definedName name="ProductId191">'Бланк заказа'!$B$351:$B$351</definedName>
    <definedName name="ProductId192">'Бланк заказа'!$B$352:$B$352</definedName>
    <definedName name="ProductId193">'Бланк заказа'!$B$353:$B$353</definedName>
    <definedName name="ProductId194">'Бланк заказа'!$B$354:$B$354</definedName>
    <definedName name="ProductId195">'Бланк заказа'!$B$360:$B$360</definedName>
    <definedName name="ProductId196">'Бланк заказа'!$B$361:$B$361</definedName>
    <definedName name="ProductId197">'Бланк заказа'!$B$362:$B$362</definedName>
    <definedName name="ProductId198">'Бланк заказа'!$B$363:$B$363</definedName>
    <definedName name="ProductId199">'Бланк заказа'!$B$364:$B$364</definedName>
    <definedName name="ProductId2">'Бланк заказа'!$B$26:$B$26</definedName>
    <definedName name="ProductId20">'Бланк заказа'!$B$66:$B$66</definedName>
    <definedName name="ProductId200">'Бланк заказа'!$B$365:$B$365</definedName>
    <definedName name="ProductId201">'Бланк заказа'!$B$366:$B$366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заказа'!$B$373:$B$373</definedName>
    <definedName name="ProductId206">'Бланк заказа'!$B$374:$B$374</definedName>
    <definedName name="ProductId207">'Бланк заказа'!$B$378:$B$378</definedName>
    <definedName name="ProductId208">'Бланк заказа'!$B$379:$B$379</definedName>
    <definedName name="ProductId209">'Бланк заказа'!$B$380:$B$380</definedName>
    <definedName name="ProductId21">'Бланк заказа'!$B$67:$B$67</definedName>
    <definedName name="ProductId210">'Бланк заказа'!$B$381:$B$381</definedName>
    <definedName name="ProductId211">'Бланк заказа'!$B$382:$B$382</definedName>
    <definedName name="ProductId212">'Бланк заказа'!$B$383:$B$383</definedName>
    <definedName name="ProductId213">'Бланк заказа'!$B$387:$B$387</definedName>
    <definedName name="ProductId214">'Бланк заказа'!$B$388:$B$388</definedName>
    <definedName name="ProductId215">'Бланк заказа'!$B$394:$B$394</definedName>
    <definedName name="ProductId216">'Бланк заказа'!$B$395:$B$395</definedName>
    <definedName name="ProductId217">'Бланк заказа'!$B$399:$B$399</definedName>
    <definedName name="ProductId218">'Бланк заказа'!$B$400:$B$400</definedName>
    <definedName name="ProductId219">'Бланк заказа'!$B$404:$B$404</definedName>
    <definedName name="ProductId22">'Бланк заказа'!$B$68:$B$68</definedName>
    <definedName name="ProductId220">'Бланк заказа'!$B$405:$B$405</definedName>
    <definedName name="ProductId221">'Бланк заказа'!$B$409:$B$409</definedName>
    <definedName name="ProductId222">'Бланк заказа'!$B$410:$B$410</definedName>
    <definedName name="ProductId223">'Бланк заказа'!$B$411:$B$411</definedName>
    <definedName name="ProductId23">'Бланк заказа'!$B$69:$B$69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заказа'!$B$156:$B$156</definedName>
    <definedName name="ProductId83">'Бланк заказа'!$B$157:$B$157</definedName>
    <definedName name="ProductId84">'Бланк заказа'!$B$161:$B$161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заказа'!$U$180:$U$180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заказа'!$U$204:$U$204</definedName>
    <definedName name="SalesQty122">'Бланк заказа'!$U$205:$U$205</definedName>
    <definedName name="SalesQty123">'Бланк заказа'!$U$206:$U$206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заказа'!$U$213:$U$213</definedName>
    <definedName name="SalesQty128">'Бланк заказа'!$U$214:$U$214</definedName>
    <definedName name="SalesQty129">'Бланк заказа'!$U$215:$U$215</definedName>
    <definedName name="SalesQty13">'Бланк заказа'!$U$51:$U$51</definedName>
    <definedName name="SalesQty130">'Бланк заказа'!$U$219:$U$219</definedName>
    <definedName name="SalesQty131">'Бланк заказа'!$U$220:$U$220</definedName>
    <definedName name="SalesQty132">'Бланк заказа'!$U$221:$U$221</definedName>
    <definedName name="SalesQty133">'Бланк заказа'!$U$222:$U$222</definedName>
    <definedName name="SalesQty134">'Бланк заказа'!$U$227:$U$227</definedName>
    <definedName name="SalesQty135">'Бланк заказа'!$U$228:$U$228</definedName>
    <definedName name="SalesQty136">'Бланк заказа'!$U$229:$U$229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заказа'!$U$237:$U$237</definedName>
    <definedName name="SalesQty142">'Бланк заказа'!$U$238:$U$238</definedName>
    <definedName name="SalesQty143">'Бланк заказа'!$U$243:$U$243</definedName>
    <definedName name="SalesQty144">'Бланк заказа'!$U$244:$U$244</definedName>
    <definedName name="SalesQty145">'Бланк заказа'!$U$248:$U$248</definedName>
    <definedName name="SalesQty146">'Бланк заказа'!$U$249:$U$249</definedName>
    <definedName name="SalesQty147">'Бланк заказа'!$U$250:$U$250</definedName>
    <definedName name="SalesQty148">'Бланк заказа'!$U$254:$U$254</definedName>
    <definedName name="SalesQty149">'Бланк заказа'!$U$258:$U$258</definedName>
    <definedName name="SalesQty15">'Бланк заказа'!$U$57:$U$57</definedName>
    <definedName name="SalesQty150">'Бланк заказа'!$U$264:$U$264</definedName>
    <definedName name="SalesQty151">'Бланк заказа'!$U$265:$U$265</definedName>
    <definedName name="SalesQty152">'Бланк заказа'!$U$266:$U$266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заказа'!$U$275:$U$275</definedName>
    <definedName name="SalesQty159">'Бланк заказа'!$U$276:$U$276</definedName>
    <definedName name="SalesQty16">'Бланк заказа'!$U$58:$U$58</definedName>
    <definedName name="SalesQty160">'Бланк заказа'!$U$280:$U$280</definedName>
    <definedName name="SalesQty161">'Бланк заказа'!$U$284:$U$284</definedName>
    <definedName name="SalesQty162">'Бланк заказа'!$U$288:$U$288</definedName>
    <definedName name="SalesQty163">'Бланк заказа'!$U$293:$U$293</definedName>
    <definedName name="SalesQty164">'Бланк заказа'!$U$294:$U$294</definedName>
    <definedName name="SalesQty165">'Бланк заказа'!$U$295:$U$295</definedName>
    <definedName name="SalesQty166">'Бланк заказа'!$U$296:$U$296</definedName>
    <definedName name="SalesQty167">'Бланк заказа'!$U$300:$U$300</definedName>
    <definedName name="SalesQty168">'Бланк заказа'!$U$301:$U$301</definedName>
    <definedName name="SalesQty169">'Бланк заказа'!$U$305:$U$305</definedName>
    <definedName name="SalesQty17">'Бланк заказа'!$U$63:$U$63</definedName>
    <definedName name="SalesQty170">'Бланк заказа'!$U$306:$U$306</definedName>
    <definedName name="SalesQty171">'Бланк заказа'!$U$307:$U$307</definedName>
    <definedName name="SalesQty172">'Бланк заказа'!$U$308:$U$308</definedName>
    <definedName name="SalesQty173">'Бланк заказа'!$U$312:$U$312</definedName>
    <definedName name="SalesQty174">'Бланк заказа'!$U$318:$U$318</definedName>
    <definedName name="SalesQty175">'Бланк заказа'!$U$319:$U$319</definedName>
    <definedName name="SalesQty176">'Бланк заказа'!$U$323:$U$323</definedName>
    <definedName name="SalesQty177">'Бланк заказа'!$U$324:$U$324</definedName>
    <definedName name="SalesQty178">'Бланк заказа'!$U$325:$U$325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заказа'!$U$333:$U$333</definedName>
    <definedName name="SalesQty184">'Бланк заказа'!$U$334:$U$334</definedName>
    <definedName name="SalesQty185">'Бланк заказа'!$U$335:$U$335</definedName>
    <definedName name="SalesQty186">'Бланк заказа'!$U$336:$U$336</definedName>
    <definedName name="SalesQty187">'Бланк заказа'!$U$340:$U$340</definedName>
    <definedName name="SalesQty188">'Бланк заказа'!$U$345:$U$345</definedName>
    <definedName name="SalesQty189">'Бланк заказа'!$U$346:$U$346</definedName>
    <definedName name="SalesQty19">'Бланк заказа'!$U$65:$U$65</definedName>
    <definedName name="SalesQty190">'Бланк заказа'!$U$350:$U$350</definedName>
    <definedName name="SalesQty191">'Бланк заказа'!$U$351:$U$351</definedName>
    <definedName name="SalesQty192">'Бланк заказа'!$U$352:$U$352</definedName>
    <definedName name="SalesQty193">'Бланк заказа'!$U$353:$U$353</definedName>
    <definedName name="SalesQty194">'Бланк заказа'!$U$354:$U$354</definedName>
    <definedName name="SalesQty195">'Бланк заказа'!$U$360:$U$360</definedName>
    <definedName name="SalesQty196">'Бланк заказа'!$U$361:$U$361</definedName>
    <definedName name="SalesQty197">'Бланк заказа'!$U$362:$U$362</definedName>
    <definedName name="SalesQty198">'Бланк заказа'!$U$363:$U$363</definedName>
    <definedName name="SalesQty199">'Бланк заказа'!$U$364:$U$364</definedName>
    <definedName name="SalesQty2">'Бланк заказа'!$U$26:$U$26</definedName>
    <definedName name="SalesQty20">'Бланк заказа'!$U$66:$U$66</definedName>
    <definedName name="SalesQty200">'Бланк заказа'!$U$365:$U$365</definedName>
    <definedName name="SalesQty201">'Бланк заказа'!$U$366:$U$366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заказа'!$U$373:$U$373</definedName>
    <definedName name="SalesQty206">'Бланк заказа'!$U$374:$U$374</definedName>
    <definedName name="SalesQty207">'Бланк заказа'!$U$378:$U$378</definedName>
    <definedName name="SalesQty208">'Бланк заказа'!$U$379:$U$379</definedName>
    <definedName name="SalesQty209">'Бланк заказа'!$U$380:$U$380</definedName>
    <definedName name="SalesQty21">'Бланк заказа'!$U$67:$U$67</definedName>
    <definedName name="SalesQty210">'Бланк заказа'!$U$381:$U$381</definedName>
    <definedName name="SalesQty211">'Бланк заказа'!$U$382:$U$382</definedName>
    <definedName name="SalesQty212">'Бланк заказа'!$U$383:$U$383</definedName>
    <definedName name="SalesQty213">'Бланк заказа'!$U$387:$U$387</definedName>
    <definedName name="SalesQty214">'Бланк заказа'!$U$388:$U$388</definedName>
    <definedName name="SalesQty215">'Бланк заказа'!$U$394:$U$394</definedName>
    <definedName name="SalesQty216">'Бланк заказа'!$U$395:$U$395</definedName>
    <definedName name="SalesQty217">'Бланк заказа'!$U$399:$U$399</definedName>
    <definedName name="SalesQty218">'Бланк заказа'!$U$400:$U$400</definedName>
    <definedName name="SalesQty219">'Бланк заказа'!$U$404:$U$404</definedName>
    <definedName name="SalesQty22">'Бланк заказа'!$U$68:$U$68</definedName>
    <definedName name="SalesQty220">'Бланк заказа'!$U$405:$U$405</definedName>
    <definedName name="SalesQty221">'Бланк заказа'!$U$409:$U$409</definedName>
    <definedName name="SalesQty222">'Бланк заказа'!$U$410:$U$410</definedName>
    <definedName name="SalesQty223">'Бланк заказа'!$U$411:$U$411</definedName>
    <definedName name="SalesQty23">'Бланк заказа'!$U$69:$U$69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заказа'!$U$156:$U$156</definedName>
    <definedName name="SalesQty83">'Бланк заказа'!$U$157:$U$157</definedName>
    <definedName name="SalesQty84">'Бланк заказа'!$U$161:$U$161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заказа'!$V$180:$V$180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заказа'!$V$204:$V$204</definedName>
    <definedName name="SalesRoundBox122">'Бланк заказа'!$V$205:$V$205</definedName>
    <definedName name="SalesRoundBox123">'Бланк заказа'!$V$206:$V$206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заказа'!$V$213:$V$213</definedName>
    <definedName name="SalesRoundBox128">'Бланк заказа'!$V$214:$V$214</definedName>
    <definedName name="SalesRoundBox129">'Бланк заказа'!$V$215:$V$215</definedName>
    <definedName name="SalesRoundBox13">'Бланк заказа'!$V$51:$V$51</definedName>
    <definedName name="SalesRoundBox130">'Бланк заказа'!$V$219:$V$219</definedName>
    <definedName name="SalesRoundBox131">'Бланк заказа'!$V$220:$V$220</definedName>
    <definedName name="SalesRoundBox132">'Бланк заказа'!$V$221:$V$221</definedName>
    <definedName name="SalesRoundBox133">'Бланк заказа'!$V$222:$V$222</definedName>
    <definedName name="SalesRoundBox134">'Бланк заказа'!$V$227:$V$227</definedName>
    <definedName name="SalesRoundBox135">'Бланк заказа'!$V$228:$V$228</definedName>
    <definedName name="SalesRoundBox136">'Бланк заказа'!$V$229:$V$229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заказа'!$V$237:$V$237</definedName>
    <definedName name="SalesRoundBox142">'Бланк заказа'!$V$238:$V$238</definedName>
    <definedName name="SalesRoundBox143">'Бланк заказа'!$V$243:$V$243</definedName>
    <definedName name="SalesRoundBox144">'Бланк заказа'!$V$244:$V$244</definedName>
    <definedName name="SalesRoundBox145">'Бланк заказа'!$V$248:$V$248</definedName>
    <definedName name="SalesRoundBox146">'Бланк заказа'!$V$249:$V$249</definedName>
    <definedName name="SalesRoundBox147">'Бланк заказа'!$V$250:$V$250</definedName>
    <definedName name="SalesRoundBox148">'Бланк заказа'!$V$254:$V$254</definedName>
    <definedName name="SalesRoundBox149">'Бланк заказа'!$V$258:$V$258</definedName>
    <definedName name="SalesRoundBox15">'Бланк заказа'!$V$57:$V$57</definedName>
    <definedName name="SalesRoundBox150">'Бланк заказа'!$V$264:$V$264</definedName>
    <definedName name="SalesRoundBox151">'Бланк заказа'!$V$265:$V$265</definedName>
    <definedName name="SalesRoundBox152">'Бланк заказа'!$V$266:$V$266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заказа'!$V$275:$V$275</definedName>
    <definedName name="SalesRoundBox159">'Бланк заказа'!$V$276:$V$276</definedName>
    <definedName name="SalesRoundBox16">'Бланк заказа'!$V$58:$V$58</definedName>
    <definedName name="SalesRoundBox160">'Бланк заказа'!$V$280:$V$280</definedName>
    <definedName name="SalesRoundBox161">'Бланк заказа'!$V$284:$V$284</definedName>
    <definedName name="SalesRoundBox162">'Бланк заказа'!$V$288:$V$288</definedName>
    <definedName name="SalesRoundBox163">'Бланк заказа'!$V$293:$V$293</definedName>
    <definedName name="SalesRoundBox164">'Бланк заказа'!$V$294:$V$294</definedName>
    <definedName name="SalesRoundBox165">'Бланк заказа'!$V$295:$V$295</definedName>
    <definedName name="SalesRoundBox166">'Бланк заказа'!$V$296:$V$296</definedName>
    <definedName name="SalesRoundBox167">'Бланк заказа'!$V$300:$V$300</definedName>
    <definedName name="SalesRoundBox168">'Бланк заказа'!$V$301:$V$301</definedName>
    <definedName name="SalesRoundBox169">'Бланк заказа'!$V$305:$V$305</definedName>
    <definedName name="SalesRoundBox17">'Бланк заказа'!$V$63:$V$63</definedName>
    <definedName name="SalesRoundBox170">'Бланк заказа'!$V$306:$V$306</definedName>
    <definedName name="SalesRoundBox171">'Бланк заказа'!$V$307:$V$307</definedName>
    <definedName name="SalesRoundBox172">'Бланк заказа'!$V$308:$V$308</definedName>
    <definedName name="SalesRoundBox173">'Бланк заказа'!$V$312:$V$312</definedName>
    <definedName name="SalesRoundBox174">'Бланк заказа'!$V$318:$V$318</definedName>
    <definedName name="SalesRoundBox175">'Бланк заказа'!$V$319:$V$319</definedName>
    <definedName name="SalesRoundBox176">'Бланк заказа'!$V$323:$V$323</definedName>
    <definedName name="SalesRoundBox177">'Бланк заказа'!$V$324:$V$324</definedName>
    <definedName name="SalesRoundBox178">'Бланк заказа'!$V$325:$V$325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заказа'!$V$333:$V$333</definedName>
    <definedName name="SalesRoundBox184">'Бланк заказа'!$V$334:$V$334</definedName>
    <definedName name="SalesRoundBox185">'Бланк заказа'!$V$335:$V$335</definedName>
    <definedName name="SalesRoundBox186">'Бланк заказа'!$V$336:$V$336</definedName>
    <definedName name="SalesRoundBox187">'Бланк заказа'!$V$340:$V$340</definedName>
    <definedName name="SalesRoundBox188">'Бланк заказа'!$V$345:$V$345</definedName>
    <definedName name="SalesRoundBox189">'Бланк заказа'!$V$346:$V$346</definedName>
    <definedName name="SalesRoundBox19">'Бланк заказа'!$V$65:$V$65</definedName>
    <definedName name="SalesRoundBox190">'Бланк заказа'!$V$350:$V$350</definedName>
    <definedName name="SalesRoundBox191">'Бланк заказа'!$V$351:$V$351</definedName>
    <definedName name="SalesRoundBox192">'Бланк заказа'!$V$352:$V$352</definedName>
    <definedName name="SalesRoundBox193">'Бланк заказа'!$V$353:$V$353</definedName>
    <definedName name="SalesRoundBox194">'Бланк заказа'!$V$354:$V$354</definedName>
    <definedName name="SalesRoundBox195">'Бланк заказа'!$V$360:$V$360</definedName>
    <definedName name="SalesRoundBox196">'Бланк заказа'!$V$361:$V$361</definedName>
    <definedName name="SalesRoundBox197">'Бланк заказа'!$V$362:$V$362</definedName>
    <definedName name="SalesRoundBox198">'Бланк заказа'!$V$363:$V$363</definedName>
    <definedName name="SalesRoundBox199">'Бланк заказа'!$V$364:$V$364</definedName>
    <definedName name="SalesRoundBox2">'Бланк заказа'!$V$26:$V$26</definedName>
    <definedName name="SalesRoundBox20">'Бланк заказа'!$V$66:$V$66</definedName>
    <definedName name="SalesRoundBox200">'Бланк заказа'!$V$365:$V$365</definedName>
    <definedName name="SalesRoundBox201">'Бланк заказа'!$V$366:$V$366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заказа'!$V$373:$V$373</definedName>
    <definedName name="SalesRoundBox206">'Бланк заказа'!$V$374:$V$374</definedName>
    <definedName name="SalesRoundBox207">'Бланк заказа'!$V$378:$V$378</definedName>
    <definedName name="SalesRoundBox208">'Бланк заказа'!$V$379:$V$379</definedName>
    <definedName name="SalesRoundBox209">'Бланк заказа'!$V$380:$V$380</definedName>
    <definedName name="SalesRoundBox21">'Бланк заказа'!$V$67:$V$67</definedName>
    <definedName name="SalesRoundBox210">'Бланк заказа'!$V$381:$V$381</definedName>
    <definedName name="SalesRoundBox211">'Бланк заказа'!$V$382:$V$382</definedName>
    <definedName name="SalesRoundBox212">'Бланк заказа'!$V$383:$V$383</definedName>
    <definedName name="SalesRoundBox213">'Бланк заказа'!$V$387:$V$387</definedName>
    <definedName name="SalesRoundBox214">'Бланк заказа'!$V$388:$V$388</definedName>
    <definedName name="SalesRoundBox215">'Бланк заказа'!$V$394:$V$394</definedName>
    <definedName name="SalesRoundBox216">'Бланк заказа'!$V$395:$V$395</definedName>
    <definedName name="SalesRoundBox217">'Бланк заказа'!$V$399:$V$399</definedName>
    <definedName name="SalesRoundBox218">'Бланк заказа'!$V$400:$V$400</definedName>
    <definedName name="SalesRoundBox219">'Бланк заказа'!$V$404:$V$404</definedName>
    <definedName name="SalesRoundBox22">'Бланк заказа'!$V$68:$V$68</definedName>
    <definedName name="SalesRoundBox220">'Бланк заказа'!$V$405:$V$405</definedName>
    <definedName name="SalesRoundBox221">'Бланк заказа'!$V$409:$V$409</definedName>
    <definedName name="SalesRoundBox222">'Бланк заказа'!$V$410:$V$410</definedName>
    <definedName name="SalesRoundBox223">'Бланк заказа'!$V$411:$V$411</definedName>
    <definedName name="SalesRoundBox23">'Бланк заказа'!$V$69:$V$69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заказа'!$V$156:$V$156</definedName>
    <definedName name="SalesRoundBox83">'Бланк заказа'!$V$157:$V$157</definedName>
    <definedName name="SalesRoundBox84">'Бланк заказа'!$V$161:$V$161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заказа'!$T$180:$T$180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заказа'!$T$204:$T$204</definedName>
    <definedName name="UnitOfMeasure122">'Бланк заказа'!$T$205:$T$205</definedName>
    <definedName name="UnitOfMeasure123">'Бланк заказа'!$T$206:$T$206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заказа'!$T$213:$T$213</definedName>
    <definedName name="UnitOfMeasure128">'Бланк заказа'!$T$214:$T$214</definedName>
    <definedName name="UnitOfMeasure129">'Бланк заказа'!$T$215:$T$215</definedName>
    <definedName name="UnitOfMeasure13">'Бланк заказа'!$T$51:$T$51</definedName>
    <definedName name="UnitOfMeasure130">'Бланк заказа'!$T$219:$T$219</definedName>
    <definedName name="UnitOfMeasure131">'Бланк заказа'!$T$220:$T$220</definedName>
    <definedName name="UnitOfMeasure132">'Бланк заказа'!$T$221:$T$221</definedName>
    <definedName name="UnitOfMeasure133">'Бланк заказа'!$T$222:$T$222</definedName>
    <definedName name="UnitOfMeasure134">'Бланк заказа'!$T$227:$T$227</definedName>
    <definedName name="UnitOfMeasure135">'Бланк заказа'!$T$228:$T$228</definedName>
    <definedName name="UnitOfMeasure136">'Бланк заказа'!$T$229:$T$229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заказа'!$T$237:$T$237</definedName>
    <definedName name="UnitOfMeasure142">'Бланк заказа'!$T$238:$T$238</definedName>
    <definedName name="UnitOfMeasure143">'Бланк заказа'!$T$243:$T$243</definedName>
    <definedName name="UnitOfMeasure144">'Бланк заказа'!$T$244:$T$244</definedName>
    <definedName name="UnitOfMeasure145">'Бланк заказа'!$T$248:$T$248</definedName>
    <definedName name="UnitOfMeasure146">'Бланк заказа'!$T$249:$T$249</definedName>
    <definedName name="UnitOfMeasure147">'Бланк заказа'!$T$250:$T$250</definedName>
    <definedName name="UnitOfMeasure148">'Бланк заказа'!$T$254:$T$254</definedName>
    <definedName name="UnitOfMeasure149">'Бланк заказа'!$T$258:$T$258</definedName>
    <definedName name="UnitOfMeasure15">'Бланк заказа'!$T$57:$T$57</definedName>
    <definedName name="UnitOfMeasure150">'Бланк заказа'!$T$264:$T$264</definedName>
    <definedName name="UnitOfMeasure151">'Бланк заказа'!$T$265:$T$265</definedName>
    <definedName name="UnitOfMeasure152">'Бланк заказа'!$T$266:$T$266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заказа'!$T$275:$T$275</definedName>
    <definedName name="UnitOfMeasure159">'Бланк заказа'!$T$276:$T$276</definedName>
    <definedName name="UnitOfMeasure16">'Бланк заказа'!$T$58:$T$58</definedName>
    <definedName name="UnitOfMeasure160">'Бланк заказа'!$T$280:$T$280</definedName>
    <definedName name="UnitOfMeasure161">'Бланк заказа'!$T$284:$T$284</definedName>
    <definedName name="UnitOfMeasure162">'Бланк заказа'!$T$288:$T$288</definedName>
    <definedName name="UnitOfMeasure163">'Бланк заказа'!$T$293:$T$293</definedName>
    <definedName name="UnitOfMeasure164">'Бланк заказа'!$T$294:$T$294</definedName>
    <definedName name="UnitOfMeasure165">'Бланк заказа'!$T$295:$T$295</definedName>
    <definedName name="UnitOfMeasure166">'Бланк заказа'!$T$296:$T$296</definedName>
    <definedName name="UnitOfMeasure167">'Бланк заказа'!$T$300:$T$300</definedName>
    <definedName name="UnitOfMeasure168">'Бланк заказа'!$T$301:$T$301</definedName>
    <definedName name="UnitOfMeasure169">'Бланк заказа'!$T$305:$T$305</definedName>
    <definedName name="UnitOfMeasure17">'Бланк заказа'!$T$63:$T$63</definedName>
    <definedName name="UnitOfMeasure170">'Бланк заказа'!$T$306:$T$306</definedName>
    <definedName name="UnitOfMeasure171">'Бланк заказа'!$T$307:$T$307</definedName>
    <definedName name="UnitOfMeasure172">'Бланк заказа'!$T$308:$T$308</definedName>
    <definedName name="UnitOfMeasure173">'Бланк заказа'!$T$312:$T$312</definedName>
    <definedName name="UnitOfMeasure174">'Бланк заказа'!$T$318:$T$318</definedName>
    <definedName name="UnitOfMeasure175">'Бланк заказа'!$T$319:$T$319</definedName>
    <definedName name="UnitOfMeasure176">'Бланк заказа'!$T$323:$T$323</definedName>
    <definedName name="UnitOfMeasure177">'Бланк заказа'!$T$324:$T$324</definedName>
    <definedName name="UnitOfMeasure178">'Бланк заказа'!$T$325:$T$325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заказа'!$T$333:$T$333</definedName>
    <definedName name="UnitOfMeasure184">'Бланк заказа'!$T$334:$T$334</definedName>
    <definedName name="UnitOfMeasure185">'Бланк заказа'!$T$335:$T$335</definedName>
    <definedName name="UnitOfMeasure186">'Бланк заказа'!$T$336:$T$336</definedName>
    <definedName name="UnitOfMeasure187">'Бланк заказа'!$T$340:$T$340</definedName>
    <definedName name="UnitOfMeasure188">'Бланк заказа'!$T$345:$T$345</definedName>
    <definedName name="UnitOfMeasure189">'Бланк заказа'!$T$346:$T$346</definedName>
    <definedName name="UnitOfMeasure19">'Бланк заказа'!$T$65:$T$65</definedName>
    <definedName name="UnitOfMeasure190">'Бланк заказа'!$T$350:$T$350</definedName>
    <definedName name="UnitOfMeasure191">'Бланк заказа'!$T$351:$T$351</definedName>
    <definedName name="UnitOfMeasure192">'Бланк заказа'!$T$352:$T$352</definedName>
    <definedName name="UnitOfMeasure193">'Бланк заказа'!$T$353:$T$353</definedName>
    <definedName name="UnitOfMeasure194">'Бланк заказа'!$T$354:$T$354</definedName>
    <definedName name="UnitOfMeasure195">'Бланк заказа'!$T$360:$T$360</definedName>
    <definedName name="UnitOfMeasure196">'Бланк заказа'!$T$361:$T$361</definedName>
    <definedName name="UnitOfMeasure197">'Бланк заказа'!$T$362:$T$362</definedName>
    <definedName name="UnitOfMeasure198">'Бланк заказа'!$T$363:$T$363</definedName>
    <definedName name="UnitOfMeasure199">'Бланк заказа'!$T$364:$T$364</definedName>
    <definedName name="UnitOfMeasure2">'Бланк заказа'!$T$26:$T$26</definedName>
    <definedName name="UnitOfMeasure20">'Бланк заказа'!$T$66:$T$66</definedName>
    <definedName name="UnitOfMeasure200">'Бланк заказа'!$T$365:$T$365</definedName>
    <definedName name="UnitOfMeasure201">'Бланк заказа'!$T$366:$T$366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заказа'!$T$373:$T$373</definedName>
    <definedName name="UnitOfMeasure206">'Бланк заказа'!$T$374:$T$374</definedName>
    <definedName name="UnitOfMeasure207">'Бланк заказа'!$T$378:$T$378</definedName>
    <definedName name="UnitOfMeasure208">'Бланк заказа'!$T$379:$T$379</definedName>
    <definedName name="UnitOfMeasure209">'Бланк заказа'!$T$380:$T$380</definedName>
    <definedName name="UnitOfMeasure21">'Бланк заказа'!$T$67:$T$67</definedName>
    <definedName name="UnitOfMeasure210">'Бланк заказа'!$T$381:$T$381</definedName>
    <definedName name="UnitOfMeasure211">'Бланк заказа'!$T$382:$T$382</definedName>
    <definedName name="UnitOfMeasure212">'Бланк заказа'!$T$383:$T$383</definedName>
    <definedName name="UnitOfMeasure213">'Бланк заказа'!$T$387:$T$387</definedName>
    <definedName name="UnitOfMeasure214">'Бланк заказа'!$T$388:$T$388</definedName>
    <definedName name="UnitOfMeasure215">'Бланк заказа'!$T$394:$T$394</definedName>
    <definedName name="UnitOfMeasure216">'Бланк заказа'!$T$395:$T$395</definedName>
    <definedName name="UnitOfMeasure217">'Бланк заказа'!$T$399:$T$399</definedName>
    <definedName name="UnitOfMeasure218">'Бланк заказа'!$T$400:$T$400</definedName>
    <definedName name="UnitOfMeasure219">'Бланк заказа'!$T$404:$T$404</definedName>
    <definedName name="UnitOfMeasure22">'Бланк заказа'!$T$68:$T$68</definedName>
    <definedName name="UnitOfMeasure220">'Бланк заказа'!$T$405:$T$405</definedName>
    <definedName name="UnitOfMeasure221">'Бланк заказа'!$T$409:$T$409</definedName>
    <definedName name="UnitOfMeasure222">'Бланк заказа'!$T$410:$T$410</definedName>
    <definedName name="UnitOfMeasure223">'Бланк заказа'!$T$411:$T$411</definedName>
    <definedName name="UnitOfMeasure23">'Бланк заказа'!$T$69:$T$69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заказа'!$T$156:$T$156</definedName>
    <definedName name="UnitOfMeasure83">'Бланк заказа'!$T$157:$T$157</definedName>
    <definedName name="UnitOfMeasure84">'Бланк заказа'!$T$161:$T$161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заказа'!$B$18:$W$419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0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6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25"/>
  <sheetViews>
    <sheetView showGridLines="0" tabSelected="1" topLeftCell="A6" zoomScale="93" zoomScaleNormal="93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33">
      <c r="A1" s="48" t="n"/>
      <c r="B1" s="48" t="n"/>
      <c r="C1" s="48" t="n"/>
      <c r="D1" s="295" t="inlineStr">
        <is>
          <t xml:space="preserve">  БЛАНК ЗАКАЗА </t>
        </is>
      </c>
      <c r="G1" s="14" t="inlineStr">
        <is>
          <t>КИ</t>
        </is>
      </c>
      <c r="H1" s="295" t="inlineStr">
        <is>
          <t>на отгрузку продукции с ООО Трейд-Сервис с</t>
        </is>
      </c>
      <c r="O1" s="296" t="inlineStr">
        <is>
          <t>24.07.2023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33">
      <c r="A2" s="34" t="inlineStr">
        <is>
          <t>бланк создан</t>
        </is>
      </c>
      <c r="B2" s="35" t="inlineStr">
        <is>
          <t>20.07.2023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29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33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33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33">
      <c r="A5" s="299" t="inlineStr">
        <is>
          <t xml:space="preserve">Ваш контактный телефон и имя: </t>
        </is>
      </c>
      <c r="B5" s="593" t="n"/>
      <c r="C5" s="594" t="n"/>
      <c r="D5" s="300" t="n"/>
      <c r="E5" s="595" t="n"/>
      <c r="F5" s="301" t="inlineStr">
        <is>
          <t>Комментарий к заказу:</t>
        </is>
      </c>
      <c r="G5" s="594" t="n"/>
      <c r="H5" s="300" t="n"/>
      <c r="I5" s="596" t="n"/>
      <c r="J5" s="596" t="n"/>
      <c r="K5" s="595" t="n"/>
      <c r="M5" s="29" t="inlineStr">
        <is>
          <t>Дата загрузки</t>
        </is>
      </c>
      <c r="N5" s="597" t="n"/>
      <c r="O5" s="598" t="n"/>
      <c r="Q5" s="304" t="inlineStr">
        <is>
          <t>Способ доставки (доставка/самовывоз)</t>
        </is>
      </c>
      <c r="R5" s="599" t="n"/>
      <c r="S5" s="600" t="n"/>
      <c r="T5" s="598" t="n"/>
      <c r="Y5" s="60" t="n"/>
      <c r="Z5" s="60" t="n"/>
      <c r="AA5" s="60" t="n"/>
    </row>
    <row r="6" ht="24" customFormat="1" customHeight="1" s="333">
      <c r="A6" s="299" t="inlineStr">
        <is>
          <t>Адрес доставки:</t>
        </is>
      </c>
      <c r="B6" s="593" t="n"/>
      <c r="C6" s="594" t="n"/>
      <c r="D6" s="307" t="n"/>
      <c r="E6" s="601" t="n"/>
      <c r="F6" s="601" t="n"/>
      <c r="G6" s="601" t="n"/>
      <c r="H6" s="601" t="n"/>
      <c r="I6" s="601" t="n"/>
      <c r="J6" s="601" t="n"/>
      <c r="K6" s="598" t="n"/>
      <c r="M6" s="29" t="inlineStr">
        <is>
          <t>День недели</t>
        </is>
      </c>
      <c r="N6" s="308">
        <f>IF(N5=0," ",CHOOSE(WEEKDAY(N5,2),"Понедельник","Вторник","Среда","Четверг","Пятница","Суббота","Воскресенье"))</f>
        <v/>
      </c>
      <c r="O6" s="602" t="n"/>
      <c r="Q6" s="310" t="inlineStr">
        <is>
          <t>Наименование клиента</t>
        </is>
      </c>
      <c r="R6" s="599" t="n"/>
      <c r="S6" s="603" t="inlineStr">
        <is>
          <t>ОБЩЕСТВО С ОГРАНИЧЕННОЙ ОТВЕТСТВЕННОСТЬЮ "ЛОГИСТИЧЕСКИЙ ПАРТНЕР"</t>
        </is>
      </c>
      <c r="T6" s="604" t="n"/>
      <c r="Y6" s="60" t="n"/>
      <c r="Z6" s="60" t="n"/>
      <c r="AA6" s="60" t="n"/>
    </row>
    <row r="7" hidden="1" ht="21.75" customFormat="1" customHeight="1" s="333">
      <c r="A7" s="65" t="n"/>
      <c r="B7" s="65" t="n"/>
      <c r="C7" s="65" t="n"/>
      <c r="D7" s="605">
        <f>IFERROR(VLOOKUP(DeliveryAddress,Table,3,0),1)</f>
        <v/>
      </c>
      <c r="E7" s="606" t="n"/>
      <c r="F7" s="606" t="n"/>
      <c r="G7" s="606" t="n"/>
      <c r="H7" s="606" t="n"/>
      <c r="I7" s="606" t="n"/>
      <c r="J7" s="606" t="n"/>
      <c r="K7" s="607" t="n"/>
      <c r="M7" s="29" t="n"/>
      <c r="N7" s="49" t="n"/>
      <c r="O7" s="49" t="n"/>
      <c r="Q7" s="1" t="n"/>
      <c r="R7" s="599" t="n"/>
      <c r="S7" s="608" t="n"/>
      <c r="T7" s="609" t="n"/>
      <c r="Y7" s="60" t="n"/>
      <c r="Z7" s="60" t="n"/>
      <c r="AA7" s="60" t="n"/>
    </row>
    <row r="8" ht="25.5" customFormat="1" customHeight="1" s="333">
      <c r="A8" s="320" t="inlineStr">
        <is>
          <t>Адрес сдачи груза:</t>
        </is>
      </c>
      <c r="B8" s="610" t="n"/>
      <c r="C8" s="611" t="n"/>
      <c r="D8" s="321" t="n"/>
      <c r="E8" s="612" t="n"/>
      <c r="F8" s="612" t="n"/>
      <c r="G8" s="612" t="n"/>
      <c r="H8" s="612" t="n"/>
      <c r="I8" s="612" t="n"/>
      <c r="J8" s="612" t="n"/>
      <c r="K8" s="613" t="n"/>
      <c r="M8" s="29" t="inlineStr">
        <is>
          <t>Время загрузки</t>
        </is>
      </c>
      <c r="N8" s="322" t="n"/>
      <c r="O8" s="598" t="n"/>
      <c r="Q8" s="1" t="n"/>
      <c r="R8" s="599" t="n"/>
      <c r="S8" s="608" t="n"/>
      <c r="T8" s="609" t="n"/>
      <c r="Y8" s="60" t="n"/>
      <c r="Z8" s="60" t="n"/>
      <c r="AA8" s="60" t="n"/>
    </row>
    <row r="9" ht="39.95" customFormat="1" customHeight="1" s="333">
      <c r="A9" s="32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24" t="inlineStr"/>
      <c r="E9" s="3" t="n"/>
      <c r="F9" s="32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597" t="n"/>
      <c r="O9" s="598" t="n"/>
      <c r="Q9" s="1" t="n"/>
      <c r="R9" s="599" t="n"/>
      <c r="S9" s="614" t="n"/>
      <c r="T9" s="615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33">
      <c r="A10" s="32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24" t="n"/>
      <c r="E10" s="3" t="n"/>
      <c r="F10" s="32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27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22" t="n"/>
      <c r="O10" s="598" t="n"/>
      <c r="R10" s="29" t="inlineStr">
        <is>
          <t>КОД Аксапты Клиента</t>
        </is>
      </c>
      <c r="S10" s="616" t="inlineStr">
        <is>
          <t>590704</t>
        </is>
      </c>
      <c r="T10" s="604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33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22" t="n"/>
      <c r="O11" s="598" t="n"/>
      <c r="R11" s="29" t="inlineStr">
        <is>
          <t>Тип заказа</t>
        </is>
      </c>
      <c r="S11" s="330" t="inlineStr">
        <is>
          <t>Основной заказ</t>
        </is>
      </c>
      <c r="T11" s="617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33">
      <c r="A12" s="331" t="inlineStr">
        <is>
          <t>Телефоны для заказов: 8(919)002-63-01  E-mail: kolbasa@abiproduct.ru  Телефон сотрудников склада: 8 (910) 775-52-91</t>
        </is>
      </c>
      <c r="B12" s="593" t="n"/>
      <c r="C12" s="593" t="n"/>
      <c r="D12" s="593" t="n"/>
      <c r="E12" s="593" t="n"/>
      <c r="F12" s="593" t="n"/>
      <c r="G12" s="593" t="n"/>
      <c r="H12" s="593" t="n"/>
      <c r="I12" s="593" t="n"/>
      <c r="J12" s="593" t="n"/>
      <c r="K12" s="594" t="n"/>
      <c r="M12" s="29" t="inlineStr">
        <is>
          <t>Время доставки 3 машины</t>
        </is>
      </c>
      <c r="N12" s="332" t="n"/>
      <c r="O12" s="607" t="n"/>
      <c r="P12" s="28" t="n"/>
      <c r="R12" s="29" t="inlineStr"/>
      <c r="S12" s="333" t="n"/>
      <c r="T12" s="1" t="n"/>
      <c r="Y12" s="60" t="n"/>
      <c r="Z12" s="60" t="n"/>
      <c r="AA12" s="60" t="n"/>
    </row>
    <row r="13" ht="23.25" customFormat="1" customHeight="1" s="333">
      <c r="A13" s="331" t="inlineStr">
        <is>
          <t>График приема заказов: Заказы принимаются за ДВА дня до отгрузки Пн-Пт: с 9:00 до 14:00, Суб., Вс. - до 12:00</t>
        </is>
      </c>
      <c r="B13" s="593" t="n"/>
      <c r="C13" s="593" t="n"/>
      <c r="D13" s="593" t="n"/>
      <c r="E13" s="593" t="n"/>
      <c r="F13" s="593" t="n"/>
      <c r="G13" s="593" t="n"/>
      <c r="H13" s="593" t="n"/>
      <c r="I13" s="593" t="n"/>
      <c r="J13" s="593" t="n"/>
      <c r="K13" s="594" t="n"/>
      <c r="L13" s="31" t="n"/>
      <c r="M13" s="31" t="inlineStr">
        <is>
          <t>Время доставки 4 машины</t>
        </is>
      </c>
      <c r="N13" s="330" t="n"/>
      <c r="O13" s="617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33">
      <c r="A14" s="331" t="inlineStr">
        <is>
          <t>Телефон менеджера по логистике: 8 (919) 012-30-55 - по вопросам доставки продукции</t>
        </is>
      </c>
      <c r="B14" s="593" t="n"/>
      <c r="C14" s="593" t="n"/>
      <c r="D14" s="593" t="n"/>
      <c r="E14" s="593" t="n"/>
      <c r="F14" s="593" t="n"/>
      <c r="G14" s="593" t="n"/>
      <c r="H14" s="593" t="n"/>
      <c r="I14" s="593" t="n"/>
      <c r="J14" s="593" t="n"/>
      <c r="K14" s="594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33">
      <c r="A15" s="334" t="inlineStr">
        <is>
          <t>Телефон по работе с претензиями/жалобами (WhatSapp): 8 (980) 757-69-93       E-mail: Claims@abiproduct.ru</t>
        </is>
      </c>
      <c r="B15" s="593" t="n"/>
      <c r="C15" s="593" t="n"/>
      <c r="D15" s="593" t="n"/>
      <c r="E15" s="593" t="n"/>
      <c r="F15" s="593" t="n"/>
      <c r="G15" s="593" t="n"/>
      <c r="H15" s="593" t="n"/>
      <c r="I15" s="593" t="n"/>
      <c r="J15" s="593" t="n"/>
      <c r="K15" s="594" t="n"/>
      <c r="M15" s="336" t="inlineStr">
        <is>
          <t>Кликните на продукт, чтобы просмотреть изображение</t>
        </is>
      </c>
      <c r="U15" s="333" t="n"/>
      <c r="V15" s="333" t="n"/>
      <c r="W15" s="333" t="n"/>
      <c r="X15" s="333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18" t="n"/>
      <c r="N16" s="618" t="n"/>
      <c r="O16" s="618" t="n"/>
      <c r="P16" s="618" t="n"/>
      <c r="Q16" s="618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338" t="inlineStr">
        <is>
          <t>Код единицы продаж</t>
        </is>
      </c>
      <c r="B17" s="338" t="inlineStr">
        <is>
          <t>Код продукта</t>
        </is>
      </c>
      <c r="C17" s="339" t="inlineStr">
        <is>
          <t>Номер варианта</t>
        </is>
      </c>
      <c r="D17" s="338" t="inlineStr">
        <is>
          <t xml:space="preserve">Штрих-код </t>
        </is>
      </c>
      <c r="E17" s="619" t="n"/>
      <c r="F17" s="338" t="inlineStr">
        <is>
          <t>Вес нетто штуки, кг</t>
        </is>
      </c>
      <c r="G17" s="338" t="inlineStr">
        <is>
          <t>Кол-во штук в коробе, шт</t>
        </is>
      </c>
      <c r="H17" s="338" t="inlineStr">
        <is>
          <t>Вес нетто короба, кг</t>
        </is>
      </c>
      <c r="I17" s="338" t="inlineStr">
        <is>
          <t>Вес брутто короба, кг</t>
        </is>
      </c>
      <c r="J17" s="338" t="inlineStr">
        <is>
          <t>Кол-во кор. на паллте, шт</t>
        </is>
      </c>
      <c r="K17" s="338" t="inlineStr">
        <is>
          <t>Завод</t>
        </is>
      </c>
      <c r="L17" s="338" t="inlineStr">
        <is>
          <t>Срок годности, сут.</t>
        </is>
      </c>
      <c r="M17" s="338" t="inlineStr">
        <is>
          <t>Наименование</t>
        </is>
      </c>
      <c r="N17" s="620" t="n"/>
      <c r="O17" s="620" t="n"/>
      <c r="P17" s="620" t="n"/>
      <c r="Q17" s="619" t="n"/>
      <c r="R17" s="337" t="inlineStr">
        <is>
          <t>Доступно к отгрузке</t>
        </is>
      </c>
      <c r="S17" s="594" t="n"/>
      <c r="T17" s="338" t="inlineStr">
        <is>
          <t>Ед. изм.</t>
        </is>
      </c>
      <c r="U17" s="338" t="inlineStr">
        <is>
          <t>Заказ</t>
        </is>
      </c>
      <c r="V17" s="342" t="inlineStr">
        <is>
          <t>Заказ с округлением до короба</t>
        </is>
      </c>
      <c r="W17" s="338" t="inlineStr">
        <is>
          <t>Объём заказа, м3</t>
        </is>
      </c>
      <c r="X17" s="344" t="inlineStr">
        <is>
          <t>Примечание по продуктку</t>
        </is>
      </c>
      <c r="Y17" s="344" t="inlineStr">
        <is>
          <t>Признак "НОВИНКА"</t>
        </is>
      </c>
      <c r="Z17" s="344" t="inlineStr">
        <is>
          <t>Для формул</t>
        </is>
      </c>
      <c r="AA17" s="621" t="n"/>
      <c r="AB17" s="622" t="n"/>
      <c r="AC17" s="351" t="inlineStr">
        <is>
          <t>Вид продукции</t>
        </is>
      </c>
    </row>
    <row r="18" ht="14.25" customHeight="1">
      <c r="A18" s="623" t="n"/>
      <c r="B18" s="623" t="n"/>
      <c r="C18" s="623" t="n"/>
      <c r="D18" s="624" t="n"/>
      <c r="E18" s="625" t="n"/>
      <c r="F18" s="623" t="n"/>
      <c r="G18" s="623" t="n"/>
      <c r="H18" s="623" t="n"/>
      <c r="I18" s="623" t="n"/>
      <c r="J18" s="623" t="n"/>
      <c r="K18" s="623" t="n"/>
      <c r="L18" s="623" t="n"/>
      <c r="M18" s="624" t="n"/>
      <c r="N18" s="626" t="n"/>
      <c r="O18" s="626" t="n"/>
      <c r="P18" s="626" t="n"/>
      <c r="Q18" s="625" t="n"/>
      <c r="R18" s="337" t="inlineStr">
        <is>
          <t>начиная с</t>
        </is>
      </c>
      <c r="S18" s="337" t="inlineStr">
        <is>
          <t>до</t>
        </is>
      </c>
      <c r="T18" s="623" t="n"/>
      <c r="U18" s="623" t="n"/>
      <c r="V18" s="627" t="n"/>
      <c r="W18" s="623" t="n"/>
      <c r="X18" s="628" t="n"/>
      <c r="Y18" s="628" t="n"/>
      <c r="Z18" s="629" t="n"/>
      <c r="AA18" s="630" t="n"/>
      <c r="AB18" s="631" t="n"/>
      <c r="AC18" s="632" t="n"/>
    </row>
    <row r="19" ht="27.75" customHeight="1">
      <c r="A19" s="352" t="inlineStr">
        <is>
          <t>Ядрена копоть</t>
        </is>
      </c>
      <c r="B19" s="633" t="n"/>
      <c r="C19" s="633" t="n"/>
      <c r="D19" s="633" t="n"/>
      <c r="E19" s="633" t="n"/>
      <c r="F19" s="633" t="n"/>
      <c r="G19" s="633" t="n"/>
      <c r="H19" s="633" t="n"/>
      <c r="I19" s="633" t="n"/>
      <c r="J19" s="633" t="n"/>
      <c r="K19" s="633" t="n"/>
      <c r="L19" s="633" t="n"/>
      <c r="M19" s="633" t="n"/>
      <c r="N19" s="633" t="n"/>
      <c r="O19" s="633" t="n"/>
      <c r="P19" s="633" t="n"/>
      <c r="Q19" s="633" t="n"/>
      <c r="R19" s="633" t="n"/>
      <c r="S19" s="633" t="n"/>
      <c r="T19" s="633" t="n"/>
      <c r="U19" s="633" t="n"/>
      <c r="V19" s="633" t="n"/>
      <c r="W19" s="633" t="n"/>
      <c r="X19" s="55" t="n"/>
      <c r="Y19" s="55" t="n"/>
    </row>
    <row r="20" ht="16.5" customHeight="1">
      <c r="A20" s="353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53" t="n"/>
      <c r="Y20" s="353" t="n"/>
    </row>
    <row r="21" ht="14.25" customHeight="1">
      <c r="A21" s="354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54" t="n"/>
      <c r="Y21" s="35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55" t="n">
        <v>4607091389258</v>
      </c>
      <c r="E22" s="602" t="n"/>
      <c r="F22" s="634" t="n">
        <v>0.3</v>
      </c>
      <c r="G22" s="38" t="n">
        <v>6</v>
      </c>
      <c r="H22" s="634" t="n">
        <v>1.8</v>
      </c>
      <c r="I22" s="634" t="n">
        <v>2</v>
      </c>
      <c r="J22" s="38" t="n">
        <v>156</v>
      </c>
      <c r="K22" s="39" t="inlineStr">
        <is>
          <t>СК2</t>
        </is>
      </c>
      <c r="L22" s="38" t="n">
        <v>35</v>
      </c>
      <c r="M22" s="635" t="inlineStr">
        <is>
          <t>В/к колбасы Колбаски Бюргерсы Ядрена копоть 0,3 Ядрена копоть</t>
        </is>
      </c>
      <c r="N22" s="636" t="n"/>
      <c r="O22" s="636" t="n"/>
      <c r="P22" s="636" t="n"/>
      <c r="Q22" s="602" t="n"/>
      <c r="R22" s="40" t="inlineStr"/>
      <c r="S22" s="40" t="inlineStr"/>
      <c r="T22" s="41" t="inlineStr">
        <is>
          <t>кг</t>
        </is>
      </c>
      <c r="U22" s="637" t="n">
        <v>0</v>
      </c>
      <c r="V22" s="638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6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39" t="n"/>
      <c r="M23" s="640" t="inlineStr">
        <is>
          <t>Итого</t>
        </is>
      </c>
      <c r="N23" s="610" t="n"/>
      <c r="O23" s="610" t="n"/>
      <c r="P23" s="610" t="n"/>
      <c r="Q23" s="610" t="n"/>
      <c r="R23" s="610" t="n"/>
      <c r="S23" s="611" t="n"/>
      <c r="T23" s="43" t="inlineStr">
        <is>
          <t>кор</t>
        </is>
      </c>
      <c r="U23" s="641">
        <f>IFERROR(U22/H22,"0")</f>
        <v/>
      </c>
      <c r="V23" s="641">
        <f>IFERROR(V22/H22,"0")</f>
        <v/>
      </c>
      <c r="W23" s="641">
        <f>IFERROR(IF(W22="",0,W22),"0")</f>
        <v/>
      </c>
      <c r="X23" s="642" t="n"/>
      <c r="Y23" s="642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39" t="n"/>
      <c r="M24" s="640" t="inlineStr">
        <is>
          <t>Итого</t>
        </is>
      </c>
      <c r="N24" s="610" t="n"/>
      <c r="O24" s="610" t="n"/>
      <c r="P24" s="610" t="n"/>
      <c r="Q24" s="610" t="n"/>
      <c r="R24" s="610" t="n"/>
      <c r="S24" s="611" t="n"/>
      <c r="T24" s="43" t="inlineStr">
        <is>
          <t>кг</t>
        </is>
      </c>
      <c r="U24" s="641">
        <f>IFERROR(SUM(U22:U22),"0")</f>
        <v/>
      </c>
      <c r="V24" s="641">
        <f>IFERROR(SUM(V22:V22),"0")</f>
        <v/>
      </c>
      <c r="W24" s="43" t="n"/>
      <c r="X24" s="642" t="n"/>
      <c r="Y24" s="642" t="n"/>
    </row>
    <row r="25" ht="14.25" customHeight="1">
      <c r="A25" s="354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54" t="n"/>
      <c r="Y25" s="35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55" t="n">
        <v>4607091383881</v>
      </c>
      <c r="E26" s="602" t="n"/>
      <c r="F26" s="634" t="n">
        <v>0.33</v>
      </c>
      <c r="G26" s="38" t="n">
        <v>6</v>
      </c>
      <c r="H26" s="634" t="n">
        <v>1.98</v>
      </c>
      <c r="I26" s="634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43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36" t="n"/>
      <c r="O26" s="636" t="n"/>
      <c r="P26" s="636" t="n"/>
      <c r="Q26" s="602" t="n"/>
      <c r="R26" s="40" t="inlineStr"/>
      <c r="S26" s="40" t="inlineStr"/>
      <c r="T26" s="41" t="inlineStr">
        <is>
          <t>кг</t>
        </is>
      </c>
      <c r="U26" s="637" t="n">
        <v>0</v>
      </c>
      <c r="V26" s="638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55" t="n">
        <v>4607091388237</v>
      </c>
      <c r="E27" s="602" t="n"/>
      <c r="F27" s="634" t="n">
        <v>0.42</v>
      </c>
      <c r="G27" s="38" t="n">
        <v>6</v>
      </c>
      <c r="H27" s="634" t="n">
        <v>2.52</v>
      </c>
      <c r="I27" s="634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44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36" t="n"/>
      <c r="O27" s="636" t="n"/>
      <c r="P27" s="636" t="n"/>
      <c r="Q27" s="602" t="n"/>
      <c r="R27" s="40" t="inlineStr"/>
      <c r="S27" s="40" t="inlineStr"/>
      <c r="T27" s="41" t="inlineStr">
        <is>
          <t>кг</t>
        </is>
      </c>
      <c r="U27" s="637" t="n">
        <v>0</v>
      </c>
      <c r="V27" s="638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55" t="n">
        <v>4607091383935</v>
      </c>
      <c r="E28" s="602" t="n"/>
      <c r="F28" s="634" t="n">
        <v>0.33</v>
      </c>
      <c r="G28" s="38" t="n">
        <v>6</v>
      </c>
      <c r="H28" s="634" t="n">
        <v>1.98</v>
      </c>
      <c r="I28" s="634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45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36" t="n"/>
      <c r="O28" s="636" t="n"/>
      <c r="P28" s="636" t="n"/>
      <c r="Q28" s="602" t="n"/>
      <c r="R28" s="40" t="inlineStr"/>
      <c r="S28" s="40" t="inlineStr"/>
      <c r="T28" s="41" t="inlineStr">
        <is>
          <t>кг</t>
        </is>
      </c>
      <c r="U28" s="637" t="n">
        <v>0</v>
      </c>
      <c r="V28" s="638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55" t="n">
        <v>4680115881853</v>
      </c>
      <c r="E29" s="602" t="n"/>
      <c r="F29" s="634" t="n">
        <v>0.33</v>
      </c>
      <c r="G29" s="38" t="n">
        <v>6</v>
      </c>
      <c r="H29" s="634" t="n">
        <v>1.98</v>
      </c>
      <c r="I29" s="634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46" t="inlineStr">
        <is>
          <t>Сосиски С соусом Барбекю Ядрена копоть Фикс.вес 0,33 ц/о мгс Ядрена копоть</t>
        </is>
      </c>
      <c r="N29" s="636" t="n"/>
      <c r="O29" s="636" t="n"/>
      <c r="P29" s="636" t="n"/>
      <c r="Q29" s="602" t="n"/>
      <c r="R29" s="40" t="inlineStr"/>
      <c r="S29" s="40" t="inlineStr"/>
      <c r="T29" s="41" t="inlineStr">
        <is>
          <t>кг</t>
        </is>
      </c>
      <c r="U29" s="637" t="n">
        <v>0</v>
      </c>
      <c r="V29" s="638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55" t="n">
        <v>4607091383911</v>
      </c>
      <c r="E30" s="602" t="n"/>
      <c r="F30" s="634" t="n">
        <v>0.33</v>
      </c>
      <c r="G30" s="38" t="n">
        <v>6</v>
      </c>
      <c r="H30" s="634" t="n">
        <v>1.98</v>
      </c>
      <c r="I30" s="634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4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36" t="n"/>
      <c r="O30" s="636" t="n"/>
      <c r="P30" s="636" t="n"/>
      <c r="Q30" s="602" t="n"/>
      <c r="R30" s="40" t="inlineStr"/>
      <c r="S30" s="40" t="inlineStr"/>
      <c r="T30" s="41" t="inlineStr">
        <is>
          <t>кг</t>
        </is>
      </c>
      <c r="U30" s="637" t="n">
        <v>0</v>
      </c>
      <c r="V30" s="638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55" t="n">
        <v>4607091388244</v>
      </c>
      <c r="E31" s="602" t="n"/>
      <c r="F31" s="634" t="n">
        <v>0.42</v>
      </c>
      <c r="G31" s="38" t="n">
        <v>6</v>
      </c>
      <c r="H31" s="634" t="n">
        <v>2.52</v>
      </c>
      <c r="I31" s="634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48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36" t="n"/>
      <c r="O31" s="636" t="n"/>
      <c r="P31" s="636" t="n"/>
      <c r="Q31" s="602" t="n"/>
      <c r="R31" s="40" t="inlineStr"/>
      <c r="S31" s="40" t="inlineStr"/>
      <c r="T31" s="41" t="inlineStr">
        <is>
          <t>кг</t>
        </is>
      </c>
      <c r="U31" s="637" t="n">
        <v>0</v>
      </c>
      <c r="V31" s="638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6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39" t="n"/>
      <c r="M32" s="640" t="inlineStr">
        <is>
          <t>Итого</t>
        </is>
      </c>
      <c r="N32" s="610" t="n"/>
      <c r="O32" s="610" t="n"/>
      <c r="P32" s="610" t="n"/>
      <c r="Q32" s="610" t="n"/>
      <c r="R32" s="610" t="n"/>
      <c r="S32" s="611" t="n"/>
      <c r="T32" s="43" t="inlineStr">
        <is>
          <t>кор</t>
        </is>
      </c>
      <c r="U32" s="641">
        <f>IFERROR(U26/H26,"0")+IFERROR(U27/H27,"0")+IFERROR(U28/H28,"0")+IFERROR(U29/H29,"0")+IFERROR(U30/H30,"0")+IFERROR(U31/H31,"0")</f>
        <v/>
      </c>
      <c r="V32" s="641">
        <f>IFERROR(V26/H26,"0")+IFERROR(V27/H27,"0")+IFERROR(V28/H28,"0")+IFERROR(V29/H29,"0")+IFERROR(V30/H30,"0")+IFERROR(V31/H31,"0")</f>
        <v/>
      </c>
      <c r="W32" s="641">
        <f>IFERROR(IF(W26="",0,W26),"0")+IFERROR(IF(W27="",0,W27),"0")+IFERROR(IF(W28="",0,W28),"0")+IFERROR(IF(W29="",0,W29),"0")+IFERROR(IF(W30="",0,W30),"0")+IFERROR(IF(W31="",0,W31),"0")</f>
        <v/>
      </c>
      <c r="X32" s="642" t="n"/>
      <c r="Y32" s="642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39" t="n"/>
      <c r="M33" s="640" t="inlineStr">
        <is>
          <t>Итого</t>
        </is>
      </c>
      <c r="N33" s="610" t="n"/>
      <c r="O33" s="610" t="n"/>
      <c r="P33" s="610" t="n"/>
      <c r="Q33" s="610" t="n"/>
      <c r="R33" s="610" t="n"/>
      <c r="S33" s="611" t="n"/>
      <c r="T33" s="43" t="inlineStr">
        <is>
          <t>кг</t>
        </is>
      </c>
      <c r="U33" s="641">
        <f>IFERROR(SUM(U26:U31),"0")</f>
        <v/>
      </c>
      <c r="V33" s="641">
        <f>IFERROR(SUM(V26:V31),"0")</f>
        <v/>
      </c>
      <c r="W33" s="43" t="n"/>
      <c r="X33" s="642" t="n"/>
      <c r="Y33" s="642" t="n"/>
    </row>
    <row r="34" ht="14.25" customHeight="1">
      <c r="A34" s="354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54" t="n"/>
      <c r="Y34" s="35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55" t="n">
        <v>4607091388503</v>
      </c>
      <c r="E35" s="602" t="n"/>
      <c r="F35" s="634" t="n">
        <v>0.05</v>
      </c>
      <c r="G35" s="38" t="n">
        <v>12</v>
      </c>
      <c r="H35" s="634" t="n">
        <v>0.6</v>
      </c>
      <c r="I35" s="634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49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36" t="n"/>
      <c r="O35" s="636" t="n"/>
      <c r="P35" s="636" t="n"/>
      <c r="Q35" s="602" t="n"/>
      <c r="R35" s="40" t="inlineStr"/>
      <c r="S35" s="40" t="inlineStr"/>
      <c r="T35" s="41" t="inlineStr">
        <is>
          <t>кг</t>
        </is>
      </c>
      <c r="U35" s="637" t="n">
        <v>0</v>
      </c>
      <c r="V35" s="638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55" t="n">
        <v>4680115880139</v>
      </c>
      <c r="E36" s="602" t="n"/>
      <c r="F36" s="634" t="n">
        <v>0.025</v>
      </c>
      <c r="G36" s="38" t="n">
        <v>10</v>
      </c>
      <c r="H36" s="634" t="n">
        <v>0.25</v>
      </c>
      <c r="I36" s="634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50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36" t="n"/>
      <c r="O36" s="636" t="n"/>
      <c r="P36" s="636" t="n"/>
      <c r="Q36" s="602" t="n"/>
      <c r="R36" s="40" t="inlineStr"/>
      <c r="S36" s="40" t="inlineStr"/>
      <c r="T36" s="41" t="inlineStr">
        <is>
          <t>кг</t>
        </is>
      </c>
      <c r="U36" s="637" t="n">
        <v>0</v>
      </c>
      <c r="V36" s="638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6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39" t="n"/>
      <c r="M37" s="640" t="inlineStr">
        <is>
          <t>Итого</t>
        </is>
      </c>
      <c r="N37" s="610" t="n"/>
      <c r="O37" s="610" t="n"/>
      <c r="P37" s="610" t="n"/>
      <c r="Q37" s="610" t="n"/>
      <c r="R37" s="610" t="n"/>
      <c r="S37" s="611" t="n"/>
      <c r="T37" s="43" t="inlineStr">
        <is>
          <t>кор</t>
        </is>
      </c>
      <c r="U37" s="641">
        <f>IFERROR(U35/H35,"0")+IFERROR(U36/H36,"0")</f>
        <v/>
      </c>
      <c r="V37" s="641">
        <f>IFERROR(V35/H35,"0")+IFERROR(V36/H36,"0")</f>
        <v/>
      </c>
      <c r="W37" s="641">
        <f>IFERROR(IF(W35="",0,W35),"0")+IFERROR(IF(W36="",0,W36),"0")</f>
        <v/>
      </c>
      <c r="X37" s="642" t="n"/>
      <c r="Y37" s="642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39" t="n"/>
      <c r="M38" s="640" t="inlineStr">
        <is>
          <t>Итого</t>
        </is>
      </c>
      <c r="N38" s="610" t="n"/>
      <c r="O38" s="610" t="n"/>
      <c r="P38" s="610" t="n"/>
      <c r="Q38" s="610" t="n"/>
      <c r="R38" s="610" t="n"/>
      <c r="S38" s="611" t="n"/>
      <c r="T38" s="43" t="inlineStr">
        <is>
          <t>кг</t>
        </is>
      </c>
      <c r="U38" s="641">
        <f>IFERROR(SUM(U35:U36),"0")</f>
        <v/>
      </c>
      <c r="V38" s="641">
        <f>IFERROR(SUM(V35:V36),"0")</f>
        <v/>
      </c>
      <c r="W38" s="43" t="n"/>
      <c r="X38" s="642" t="n"/>
      <c r="Y38" s="642" t="n"/>
    </row>
    <row r="39" ht="14.25" customHeight="1">
      <c r="A39" s="354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54" t="n"/>
      <c r="Y39" s="35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55" t="n">
        <v>4607091388282</v>
      </c>
      <c r="E40" s="602" t="n"/>
      <c r="F40" s="634" t="n">
        <v>0.3</v>
      </c>
      <c r="G40" s="38" t="n">
        <v>6</v>
      </c>
      <c r="H40" s="634" t="n">
        <v>1.8</v>
      </c>
      <c r="I40" s="634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51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36" t="n"/>
      <c r="O40" s="636" t="n"/>
      <c r="P40" s="636" t="n"/>
      <c r="Q40" s="602" t="n"/>
      <c r="R40" s="40" t="inlineStr"/>
      <c r="S40" s="40" t="inlineStr"/>
      <c r="T40" s="41" t="inlineStr">
        <is>
          <t>кг</t>
        </is>
      </c>
      <c r="U40" s="637" t="n">
        <v>0</v>
      </c>
      <c r="V40" s="638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6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39" t="n"/>
      <c r="M41" s="640" t="inlineStr">
        <is>
          <t>Итого</t>
        </is>
      </c>
      <c r="N41" s="610" t="n"/>
      <c r="O41" s="610" t="n"/>
      <c r="P41" s="610" t="n"/>
      <c r="Q41" s="610" t="n"/>
      <c r="R41" s="610" t="n"/>
      <c r="S41" s="611" t="n"/>
      <c r="T41" s="43" t="inlineStr">
        <is>
          <t>кор</t>
        </is>
      </c>
      <c r="U41" s="641">
        <f>IFERROR(U40/H40,"0")</f>
        <v/>
      </c>
      <c r="V41" s="641">
        <f>IFERROR(V40/H40,"0")</f>
        <v/>
      </c>
      <c r="W41" s="641">
        <f>IFERROR(IF(W40="",0,W40),"0")</f>
        <v/>
      </c>
      <c r="X41" s="642" t="n"/>
      <c r="Y41" s="642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39" t="n"/>
      <c r="M42" s="640" t="inlineStr">
        <is>
          <t>Итого</t>
        </is>
      </c>
      <c r="N42" s="610" t="n"/>
      <c r="O42" s="610" t="n"/>
      <c r="P42" s="610" t="n"/>
      <c r="Q42" s="610" t="n"/>
      <c r="R42" s="610" t="n"/>
      <c r="S42" s="611" t="n"/>
      <c r="T42" s="43" t="inlineStr">
        <is>
          <t>кг</t>
        </is>
      </c>
      <c r="U42" s="641">
        <f>IFERROR(SUM(U40:U40),"0")</f>
        <v/>
      </c>
      <c r="V42" s="641">
        <f>IFERROR(SUM(V40:V40),"0")</f>
        <v/>
      </c>
      <c r="W42" s="43" t="n"/>
      <c r="X42" s="642" t="n"/>
      <c r="Y42" s="642" t="n"/>
    </row>
    <row r="43" ht="14.25" customHeight="1">
      <c r="A43" s="354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54" t="n"/>
      <c r="Y43" s="35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55" t="n">
        <v>4607091389111</v>
      </c>
      <c r="E44" s="602" t="n"/>
      <c r="F44" s="634" t="n">
        <v>0.025</v>
      </c>
      <c r="G44" s="38" t="n">
        <v>10</v>
      </c>
      <c r="H44" s="634" t="n">
        <v>0.25</v>
      </c>
      <c r="I44" s="634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52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36" t="n"/>
      <c r="O44" s="636" t="n"/>
      <c r="P44" s="636" t="n"/>
      <c r="Q44" s="602" t="n"/>
      <c r="R44" s="40" t="inlineStr"/>
      <c r="S44" s="40" t="inlineStr"/>
      <c r="T44" s="41" t="inlineStr">
        <is>
          <t>кг</t>
        </is>
      </c>
      <c r="U44" s="637" t="n">
        <v>0</v>
      </c>
      <c r="V44" s="638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63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39" t="n"/>
      <c r="M45" s="640" t="inlineStr">
        <is>
          <t>Итого</t>
        </is>
      </c>
      <c r="N45" s="610" t="n"/>
      <c r="O45" s="610" t="n"/>
      <c r="P45" s="610" t="n"/>
      <c r="Q45" s="610" t="n"/>
      <c r="R45" s="610" t="n"/>
      <c r="S45" s="611" t="n"/>
      <c r="T45" s="43" t="inlineStr">
        <is>
          <t>кор</t>
        </is>
      </c>
      <c r="U45" s="641">
        <f>IFERROR(U44/H44,"0")</f>
        <v/>
      </c>
      <c r="V45" s="641">
        <f>IFERROR(V44/H44,"0")</f>
        <v/>
      </c>
      <c r="W45" s="641">
        <f>IFERROR(IF(W44="",0,W44),"0")</f>
        <v/>
      </c>
      <c r="X45" s="642" t="n"/>
      <c r="Y45" s="642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39" t="n"/>
      <c r="M46" s="640" t="inlineStr">
        <is>
          <t>Итого</t>
        </is>
      </c>
      <c r="N46" s="610" t="n"/>
      <c r="O46" s="610" t="n"/>
      <c r="P46" s="610" t="n"/>
      <c r="Q46" s="610" t="n"/>
      <c r="R46" s="610" t="n"/>
      <c r="S46" s="611" t="n"/>
      <c r="T46" s="43" t="inlineStr">
        <is>
          <t>кг</t>
        </is>
      </c>
      <c r="U46" s="641">
        <f>IFERROR(SUM(U44:U44),"0")</f>
        <v/>
      </c>
      <c r="V46" s="641">
        <f>IFERROR(SUM(V44:V44),"0")</f>
        <v/>
      </c>
      <c r="W46" s="43" t="n"/>
      <c r="X46" s="642" t="n"/>
      <c r="Y46" s="642" t="n"/>
    </row>
    <row r="47" ht="27.75" customHeight="1">
      <c r="A47" s="352" t="inlineStr">
        <is>
          <t>Вязанка</t>
        </is>
      </c>
      <c r="B47" s="633" t="n"/>
      <c r="C47" s="633" t="n"/>
      <c r="D47" s="633" t="n"/>
      <c r="E47" s="633" t="n"/>
      <c r="F47" s="633" t="n"/>
      <c r="G47" s="633" t="n"/>
      <c r="H47" s="633" t="n"/>
      <c r="I47" s="633" t="n"/>
      <c r="J47" s="633" t="n"/>
      <c r="K47" s="633" t="n"/>
      <c r="L47" s="633" t="n"/>
      <c r="M47" s="633" t="n"/>
      <c r="N47" s="633" t="n"/>
      <c r="O47" s="633" t="n"/>
      <c r="P47" s="633" t="n"/>
      <c r="Q47" s="633" t="n"/>
      <c r="R47" s="633" t="n"/>
      <c r="S47" s="633" t="n"/>
      <c r="T47" s="633" t="n"/>
      <c r="U47" s="633" t="n"/>
      <c r="V47" s="633" t="n"/>
      <c r="W47" s="633" t="n"/>
      <c r="X47" s="55" t="n"/>
      <c r="Y47" s="55" t="n"/>
    </row>
    <row r="48" ht="16.5" customHeight="1">
      <c r="A48" s="353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53" t="n"/>
      <c r="Y48" s="353" t="n"/>
    </row>
    <row r="49" ht="14.25" customHeight="1">
      <c r="A49" s="354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54" t="n"/>
      <c r="Y49" s="35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55" t="n">
        <v>4680115881440</v>
      </c>
      <c r="E50" s="602" t="n"/>
      <c r="F50" s="634" t="n">
        <v>1.35</v>
      </c>
      <c r="G50" s="38" t="n">
        <v>8</v>
      </c>
      <c r="H50" s="634" t="n">
        <v>10.8</v>
      </c>
      <c r="I50" s="634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53">
        <f>HYPERLINK("https://abi.ru/products/Охлажденные/Вязанка/Столичная/Ветчины/P003234/","Ветчины «Филейская» Весовые Вектор ТМ «Вязанка»")</f>
        <v/>
      </c>
      <c r="N50" s="636" t="n"/>
      <c r="O50" s="636" t="n"/>
      <c r="P50" s="636" t="n"/>
      <c r="Q50" s="602" t="n"/>
      <c r="R50" s="40" t="inlineStr"/>
      <c r="S50" s="40" t="inlineStr"/>
      <c r="T50" s="41" t="inlineStr">
        <is>
          <t>кг</t>
        </is>
      </c>
      <c r="U50" s="637" t="n">
        <v>0</v>
      </c>
      <c r="V50" s="638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55" t="n">
        <v>4680115881433</v>
      </c>
      <c r="E51" s="602" t="n"/>
      <c r="F51" s="634" t="n">
        <v>0.45</v>
      </c>
      <c r="G51" s="38" t="n">
        <v>6</v>
      </c>
      <c r="H51" s="634" t="n">
        <v>2.7</v>
      </c>
      <c r="I51" s="634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54">
        <f>HYPERLINK("https://abi.ru/products/Охлажденные/Вязанка/Столичная/Ветчины/P003226/","Ветчины «Филейская» Фикс.вес 0,45 Вектор ТМ «Вязанка»")</f>
        <v/>
      </c>
      <c r="N51" s="636" t="n"/>
      <c r="O51" s="636" t="n"/>
      <c r="P51" s="636" t="n"/>
      <c r="Q51" s="602" t="n"/>
      <c r="R51" s="40" t="inlineStr"/>
      <c r="S51" s="40" t="inlineStr"/>
      <c r="T51" s="41" t="inlineStr">
        <is>
          <t>кг</t>
        </is>
      </c>
      <c r="U51" s="637" t="n">
        <v>0</v>
      </c>
      <c r="V51" s="638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63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39" t="n"/>
      <c r="M52" s="640" t="inlineStr">
        <is>
          <t>Итого</t>
        </is>
      </c>
      <c r="N52" s="610" t="n"/>
      <c r="O52" s="610" t="n"/>
      <c r="P52" s="610" t="n"/>
      <c r="Q52" s="610" t="n"/>
      <c r="R52" s="610" t="n"/>
      <c r="S52" s="611" t="n"/>
      <c r="T52" s="43" t="inlineStr">
        <is>
          <t>кор</t>
        </is>
      </c>
      <c r="U52" s="641">
        <f>IFERROR(U50/H50,"0")+IFERROR(U51/H51,"0")</f>
        <v/>
      </c>
      <c r="V52" s="641">
        <f>IFERROR(V50/H50,"0")+IFERROR(V51/H51,"0")</f>
        <v/>
      </c>
      <c r="W52" s="641">
        <f>IFERROR(IF(W50="",0,W50),"0")+IFERROR(IF(W51="",0,W51),"0")</f>
        <v/>
      </c>
      <c r="X52" s="642" t="n"/>
      <c r="Y52" s="642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39" t="n"/>
      <c r="M53" s="640" t="inlineStr">
        <is>
          <t>Итого</t>
        </is>
      </c>
      <c r="N53" s="610" t="n"/>
      <c r="O53" s="610" t="n"/>
      <c r="P53" s="610" t="n"/>
      <c r="Q53" s="610" t="n"/>
      <c r="R53" s="610" t="n"/>
      <c r="S53" s="611" t="n"/>
      <c r="T53" s="43" t="inlineStr">
        <is>
          <t>кг</t>
        </is>
      </c>
      <c r="U53" s="641">
        <f>IFERROR(SUM(U50:U51),"0")</f>
        <v/>
      </c>
      <c r="V53" s="641">
        <f>IFERROR(SUM(V50:V51),"0")</f>
        <v/>
      </c>
      <c r="W53" s="43" t="n"/>
      <c r="X53" s="642" t="n"/>
      <c r="Y53" s="642" t="n"/>
    </row>
    <row r="54" ht="16.5" customHeight="1">
      <c r="A54" s="353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53" t="n"/>
      <c r="Y54" s="353" t="n"/>
    </row>
    <row r="55" ht="14.25" customHeight="1">
      <c r="A55" s="354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54" t="n"/>
      <c r="Y55" s="35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55" t="n">
        <v>4680115881426</v>
      </c>
      <c r="E56" s="602" t="n"/>
      <c r="F56" s="634" t="n">
        <v>1.35</v>
      </c>
      <c r="G56" s="38" t="n">
        <v>8</v>
      </c>
      <c r="H56" s="634" t="n">
        <v>10.8</v>
      </c>
      <c r="I56" s="634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55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36" t="n"/>
      <c r="O56" s="636" t="n"/>
      <c r="P56" s="636" t="n"/>
      <c r="Q56" s="602" t="n"/>
      <c r="R56" s="40" t="inlineStr"/>
      <c r="S56" s="40" t="inlineStr"/>
      <c r="T56" s="41" t="inlineStr">
        <is>
          <t>кг</t>
        </is>
      </c>
      <c r="U56" s="637" t="n">
        <v>0</v>
      </c>
      <c r="V56" s="638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55" t="n">
        <v>4680115881419</v>
      </c>
      <c r="E57" s="602" t="n"/>
      <c r="F57" s="634" t="n">
        <v>0.45</v>
      </c>
      <c r="G57" s="38" t="n">
        <v>10</v>
      </c>
      <c r="H57" s="634" t="n">
        <v>4.5</v>
      </c>
      <c r="I57" s="634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56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36" t="n"/>
      <c r="O57" s="636" t="n"/>
      <c r="P57" s="636" t="n"/>
      <c r="Q57" s="602" t="n"/>
      <c r="R57" s="40" t="inlineStr"/>
      <c r="S57" s="40" t="inlineStr"/>
      <c r="T57" s="41" t="inlineStr">
        <is>
          <t>кг</t>
        </is>
      </c>
      <c r="U57" s="637" t="n">
        <v>0</v>
      </c>
      <c r="V57" s="638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55" t="n">
        <v>4680115881525</v>
      </c>
      <c r="E58" s="602" t="n"/>
      <c r="F58" s="634" t="n">
        <v>0.4</v>
      </c>
      <c r="G58" s="38" t="n">
        <v>10</v>
      </c>
      <c r="H58" s="634" t="n">
        <v>4</v>
      </c>
      <c r="I58" s="634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57" t="inlineStr">
        <is>
          <t>Колбаса вареная Филейская ТМ Вязанка ТС Классическая полиамид ф/в 0,4 кг</t>
        </is>
      </c>
      <c r="N58" s="636" t="n"/>
      <c r="O58" s="636" t="n"/>
      <c r="P58" s="636" t="n"/>
      <c r="Q58" s="602" t="n"/>
      <c r="R58" s="40" t="inlineStr"/>
      <c r="S58" s="40" t="inlineStr"/>
      <c r="T58" s="41" t="inlineStr">
        <is>
          <t>кг</t>
        </is>
      </c>
      <c r="U58" s="637" t="n">
        <v>0</v>
      </c>
      <c r="V58" s="638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63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39" t="n"/>
      <c r="M59" s="640" t="inlineStr">
        <is>
          <t>Итого</t>
        </is>
      </c>
      <c r="N59" s="610" t="n"/>
      <c r="O59" s="610" t="n"/>
      <c r="P59" s="610" t="n"/>
      <c r="Q59" s="610" t="n"/>
      <c r="R59" s="610" t="n"/>
      <c r="S59" s="611" t="n"/>
      <c r="T59" s="43" t="inlineStr">
        <is>
          <t>кор</t>
        </is>
      </c>
      <c r="U59" s="641">
        <f>IFERROR(U56/H56,"0")+IFERROR(U57/H57,"0")+IFERROR(U58/H58,"0")</f>
        <v/>
      </c>
      <c r="V59" s="641">
        <f>IFERROR(V56/H56,"0")+IFERROR(V57/H57,"0")+IFERROR(V58/H58,"0")</f>
        <v/>
      </c>
      <c r="W59" s="641">
        <f>IFERROR(IF(W56="",0,W56),"0")+IFERROR(IF(W57="",0,W57),"0")+IFERROR(IF(W58="",0,W58),"0")</f>
        <v/>
      </c>
      <c r="X59" s="642" t="n"/>
      <c r="Y59" s="642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39" t="n"/>
      <c r="M60" s="640" t="inlineStr">
        <is>
          <t>Итого</t>
        </is>
      </c>
      <c r="N60" s="610" t="n"/>
      <c r="O60" s="610" t="n"/>
      <c r="P60" s="610" t="n"/>
      <c r="Q60" s="610" t="n"/>
      <c r="R60" s="610" t="n"/>
      <c r="S60" s="611" t="n"/>
      <c r="T60" s="43" t="inlineStr">
        <is>
          <t>кг</t>
        </is>
      </c>
      <c r="U60" s="641">
        <f>IFERROR(SUM(U56:U58),"0")</f>
        <v/>
      </c>
      <c r="V60" s="641">
        <f>IFERROR(SUM(V56:V58),"0")</f>
        <v/>
      </c>
      <c r="W60" s="43" t="n"/>
      <c r="X60" s="642" t="n"/>
      <c r="Y60" s="642" t="n"/>
    </row>
    <row r="61" ht="16.5" customHeight="1">
      <c r="A61" s="353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53" t="n"/>
      <c r="Y61" s="353" t="n"/>
    </row>
    <row r="62" ht="14.25" customHeight="1">
      <c r="A62" s="354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54" t="n"/>
      <c r="Y62" s="354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55" t="n">
        <v>4607091382945</v>
      </c>
      <c r="E63" s="602" t="n"/>
      <c r="F63" s="634" t="n">
        <v>1.35</v>
      </c>
      <c r="G63" s="38" t="n">
        <v>8</v>
      </c>
      <c r="H63" s="634" t="n">
        <v>10.8</v>
      </c>
      <c r="I63" s="634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58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36" t="n"/>
      <c r="O63" s="636" t="n"/>
      <c r="P63" s="636" t="n"/>
      <c r="Q63" s="602" t="n"/>
      <c r="R63" s="40" t="inlineStr"/>
      <c r="S63" s="40" t="inlineStr"/>
      <c r="T63" s="41" t="inlineStr">
        <is>
          <t>кг</t>
        </is>
      </c>
      <c r="U63" s="637" t="n">
        <v>0</v>
      </c>
      <c r="V63" s="638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55" t="n">
        <v>4607091385670</v>
      </c>
      <c r="E64" s="602" t="n"/>
      <c r="F64" s="634" t="n">
        <v>1.35</v>
      </c>
      <c r="G64" s="38" t="n">
        <v>8</v>
      </c>
      <c r="H64" s="634" t="n">
        <v>10.8</v>
      </c>
      <c r="I64" s="634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59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36" t="n"/>
      <c r="O64" s="636" t="n"/>
      <c r="P64" s="636" t="n"/>
      <c r="Q64" s="602" t="n"/>
      <c r="R64" s="40" t="inlineStr"/>
      <c r="S64" s="40" t="inlineStr"/>
      <c r="T64" s="41" t="inlineStr">
        <is>
          <t>кг</t>
        </is>
      </c>
      <c r="U64" s="637" t="n">
        <v>0</v>
      </c>
      <c r="V64" s="638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55" t="n">
        <v>4680115881327</v>
      </c>
      <c r="E65" s="602" t="n"/>
      <c r="F65" s="634" t="n">
        <v>1.35</v>
      </c>
      <c r="G65" s="38" t="n">
        <v>8</v>
      </c>
      <c r="H65" s="634" t="n">
        <v>10.8</v>
      </c>
      <c r="I65" s="634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60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36" t="n"/>
      <c r="O65" s="636" t="n"/>
      <c r="P65" s="636" t="n"/>
      <c r="Q65" s="602" t="n"/>
      <c r="R65" s="40" t="inlineStr"/>
      <c r="S65" s="40" t="inlineStr"/>
      <c r="T65" s="41" t="inlineStr">
        <is>
          <t>кг</t>
        </is>
      </c>
      <c r="U65" s="637" t="n">
        <v>0</v>
      </c>
      <c r="V65" s="638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55" t="n">
        <v>4607091388312</v>
      </c>
      <c r="E66" s="602" t="n"/>
      <c r="F66" s="634" t="n">
        <v>1.35</v>
      </c>
      <c r="G66" s="38" t="n">
        <v>8</v>
      </c>
      <c r="H66" s="634" t="n">
        <v>10.8</v>
      </c>
      <c r="I66" s="634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61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36" t="n"/>
      <c r="O66" s="636" t="n"/>
      <c r="P66" s="636" t="n"/>
      <c r="Q66" s="602" t="n"/>
      <c r="R66" s="40" t="inlineStr"/>
      <c r="S66" s="40" t="inlineStr"/>
      <c r="T66" s="41" t="inlineStr">
        <is>
          <t>кг</t>
        </is>
      </c>
      <c r="U66" s="637" t="n">
        <v>0</v>
      </c>
      <c r="V66" s="638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55" t="n">
        <v>4680115882133</v>
      </c>
      <c r="E67" s="602" t="n"/>
      <c r="F67" s="634" t="n">
        <v>1.35</v>
      </c>
      <c r="G67" s="38" t="n">
        <v>8</v>
      </c>
      <c r="H67" s="634" t="n">
        <v>10.8</v>
      </c>
      <c r="I67" s="634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62" t="inlineStr">
        <is>
          <t>Вареные колбасы "Сливушка" Вес П/а ТМ "Вязанка"</t>
        </is>
      </c>
      <c r="N67" s="636" t="n"/>
      <c r="O67" s="636" t="n"/>
      <c r="P67" s="636" t="n"/>
      <c r="Q67" s="602" t="n"/>
      <c r="R67" s="40" t="inlineStr"/>
      <c r="S67" s="40" t="inlineStr"/>
      <c r="T67" s="41" t="inlineStr">
        <is>
          <t>кг</t>
        </is>
      </c>
      <c r="U67" s="637" t="n">
        <v>0</v>
      </c>
      <c r="V67" s="638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55" t="n">
        <v>4607091382952</v>
      </c>
      <c r="E68" s="602" t="n"/>
      <c r="F68" s="634" t="n">
        <v>0.5</v>
      </c>
      <c r="G68" s="38" t="n">
        <v>6</v>
      </c>
      <c r="H68" s="634" t="n">
        <v>3</v>
      </c>
      <c r="I68" s="634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63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36" t="n"/>
      <c r="O68" s="636" t="n"/>
      <c r="P68" s="636" t="n"/>
      <c r="Q68" s="602" t="n"/>
      <c r="R68" s="40" t="inlineStr"/>
      <c r="S68" s="40" t="inlineStr"/>
      <c r="T68" s="41" t="inlineStr">
        <is>
          <t>кг</t>
        </is>
      </c>
      <c r="U68" s="637" t="n">
        <v>0</v>
      </c>
      <c r="V68" s="638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55" t="n">
        <v>4607091385687</v>
      </c>
      <c r="E69" s="602" t="n"/>
      <c r="F69" s="634" t="n">
        <v>0.4</v>
      </c>
      <c r="G69" s="38" t="n">
        <v>10</v>
      </c>
      <c r="H69" s="634" t="n">
        <v>4</v>
      </c>
      <c r="I69" s="634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6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36" t="n"/>
      <c r="O69" s="636" t="n"/>
      <c r="P69" s="636" t="n"/>
      <c r="Q69" s="602" t="n"/>
      <c r="R69" s="40" t="inlineStr"/>
      <c r="S69" s="40" t="inlineStr"/>
      <c r="T69" s="41" t="inlineStr">
        <is>
          <t>кг</t>
        </is>
      </c>
      <c r="U69" s="637" t="n">
        <v>0</v>
      </c>
      <c r="V69" s="638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55" t="n">
        <v>4607091384604</v>
      </c>
      <c r="E70" s="602" t="n"/>
      <c r="F70" s="634" t="n">
        <v>0.4</v>
      </c>
      <c r="G70" s="38" t="n">
        <v>10</v>
      </c>
      <c r="H70" s="634" t="n">
        <v>4</v>
      </c>
      <c r="I70" s="634" t="n">
        <v>4.24</v>
      </c>
      <c r="J70" s="38" t="n">
        <v>120</v>
      </c>
      <c r="K70" s="39" t="inlineStr">
        <is>
          <t>СК1</t>
        </is>
      </c>
      <c r="L70" s="38" t="n">
        <v>50</v>
      </c>
      <c r="M70" s="66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0" s="636" t="n"/>
      <c r="O70" s="636" t="n"/>
      <c r="P70" s="636" t="n"/>
      <c r="Q70" s="602" t="n"/>
      <c r="R70" s="40" t="inlineStr"/>
      <c r="S70" s="40" t="inlineStr"/>
      <c r="T70" s="41" t="inlineStr">
        <is>
          <t>кг</t>
        </is>
      </c>
      <c r="U70" s="637" t="n">
        <v>0</v>
      </c>
      <c r="V70" s="638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55" t="n">
        <v>4680115880283</v>
      </c>
      <c r="E71" s="602" t="n"/>
      <c r="F71" s="634" t="n">
        <v>0.6</v>
      </c>
      <c r="G71" s="38" t="n">
        <v>8</v>
      </c>
      <c r="H71" s="634" t="n">
        <v>4.8</v>
      </c>
      <c r="I71" s="634" t="n">
        <v>5.04</v>
      </c>
      <c r="J71" s="38" t="n">
        <v>120</v>
      </c>
      <c r="K71" s="39" t="inlineStr">
        <is>
          <t>СК1</t>
        </is>
      </c>
      <c r="L71" s="38" t="n">
        <v>45</v>
      </c>
      <c r="M71" s="66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1" s="636" t="n"/>
      <c r="O71" s="636" t="n"/>
      <c r="P71" s="636" t="n"/>
      <c r="Q71" s="602" t="n"/>
      <c r="R71" s="40" t="inlineStr"/>
      <c r="S71" s="40" t="inlineStr"/>
      <c r="T71" s="41" t="inlineStr">
        <is>
          <t>кг</t>
        </is>
      </c>
      <c r="U71" s="637" t="n">
        <v>0</v>
      </c>
      <c r="V71" s="638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55" t="n">
        <v>4680115881518</v>
      </c>
      <c r="E72" s="602" t="n"/>
      <c r="F72" s="634" t="n">
        <v>0.4</v>
      </c>
      <c r="G72" s="38" t="n">
        <v>10</v>
      </c>
      <c r="H72" s="634" t="n">
        <v>4</v>
      </c>
      <c r="I72" s="634" t="n">
        <v>4.24</v>
      </c>
      <c r="J72" s="38" t="n">
        <v>120</v>
      </c>
      <c r="K72" s="39" t="inlineStr">
        <is>
          <t>СК3</t>
        </is>
      </c>
      <c r="L72" s="38" t="n">
        <v>50</v>
      </c>
      <c r="M72" s="66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2" s="636" t="n"/>
      <c r="O72" s="636" t="n"/>
      <c r="P72" s="636" t="n"/>
      <c r="Q72" s="602" t="n"/>
      <c r="R72" s="40" t="inlineStr"/>
      <c r="S72" s="40" t="inlineStr"/>
      <c r="T72" s="41" t="inlineStr">
        <is>
          <t>кг</t>
        </is>
      </c>
      <c r="U72" s="637" t="n">
        <v>0</v>
      </c>
      <c r="V72" s="638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55" t="n">
        <v>4680115881303</v>
      </c>
      <c r="E73" s="602" t="n"/>
      <c r="F73" s="634" t="n">
        <v>0.45</v>
      </c>
      <c r="G73" s="38" t="n">
        <v>10</v>
      </c>
      <c r="H73" s="634" t="n">
        <v>4.5</v>
      </c>
      <c r="I73" s="634" t="n">
        <v>4.71</v>
      </c>
      <c r="J73" s="38" t="n">
        <v>120</v>
      </c>
      <c r="K73" s="39" t="inlineStr">
        <is>
          <t>СК4</t>
        </is>
      </c>
      <c r="L73" s="38" t="n">
        <v>50</v>
      </c>
      <c r="M73" s="66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3" s="636" t="n"/>
      <c r="O73" s="636" t="n"/>
      <c r="P73" s="636" t="n"/>
      <c r="Q73" s="602" t="n"/>
      <c r="R73" s="40" t="inlineStr"/>
      <c r="S73" s="40" t="inlineStr"/>
      <c r="T73" s="41" t="inlineStr">
        <is>
          <t>кг</t>
        </is>
      </c>
      <c r="U73" s="637" t="n">
        <v>0</v>
      </c>
      <c r="V73" s="638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55" t="n">
        <v>4607091381986</v>
      </c>
      <c r="E74" s="602" t="n"/>
      <c r="F74" s="634" t="n">
        <v>0.5</v>
      </c>
      <c r="G74" s="38" t="n">
        <v>10</v>
      </c>
      <c r="H74" s="634" t="n">
        <v>5</v>
      </c>
      <c r="I74" s="634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66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36" t="n"/>
      <c r="O74" s="636" t="n"/>
      <c r="P74" s="636" t="n"/>
      <c r="Q74" s="602" t="n"/>
      <c r="R74" s="40" t="inlineStr"/>
      <c r="S74" s="40" t="inlineStr"/>
      <c r="T74" s="41" t="inlineStr">
        <is>
          <t>кг</t>
        </is>
      </c>
      <c r="U74" s="637" t="n">
        <v>0</v>
      </c>
      <c r="V74" s="638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55" t="n">
        <v>4607091388466</v>
      </c>
      <c r="E75" s="602" t="n"/>
      <c r="F75" s="634" t="n">
        <v>0.45</v>
      </c>
      <c r="G75" s="38" t="n">
        <v>6</v>
      </c>
      <c r="H75" s="634" t="n">
        <v>2.7</v>
      </c>
      <c r="I75" s="634" t="n">
        <v>2.9</v>
      </c>
      <c r="J75" s="38" t="n">
        <v>156</v>
      </c>
      <c r="K75" s="39" t="inlineStr">
        <is>
          <t>СК3</t>
        </is>
      </c>
      <c r="L75" s="38" t="n">
        <v>45</v>
      </c>
      <c r="M75" s="67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5" s="636" t="n"/>
      <c r="O75" s="636" t="n"/>
      <c r="P75" s="636" t="n"/>
      <c r="Q75" s="602" t="n"/>
      <c r="R75" s="40" t="inlineStr"/>
      <c r="S75" s="40" t="inlineStr"/>
      <c r="T75" s="41" t="inlineStr">
        <is>
          <t>кг</t>
        </is>
      </c>
      <c r="U75" s="637" t="n">
        <v>0</v>
      </c>
      <c r="V75" s="638">
        <f>IFERROR(IF(U75="",0,CEILING((U75/$H75),1)*$H75),"")</f>
        <v/>
      </c>
      <c r="W75" s="42">
        <f>IFERROR(IF(V75=0,"",ROUNDUP(V75/H75,0)*0.00753),"")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55" t="n">
        <v>4680115880269</v>
      </c>
      <c r="E76" s="602" t="n"/>
      <c r="F76" s="634" t="n">
        <v>0.375</v>
      </c>
      <c r="G76" s="38" t="n">
        <v>10</v>
      </c>
      <c r="H76" s="634" t="n">
        <v>3.75</v>
      </c>
      <c r="I76" s="634" t="n">
        <v>3.99</v>
      </c>
      <c r="J76" s="38" t="n">
        <v>120</v>
      </c>
      <c r="K76" s="39" t="inlineStr">
        <is>
          <t>СК3</t>
        </is>
      </c>
      <c r="L76" s="38" t="n">
        <v>50</v>
      </c>
      <c r="M76" s="67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6" s="636" t="n"/>
      <c r="O76" s="636" t="n"/>
      <c r="P76" s="636" t="n"/>
      <c r="Q76" s="602" t="n"/>
      <c r="R76" s="40" t="inlineStr"/>
      <c r="S76" s="40" t="inlineStr"/>
      <c r="T76" s="41" t="inlineStr">
        <is>
          <t>кг</t>
        </is>
      </c>
      <c r="U76" s="637" t="n">
        <v>0</v>
      </c>
      <c r="V76" s="638">
        <f>IFERROR(IF(U76="",0,CEILING((U76/$H76),1)*$H76),"")</f>
        <v/>
      </c>
      <c r="W76" s="42">
        <f>IFERROR(IF(V76=0,"",ROUNDUP(V76/H76,0)*0.00937),"")</f>
        <v/>
      </c>
      <c r="X76" s="69" t="inlineStr"/>
      <c r="Y76" s="70" t="inlineStr"/>
      <c r="AC76" s="101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55" t="n">
        <v>4680115880429</v>
      </c>
      <c r="E77" s="602" t="n"/>
      <c r="F77" s="634" t="n">
        <v>0.45</v>
      </c>
      <c r="G77" s="38" t="n">
        <v>10</v>
      </c>
      <c r="H77" s="634" t="n">
        <v>4.5</v>
      </c>
      <c r="I77" s="634" t="n">
        <v>4.74</v>
      </c>
      <c r="J77" s="38" t="n">
        <v>120</v>
      </c>
      <c r="K77" s="39" t="inlineStr">
        <is>
          <t>СК3</t>
        </is>
      </c>
      <c r="L77" s="38" t="n">
        <v>50</v>
      </c>
      <c r="M77" s="67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7" s="636" t="n"/>
      <c r="O77" s="636" t="n"/>
      <c r="P77" s="636" t="n"/>
      <c r="Q77" s="602" t="n"/>
      <c r="R77" s="40" t="inlineStr"/>
      <c r="S77" s="40" t="inlineStr"/>
      <c r="T77" s="41" t="inlineStr">
        <is>
          <t>кг</t>
        </is>
      </c>
      <c r="U77" s="637" t="n">
        <v>0</v>
      </c>
      <c r="V77" s="638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55" t="n">
        <v>4680115881457</v>
      </c>
      <c r="E78" s="602" t="n"/>
      <c r="F78" s="634" t="n">
        <v>0.75</v>
      </c>
      <c r="G78" s="38" t="n">
        <v>6</v>
      </c>
      <c r="H78" s="634" t="n">
        <v>4.5</v>
      </c>
      <c r="I78" s="634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67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8" s="636" t="n"/>
      <c r="O78" s="636" t="n"/>
      <c r="P78" s="636" t="n"/>
      <c r="Q78" s="602" t="n"/>
      <c r="R78" s="40" t="inlineStr"/>
      <c r="S78" s="40" t="inlineStr"/>
      <c r="T78" s="41" t="inlineStr">
        <is>
          <t>кг</t>
        </is>
      </c>
      <c r="U78" s="637" t="n">
        <v>0</v>
      </c>
      <c r="V78" s="638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>
      <c r="A79" s="363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639" t="n"/>
      <c r="M79" s="640" t="inlineStr">
        <is>
          <t>Итого</t>
        </is>
      </c>
      <c r="N79" s="610" t="n"/>
      <c r="O79" s="610" t="n"/>
      <c r="P79" s="610" t="n"/>
      <c r="Q79" s="610" t="n"/>
      <c r="R79" s="610" t="n"/>
      <c r="S79" s="611" t="n"/>
      <c r="T79" s="43" t="inlineStr">
        <is>
          <t>кор</t>
        </is>
      </c>
      <c r="U79" s="641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/>
      </c>
      <c r="V79" s="641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41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/>
      </c>
      <c r="X79" s="642" t="n"/>
      <c r="Y79" s="642" t="n"/>
    </row>
    <row r="80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39" t="n"/>
      <c r="M80" s="640" t="inlineStr">
        <is>
          <t>Итого</t>
        </is>
      </c>
      <c r="N80" s="610" t="n"/>
      <c r="O80" s="610" t="n"/>
      <c r="P80" s="610" t="n"/>
      <c r="Q80" s="610" t="n"/>
      <c r="R80" s="610" t="n"/>
      <c r="S80" s="611" t="n"/>
      <c r="T80" s="43" t="inlineStr">
        <is>
          <t>кг</t>
        </is>
      </c>
      <c r="U80" s="641">
        <f>IFERROR(SUM(U63:U78),"0")</f>
        <v/>
      </c>
      <c r="V80" s="641">
        <f>IFERROR(SUM(V63:V78),"0")</f>
        <v/>
      </c>
      <c r="W80" s="43" t="n"/>
      <c r="X80" s="642" t="n"/>
      <c r="Y80" s="642" t="n"/>
    </row>
    <row r="81" ht="14.25" customHeight="1">
      <c r="A81" s="354" t="inlineStr">
        <is>
          <t>Ветчины</t>
        </is>
      </c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354" t="n"/>
      <c r="Y81" s="354" t="n"/>
    </row>
    <row r="82" ht="16.5" customHeight="1">
      <c r="A82" s="64" t="inlineStr">
        <is>
          <t>SU001944</t>
        </is>
      </c>
      <c r="B82" s="64" t="inlineStr">
        <is>
          <t>P001620</t>
        </is>
      </c>
      <c r="C82" s="37" t="n">
        <v>4301020204</v>
      </c>
      <c r="D82" s="355" t="n">
        <v>4607091388442</v>
      </c>
      <c r="E82" s="602" t="n"/>
      <c r="F82" s="634" t="n">
        <v>1.35</v>
      </c>
      <c r="G82" s="38" t="n">
        <v>8</v>
      </c>
      <c r="H82" s="634" t="n">
        <v>10.8</v>
      </c>
      <c r="I82" s="634" t="n">
        <v>11.28</v>
      </c>
      <c r="J82" s="38" t="n">
        <v>56</v>
      </c>
      <c r="K82" s="39" t="inlineStr">
        <is>
          <t>СК1</t>
        </is>
      </c>
      <c r="L82" s="38" t="n">
        <v>45</v>
      </c>
      <c r="M82" s="67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2" s="636" t="n"/>
      <c r="O82" s="636" t="n"/>
      <c r="P82" s="636" t="n"/>
      <c r="Q82" s="602" t="n"/>
      <c r="R82" s="40" t="inlineStr"/>
      <c r="S82" s="40" t="inlineStr"/>
      <c r="T82" s="41" t="inlineStr">
        <is>
          <t>кг</t>
        </is>
      </c>
      <c r="U82" s="637" t="n">
        <v>0</v>
      </c>
      <c r="V82" s="638">
        <f>IFERROR(IF(U82="",0,CEILING((U82/$H82),1)*$H82),"")</f>
        <v/>
      </c>
      <c r="W82" s="42">
        <f>IFERROR(IF(V82=0,"",ROUNDUP(V82/H82,0)*0.02175),"")</f>
        <v/>
      </c>
      <c r="X82" s="69" t="inlineStr"/>
      <c r="Y82" s="70" t="inlineStr"/>
      <c r="AC82" s="104" t="inlineStr">
        <is>
          <t>КИ</t>
        </is>
      </c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55" t="n">
        <v>4607091384789</v>
      </c>
      <c r="E83" s="602" t="n"/>
      <c r="F83" s="634" t="n">
        <v>1</v>
      </c>
      <c r="G83" s="38" t="n">
        <v>6</v>
      </c>
      <c r="H83" s="634" t="n">
        <v>6</v>
      </c>
      <c r="I83" s="634" t="n">
        <v>6.36</v>
      </c>
      <c r="J83" s="38" t="n">
        <v>104</v>
      </c>
      <c r="K83" s="39" t="inlineStr">
        <is>
          <t>СК1</t>
        </is>
      </c>
      <c r="L83" s="38" t="n">
        <v>45</v>
      </c>
      <c r="M83" s="675" t="inlineStr">
        <is>
          <t>Ветчины Запекуша с сочным окороком Вязанка Весовые П/а Вязанка</t>
        </is>
      </c>
      <c r="N83" s="636" t="n"/>
      <c r="O83" s="636" t="n"/>
      <c r="P83" s="636" t="n"/>
      <c r="Q83" s="602" t="n"/>
      <c r="R83" s="40" t="inlineStr"/>
      <c r="S83" s="40" t="inlineStr"/>
      <c r="T83" s="41" t="inlineStr">
        <is>
          <t>кг</t>
        </is>
      </c>
      <c r="U83" s="637" t="n">
        <v>0</v>
      </c>
      <c r="V83" s="638">
        <f>IFERROR(IF(U83="",0,CEILING((U83/$H83),1)*$H83),"")</f>
        <v/>
      </c>
      <c r="W83" s="42">
        <f>IFERROR(IF(V83=0,"",ROUNDUP(V83/H83,0)*0.01196),"")</f>
        <v/>
      </c>
      <c r="X83" s="69" t="inlineStr"/>
      <c r="Y83" s="70" t="inlineStr"/>
      <c r="AC83" s="105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55" t="n">
        <v>4680115881488</v>
      </c>
      <c r="E84" s="602" t="n"/>
      <c r="F84" s="634" t="n">
        <v>1.35</v>
      </c>
      <c r="G84" s="38" t="n">
        <v>8</v>
      </c>
      <c r="H84" s="634" t="n">
        <v>10.8</v>
      </c>
      <c r="I84" s="634" t="n">
        <v>11.28</v>
      </c>
      <c r="J84" s="38" t="n">
        <v>48</v>
      </c>
      <c r="K84" s="39" t="inlineStr">
        <is>
          <t>СК1</t>
        </is>
      </c>
      <c r="L84" s="38" t="n">
        <v>50</v>
      </c>
      <c r="M84" s="676">
        <f>HYPERLINK("https://abi.ru/products/Охлажденные/Вязанка/Вязанка/Ветчины/P003236/","Ветчины Сливушка с индейкой Вязанка вес П/а Вязанка")</f>
        <v/>
      </c>
      <c r="N84" s="636" t="n"/>
      <c r="O84" s="636" t="n"/>
      <c r="P84" s="636" t="n"/>
      <c r="Q84" s="602" t="n"/>
      <c r="R84" s="40" t="inlineStr"/>
      <c r="S84" s="40" t="inlineStr"/>
      <c r="T84" s="41" t="inlineStr">
        <is>
          <t>кг</t>
        </is>
      </c>
      <c r="U84" s="637" t="n">
        <v>0</v>
      </c>
      <c r="V84" s="638">
        <f>IFERROR(IF(U84="",0,CEILING((U84/$H84),1)*$H84),"")</f>
        <v/>
      </c>
      <c r="W84" s="42">
        <f>IFERROR(IF(V84=0,"",ROUNDUP(V84/H84,0)*0.02175),"")</f>
        <v/>
      </c>
      <c r="X84" s="69" t="inlineStr"/>
      <c r="Y84" s="70" t="inlineStr"/>
      <c r="AC84" s="106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55" t="n">
        <v>4607091384765</v>
      </c>
      <c r="E85" s="602" t="n"/>
      <c r="F85" s="634" t="n">
        <v>0.42</v>
      </c>
      <c r="G85" s="38" t="n">
        <v>6</v>
      </c>
      <c r="H85" s="634" t="n">
        <v>2.52</v>
      </c>
      <c r="I85" s="634" t="n">
        <v>2.72</v>
      </c>
      <c r="J85" s="38" t="n">
        <v>156</v>
      </c>
      <c r="K85" s="39" t="inlineStr">
        <is>
          <t>СК1</t>
        </is>
      </c>
      <c r="L85" s="38" t="n">
        <v>45</v>
      </c>
      <c r="M85" s="677" t="inlineStr">
        <is>
          <t>Ветчины Запекуша с сочным окороком Вязанка Фикс.вес 0,42 п/а Вязанка</t>
        </is>
      </c>
      <c r="N85" s="636" t="n"/>
      <c r="O85" s="636" t="n"/>
      <c r="P85" s="636" t="n"/>
      <c r="Q85" s="602" t="n"/>
      <c r="R85" s="40" t="inlineStr"/>
      <c r="S85" s="40" t="inlineStr"/>
      <c r="T85" s="41" t="inlineStr">
        <is>
          <t>кг</t>
        </is>
      </c>
      <c r="U85" s="637" t="n">
        <v>0</v>
      </c>
      <c r="V85" s="638">
        <f>IFERROR(IF(U85="",0,CEILING((U85/$H85),1)*$H85),"")</f>
        <v/>
      </c>
      <c r="W85" s="42">
        <f>IFERROR(IF(V85=0,"",ROUNDUP(V85/H85,0)*0.00753),"")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SU002735</t>
        </is>
      </c>
      <c r="B86" s="64" t="inlineStr">
        <is>
          <t>P003107</t>
        </is>
      </c>
      <c r="C86" s="37" t="n">
        <v>4301020217</v>
      </c>
      <c r="D86" s="355" t="n">
        <v>4680115880658</v>
      </c>
      <c r="E86" s="602" t="n"/>
      <c r="F86" s="634" t="n">
        <v>0.4</v>
      </c>
      <c r="G86" s="38" t="n">
        <v>6</v>
      </c>
      <c r="H86" s="634" t="n">
        <v>2.4</v>
      </c>
      <c r="I86" s="634" t="n">
        <v>2.6</v>
      </c>
      <c r="J86" s="38" t="n">
        <v>156</v>
      </c>
      <c r="K86" s="39" t="inlineStr">
        <is>
          <t>СК1</t>
        </is>
      </c>
      <c r="L86" s="38" t="n">
        <v>50</v>
      </c>
      <c r="M86" s="67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6" s="636" t="n"/>
      <c r="O86" s="636" t="n"/>
      <c r="P86" s="636" t="n"/>
      <c r="Q86" s="602" t="n"/>
      <c r="R86" s="40" t="inlineStr"/>
      <c r="S86" s="40" t="inlineStr"/>
      <c r="T86" s="41" t="inlineStr">
        <is>
          <t>кг</t>
        </is>
      </c>
      <c r="U86" s="637" t="n">
        <v>0</v>
      </c>
      <c r="V86" s="638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SU000082</t>
        </is>
      </c>
      <c r="B87" s="64" t="inlineStr">
        <is>
          <t>P003164</t>
        </is>
      </c>
      <c r="C87" s="37" t="n">
        <v>4301020223</v>
      </c>
      <c r="D87" s="355" t="n">
        <v>4607091381962</v>
      </c>
      <c r="E87" s="602" t="n"/>
      <c r="F87" s="634" t="n">
        <v>0.5</v>
      </c>
      <c r="G87" s="38" t="n">
        <v>6</v>
      </c>
      <c r="H87" s="634" t="n">
        <v>3</v>
      </c>
      <c r="I87" s="634" t="n">
        <v>3.2</v>
      </c>
      <c r="J87" s="38" t="n">
        <v>156</v>
      </c>
      <c r="K87" s="39" t="inlineStr">
        <is>
          <t>СК1</t>
        </is>
      </c>
      <c r="L87" s="38" t="n">
        <v>50</v>
      </c>
      <c r="M87" s="679">
        <f>HYPERLINK("https://abi.ru/products/Охлажденные/Вязанка/Вязанка/Ветчины/P003164/","Ветчины Столичная Вязанка Фикс.вес 0,5 Вектор Вязанка")</f>
        <v/>
      </c>
      <c r="N87" s="636" t="n"/>
      <c r="O87" s="636" t="n"/>
      <c r="P87" s="636" t="n"/>
      <c r="Q87" s="602" t="n"/>
      <c r="R87" s="40" t="inlineStr"/>
      <c r="S87" s="40" t="inlineStr"/>
      <c r="T87" s="41" t="inlineStr">
        <is>
          <t>кг</t>
        </is>
      </c>
      <c r="U87" s="637" t="n">
        <v>0</v>
      </c>
      <c r="V87" s="638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>
      <c r="A88" s="363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639" t="n"/>
      <c r="M88" s="640" t="inlineStr">
        <is>
          <t>Итого</t>
        </is>
      </c>
      <c r="N88" s="610" t="n"/>
      <c r="O88" s="610" t="n"/>
      <c r="P88" s="610" t="n"/>
      <c r="Q88" s="610" t="n"/>
      <c r="R88" s="610" t="n"/>
      <c r="S88" s="611" t="n"/>
      <c r="T88" s="43" t="inlineStr">
        <is>
          <t>кор</t>
        </is>
      </c>
      <c r="U88" s="641">
        <f>IFERROR(U82/H82,"0")+IFERROR(U83/H83,"0")+IFERROR(U84/H84,"0")+IFERROR(U85/H85,"0")+IFERROR(U86/H86,"0")+IFERROR(U87/H87,"0")</f>
        <v/>
      </c>
      <c r="V88" s="641">
        <f>IFERROR(V82/H82,"0")+IFERROR(V83/H83,"0")+IFERROR(V84/H84,"0")+IFERROR(V85/H85,"0")+IFERROR(V86/H86,"0")+IFERROR(V87/H87,"0")</f>
        <v/>
      </c>
      <c r="W88" s="641">
        <f>IFERROR(IF(W82="",0,W82),"0")+IFERROR(IF(W83="",0,W83),"0")+IFERROR(IF(W84="",0,W84),"0")+IFERROR(IF(W85="",0,W85),"0")+IFERROR(IF(W86="",0,W86),"0")+IFERROR(IF(W87="",0,W87),"0")</f>
        <v/>
      </c>
      <c r="X88" s="642" t="n"/>
      <c r="Y88" s="642" t="n"/>
    </row>
    <row r="89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39" t="n"/>
      <c r="M89" s="640" t="inlineStr">
        <is>
          <t>Итого</t>
        </is>
      </c>
      <c r="N89" s="610" t="n"/>
      <c r="O89" s="610" t="n"/>
      <c r="P89" s="610" t="n"/>
      <c r="Q89" s="610" t="n"/>
      <c r="R89" s="610" t="n"/>
      <c r="S89" s="611" t="n"/>
      <c r="T89" s="43" t="inlineStr">
        <is>
          <t>кг</t>
        </is>
      </c>
      <c r="U89" s="641">
        <f>IFERROR(SUM(U82:U87),"0")</f>
        <v/>
      </c>
      <c r="V89" s="641">
        <f>IFERROR(SUM(V82:V87),"0")</f>
        <v/>
      </c>
      <c r="W89" s="43" t="n"/>
      <c r="X89" s="642" t="n"/>
      <c r="Y89" s="642" t="n"/>
    </row>
    <row r="90" ht="14.25" customHeight="1">
      <c r="A90" s="354" t="inlineStr">
        <is>
          <t>Копченые колбасы</t>
        </is>
      </c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354" t="n"/>
      <c r="Y90" s="354" t="n"/>
    </row>
    <row r="91" ht="16.5" customHeight="1">
      <c r="A91" s="64" t="inlineStr">
        <is>
          <t>SU000064</t>
        </is>
      </c>
      <c r="B91" s="64" t="inlineStr">
        <is>
          <t>P001841</t>
        </is>
      </c>
      <c r="C91" s="37" t="n">
        <v>4301030895</v>
      </c>
      <c r="D91" s="355" t="n">
        <v>4607091387667</v>
      </c>
      <c r="E91" s="602" t="n"/>
      <c r="F91" s="634" t="n">
        <v>0.9</v>
      </c>
      <c r="G91" s="38" t="n">
        <v>10</v>
      </c>
      <c r="H91" s="634" t="n">
        <v>9</v>
      </c>
      <c r="I91" s="634" t="n">
        <v>9.630000000000001</v>
      </c>
      <c r="J91" s="38" t="n">
        <v>56</v>
      </c>
      <c r="K91" s="39" t="inlineStr">
        <is>
          <t>СК1</t>
        </is>
      </c>
      <c r="L91" s="38" t="n">
        <v>40</v>
      </c>
      <c r="M91" s="68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1" s="636" t="n"/>
      <c r="O91" s="636" t="n"/>
      <c r="P91" s="636" t="n"/>
      <c r="Q91" s="602" t="n"/>
      <c r="R91" s="40" t="inlineStr"/>
      <c r="S91" s="40" t="inlineStr"/>
      <c r="T91" s="41" t="inlineStr">
        <is>
          <t>кг</t>
        </is>
      </c>
      <c r="U91" s="637" t="n">
        <v>0</v>
      </c>
      <c r="V91" s="638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110" t="inlineStr">
        <is>
          <t>КИ</t>
        </is>
      </c>
    </row>
    <row r="92" ht="27" customHeight="1">
      <c r="A92" s="64" t="inlineStr">
        <is>
          <t>SU000664</t>
        </is>
      </c>
      <c r="B92" s="64" t="inlineStr">
        <is>
          <t>P002177</t>
        </is>
      </c>
      <c r="C92" s="37" t="n">
        <v>4301030961</v>
      </c>
      <c r="D92" s="355" t="n">
        <v>4607091387636</v>
      </c>
      <c r="E92" s="602" t="n"/>
      <c r="F92" s="634" t="n">
        <v>0.7</v>
      </c>
      <c r="G92" s="38" t="n">
        <v>6</v>
      </c>
      <c r="H92" s="634" t="n">
        <v>4.2</v>
      </c>
      <c r="I92" s="634" t="n">
        <v>4.5</v>
      </c>
      <c r="J92" s="38" t="n">
        <v>120</v>
      </c>
      <c r="K92" s="39" t="inlineStr">
        <is>
          <t>СК2</t>
        </is>
      </c>
      <c r="L92" s="38" t="n">
        <v>40</v>
      </c>
      <c r="M92" s="68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2" s="636" t="n"/>
      <c r="O92" s="636" t="n"/>
      <c r="P92" s="636" t="n"/>
      <c r="Q92" s="602" t="n"/>
      <c r="R92" s="40" t="inlineStr"/>
      <c r="S92" s="40" t="inlineStr"/>
      <c r="T92" s="41" t="inlineStr">
        <is>
          <t>кг</t>
        </is>
      </c>
      <c r="U92" s="637" t="n">
        <v>0</v>
      </c>
      <c r="V92" s="638">
        <f>IFERROR(IF(U92="",0,CEILING((U92/$H92),1)*$H92),"")</f>
        <v/>
      </c>
      <c r="W92" s="42">
        <f>IFERROR(IF(V92=0,"",ROUNDUP(V92/H92,0)*0.00937),"")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SU002308</t>
        </is>
      </c>
      <c r="B93" s="64" t="inlineStr">
        <is>
          <t>P002572</t>
        </is>
      </c>
      <c r="C93" s="37" t="n">
        <v>4301031078</v>
      </c>
      <c r="D93" s="355" t="n">
        <v>4607091384727</v>
      </c>
      <c r="E93" s="602" t="n"/>
      <c r="F93" s="634" t="n">
        <v>0.8</v>
      </c>
      <c r="G93" s="38" t="n">
        <v>6</v>
      </c>
      <c r="H93" s="634" t="n">
        <v>4.8</v>
      </c>
      <c r="I93" s="634" t="n">
        <v>5.16</v>
      </c>
      <c r="J93" s="38" t="n">
        <v>104</v>
      </c>
      <c r="K93" s="39" t="inlineStr">
        <is>
          <t>СК2</t>
        </is>
      </c>
      <c r="L93" s="38" t="n">
        <v>45</v>
      </c>
      <c r="M93" s="68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3" s="636" t="n"/>
      <c r="O93" s="636" t="n"/>
      <c r="P93" s="636" t="n"/>
      <c r="Q93" s="602" t="n"/>
      <c r="R93" s="40" t="inlineStr"/>
      <c r="S93" s="40" t="inlineStr"/>
      <c r="T93" s="41" t="inlineStr">
        <is>
          <t>кг</t>
        </is>
      </c>
      <c r="U93" s="637" t="n">
        <v>0</v>
      </c>
      <c r="V93" s="638">
        <f>IFERROR(IF(U93="",0,CEILING((U93/$H93),1)*$H93),"")</f>
        <v/>
      </c>
      <c r="W93" s="42">
        <f>IFERROR(IF(V93=0,"",ROUNDUP(V93/H93,0)*0.01196),"")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SU002310</t>
        </is>
      </c>
      <c r="B94" s="64" t="inlineStr">
        <is>
          <t>P002574</t>
        </is>
      </c>
      <c r="C94" s="37" t="n">
        <v>4301031080</v>
      </c>
      <c r="D94" s="355" t="n">
        <v>4607091386745</v>
      </c>
      <c r="E94" s="602" t="n"/>
      <c r="F94" s="634" t="n">
        <v>0.8</v>
      </c>
      <c r="G94" s="38" t="n">
        <v>6</v>
      </c>
      <c r="H94" s="634" t="n">
        <v>4.8</v>
      </c>
      <c r="I94" s="634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68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4" s="636" t="n"/>
      <c r="O94" s="636" t="n"/>
      <c r="P94" s="636" t="n"/>
      <c r="Q94" s="602" t="n"/>
      <c r="R94" s="40" t="inlineStr"/>
      <c r="S94" s="40" t="inlineStr"/>
      <c r="T94" s="41" t="inlineStr">
        <is>
          <t>кг</t>
        </is>
      </c>
      <c r="U94" s="637" t="n">
        <v>0</v>
      </c>
      <c r="V94" s="638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16.5" customHeight="1">
      <c r="A95" s="64" t="inlineStr">
        <is>
          <t>SU000097</t>
        </is>
      </c>
      <c r="B95" s="64" t="inlineStr">
        <is>
          <t>P002179</t>
        </is>
      </c>
      <c r="C95" s="37" t="n">
        <v>4301030963</v>
      </c>
      <c r="D95" s="355" t="n">
        <v>4607091382426</v>
      </c>
      <c r="E95" s="602" t="n"/>
      <c r="F95" s="634" t="n">
        <v>0.9</v>
      </c>
      <c r="G95" s="38" t="n">
        <v>10</v>
      </c>
      <c r="H95" s="634" t="n">
        <v>9</v>
      </c>
      <c r="I95" s="634" t="n">
        <v>9.630000000000001</v>
      </c>
      <c r="J95" s="38" t="n">
        <v>56</v>
      </c>
      <c r="K95" s="39" t="inlineStr">
        <is>
          <t>СК2</t>
        </is>
      </c>
      <c r="L95" s="38" t="n">
        <v>40</v>
      </c>
      <c r="M95" s="68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5" s="636" t="n"/>
      <c r="O95" s="636" t="n"/>
      <c r="P95" s="636" t="n"/>
      <c r="Q95" s="602" t="n"/>
      <c r="R95" s="40" t="inlineStr"/>
      <c r="S95" s="40" t="inlineStr"/>
      <c r="T95" s="41" t="inlineStr">
        <is>
          <t>кг</t>
        </is>
      </c>
      <c r="U95" s="637" t="n">
        <v>0</v>
      </c>
      <c r="V95" s="638">
        <f>IFERROR(IF(U95="",0,CEILING((U95/$H95),1)*$H95),"")</f>
        <v/>
      </c>
      <c r="W95" s="42">
        <f>IFERROR(IF(V95=0,"",ROUNDUP(V95/H95,0)*0.02175),"")</f>
        <v/>
      </c>
      <c r="X95" s="69" t="inlineStr"/>
      <c r="Y95" s="70" t="inlineStr"/>
      <c r="AC95" s="114" t="inlineStr">
        <is>
          <t>КИ</t>
        </is>
      </c>
    </row>
    <row r="96" ht="27" customHeight="1">
      <c r="A96" s="64" t="inlineStr">
        <is>
          <t>SU000665</t>
        </is>
      </c>
      <c r="B96" s="64" t="inlineStr">
        <is>
          <t>P002178</t>
        </is>
      </c>
      <c r="C96" s="37" t="n">
        <v>4301030962</v>
      </c>
      <c r="D96" s="355" t="n">
        <v>4607091386547</v>
      </c>
      <c r="E96" s="602" t="n"/>
      <c r="F96" s="634" t="n">
        <v>0.35</v>
      </c>
      <c r="G96" s="38" t="n">
        <v>8</v>
      </c>
      <c r="H96" s="634" t="n">
        <v>2.8</v>
      </c>
      <c r="I96" s="634" t="n">
        <v>2.94</v>
      </c>
      <c r="J96" s="38" t="n">
        <v>234</v>
      </c>
      <c r="K96" s="39" t="inlineStr">
        <is>
          <t>СК2</t>
        </is>
      </c>
      <c r="L96" s="38" t="n">
        <v>40</v>
      </c>
      <c r="M96" s="68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6" s="636" t="n"/>
      <c r="O96" s="636" t="n"/>
      <c r="P96" s="636" t="n"/>
      <c r="Q96" s="602" t="n"/>
      <c r="R96" s="40" t="inlineStr"/>
      <c r="S96" s="40" t="inlineStr"/>
      <c r="T96" s="41" t="inlineStr">
        <is>
          <t>кг</t>
        </is>
      </c>
      <c r="U96" s="637" t="n">
        <v>0</v>
      </c>
      <c r="V96" s="638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SU002307</t>
        </is>
      </c>
      <c r="B97" s="64" t="inlineStr">
        <is>
          <t>P002571</t>
        </is>
      </c>
      <c r="C97" s="37" t="n">
        <v>4301031077</v>
      </c>
      <c r="D97" s="355" t="n">
        <v>4607091384703</v>
      </c>
      <c r="E97" s="602" t="n"/>
      <c r="F97" s="634" t="n">
        <v>0.35</v>
      </c>
      <c r="G97" s="38" t="n">
        <v>6</v>
      </c>
      <c r="H97" s="634" t="n">
        <v>2.1</v>
      </c>
      <c r="I97" s="634" t="n">
        <v>2.2</v>
      </c>
      <c r="J97" s="38" t="n">
        <v>234</v>
      </c>
      <c r="K97" s="39" t="inlineStr">
        <is>
          <t>СК2</t>
        </is>
      </c>
      <c r="L97" s="38" t="n">
        <v>45</v>
      </c>
      <c r="M97" s="68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7" s="636" t="n"/>
      <c r="O97" s="636" t="n"/>
      <c r="P97" s="636" t="n"/>
      <c r="Q97" s="602" t="n"/>
      <c r="R97" s="40" t="inlineStr"/>
      <c r="S97" s="40" t="inlineStr"/>
      <c r="T97" s="41" t="inlineStr">
        <is>
          <t>кг</t>
        </is>
      </c>
      <c r="U97" s="637" t="n">
        <v>0</v>
      </c>
      <c r="V97" s="638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55" t="n">
        <v>4607091384734</v>
      </c>
      <c r="E98" s="602" t="n"/>
      <c r="F98" s="634" t="n">
        <v>0.35</v>
      </c>
      <c r="G98" s="38" t="n">
        <v>6</v>
      </c>
      <c r="H98" s="634" t="n">
        <v>2.1</v>
      </c>
      <c r="I98" s="634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68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8" s="636" t="n"/>
      <c r="O98" s="636" t="n"/>
      <c r="P98" s="636" t="n"/>
      <c r="Q98" s="602" t="n"/>
      <c r="R98" s="40" t="inlineStr"/>
      <c r="S98" s="40" t="inlineStr"/>
      <c r="T98" s="41" t="inlineStr">
        <is>
          <t>кг</t>
        </is>
      </c>
      <c r="U98" s="637" t="n">
        <v>0</v>
      </c>
      <c r="V98" s="638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55" t="n">
        <v>4607091382464</v>
      </c>
      <c r="E99" s="602" t="n"/>
      <c r="F99" s="634" t="n">
        <v>0.35</v>
      </c>
      <c r="G99" s="38" t="n">
        <v>8</v>
      </c>
      <c r="H99" s="634" t="n">
        <v>2.8</v>
      </c>
      <c r="I99" s="634" t="n">
        <v>2.964</v>
      </c>
      <c r="J99" s="38" t="n">
        <v>234</v>
      </c>
      <c r="K99" s="39" t="inlineStr">
        <is>
          <t>СК2</t>
        </is>
      </c>
      <c r="L99" s="38" t="n">
        <v>40</v>
      </c>
      <c r="M99" s="68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9" s="636" t="n"/>
      <c r="O99" s="636" t="n"/>
      <c r="P99" s="636" t="n"/>
      <c r="Q99" s="602" t="n"/>
      <c r="R99" s="40" t="inlineStr"/>
      <c r="S99" s="40" t="inlineStr"/>
      <c r="T99" s="41" t="inlineStr">
        <is>
          <t>кг</t>
        </is>
      </c>
      <c r="U99" s="637" t="n">
        <v>0</v>
      </c>
      <c r="V99" s="638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>
      <c r="A100" s="363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639" t="n"/>
      <c r="M100" s="640" t="inlineStr">
        <is>
          <t>Итого</t>
        </is>
      </c>
      <c r="N100" s="610" t="n"/>
      <c r="O100" s="610" t="n"/>
      <c r="P100" s="610" t="n"/>
      <c r="Q100" s="610" t="n"/>
      <c r="R100" s="610" t="n"/>
      <c r="S100" s="611" t="n"/>
      <c r="T100" s="43" t="inlineStr">
        <is>
          <t>кор</t>
        </is>
      </c>
      <c r="U100" s="641">
        <f>IFERROR(U91/H91,"0")+IFERROR(U92/H92,"0")+IFERROR(U93/H93,"0")+IFERROR(U94/H94,"0")+IFERROR(U95/H95,"0")+IFERROR(U96/H96,"0")+IFERROR(U97/H97,"0")+IFERROR(U98/H98,"0")+IFERROR(U99/H99,"0")</f>
        <v/>
      </c>
      <c r="V100" s="641">
        <f>IFERROR(V91/H91,"0")+IFERROR(V92/H92,"0")+IFERROR(V93/H93,"0")+IFERROR(V94/H94,"0")+IFERROR(V95/H95,"0")+IFERROR(V96/H96,"0")+IFERROR(V97/H97,"0")+IFERROR(V98/H98,"0")+IFERROR(V99/H99,"0")</f>
        <v/>
      </c>
      <c r="W100" s="641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/>
      </c>
      <c r="X100" s="642" t="n"/>
      <c r="Y100" s="642" t="n"/>
    </row>
    <row r="101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39" t="n"/>
      <c r="M101" s="640" t="inlineStr">
        <is>
          <t>Итого</t>
        </is>
      </c>
      <c r="N101" s="610" t="n"/>
      <c r="O101" s="610" t="n"/>
      <c r="P101" s="610" t="n"/>
      <c r="Q101" s="610" t="n"/>
      <c r="R101" s="610" t="n"/>
      <c r="S101" s="611" t="n"/>
      <c r="T101" s="43" t="inlineStr">
        <is>
          <t>кг</t>
        </is>
      </c>
      <c r="U101" s="641">
        <f>IFERROR(SUM(U91:U99),"0")</f>
        <v/>
      </c>
      <c r="V101" s="641">
        <f>IFERROR(SUM(V91:V99),"0")</f>
        <v/>
      </c>
      <c r="W101" s="43" t="n"/>
      <c r="X101" s="642" t="n"/>
      <c r="Y101" s="642" t="n"/>
    </row>
    <row r="102" ht="14.25" customHeight="1">
      <c r="A102" s="354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354" t="n"/>
      <c r="Y102" s="35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55" t="n">
        <v>4607091386967</v>
      </c>
      <c r="E103" s="602" t="n"/>
      <c r="F103" s="634" t="n">
        <v>1.35</v>
      </c>
      <c r="G103" s="38" t="n">
        <v>6</v>
      </c>
      <c r="H103" s="634" t="n">
        <v>8.1</v>
      </c>
      <c r="I103" s="634" t="n">
        <v>8.664</v>
      </c>
      <c r="J103" s="38" t="n">
        <v>56</v>
      </c>
      <c r="K103" s="39" t="inlineStr">
        <is>
          <t>СК3</t>
        </is>
      </c>
      <c r="L103" s="38" t="n">
        <v>45</v>
      </c>
      <c r="M103" s="689" t="inlineStr">
        <is>
          <t>Сосиски Молокуши (Вязанка Молочные) Вязанка Весовые П/а мгс Вязанка</t>
        </is>
      </c>
      <c r="N103" s="636" t="n"/>
      <c r="O103" s="636" t="n"/>
      <c r="P103" s="636" t="n"/>
      <c r="Q103" s="602" t="n"/>
      <c r="R103" s="40" t="inlineStr"/>
      <c r="S103" s="40" t="inlineStr"/>
      <c r="T103" s="41" t="inlineStr">
        <is>
          <t>кг</t>
        </is>
      </c>
      <c r="U103" s="637" t="n">
        <v>45</v>
      </c>
      <c r="V103" s="638">
        <f>IFERROR(IF(U103="",0,CEILING((U103/$H103),1)*$H103),"")</f>
        <v/>
      </c>
      <c r="W103" s="42">
        <f>IFERROR(IF(V103=0,"",ROUNDUP(V103/H103,0)*0.02175),"")</f>
        <v/>
      </c>
      <c r="X103" s="69" t="inlineStr"/>
      <c r="Y103" s="70" t="inlineStr"/>
      <c r="AC103" s="119" t="inlineStr">
        <is>
          <t>КИ</t>
        </is>
      </c>
    </row>
    <row r="104" ht="16.5" customHeight="1">
      <c r="A104" s="64" t="inlineStr">
        <is>
          <t>SU001351</t>
        </is>
      </c>
      <c r="B104" s="64" t="inlineStr">
        <is>
          <t>P003025</t>
        </is>
      </c>
      <c r="C104" s="37" t="n">
        <v>4301051311</v>
      </c>
      <c r="D104" s="355" t="n">
        <v>4607091385304</v>
      </c>
      <c r="E104" s="602" t="n"/>
      <c r="F104" s="634" t="n">
        <v>1.35</v>
      </c>
      <c r="G104" s="38" t="n">
        <v>6</v>
      </c>
      <c r="H104" s="634" t="n">
        <v>8.1</v>
      </c>
      <c r="I104" s="634" t="n">
        <v>8.664</v>
      </c>
      <c r="J104" s="38" t="n">
        <v>56</v>
      </c>
      <c r="K104" s="39" t="inlineStr">
        <is>
          <t>СК2</t>
        </is>
      </c>
      <c r="L104" s="38" t="n">
        <v>40</v>
      </c>
      <c r="M104" s="690">
        <f>HYPERLINK("https://abi.ru/products/Охлажденные/Вязанка/Вязанка/Сосиски/P003025/","Сосиски Рубленые Вязанка Весовые п/а мгс Вязанка")</f>
        <v/>
      </c>
      <c r="N104" s="636" t="n"/>
      <c r="O104" s="636" t="n"/>
      <c r="P104" s="636" t="n"/>
      <c r="Q104" s="602" t="n"/>
      <c r="R104" s="40" t="inlineStr"/>
      <c r="S104" s="40" t="inlineStr"/>
      <c r="T104" s="41" t="inlineStr">
        <is>
          <t>кг</t>
        </is>
      </c>
      <c r="U104" s="637" t="n">
        <v>0</v>
      </c>
      <c r="V104" s="638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SU001527</t>
        </is>
      </c>
      <c r="B105" s="64" t="inlineStr">
        <is>
          <t>P002217</t>
        </is>
      </c>
      <c r="C105" s="37" t="n">
        <v>4301051306</v>
      </c>
      <c r="D105" s="355" t="n">
        <v>4607091386264</v>
      </c>
      <c r="E105" s="602" t="n"/>
      <c r="F105" s="634" t="n">
        <v>0.5</v>
      </c>
      <c r="G105" s="38" t="n">
        <v>6</v>
      </c>
      <c r="H105" s="634" t="n">
        <v>3</v>
      </c>
      <c r="I105" s="634" t="n">
        <v>3.278</v>
      </c>
      <c r="J105" s="38" t="n">
        <v>156</v>
      </c>
      <c r="K105" s="39" t="inlineStr">
        <is>
          <t>СК2</t>
        </is>
      </c>
      <c r="L105" s="38" t="n">
        <v>31</v>
      </c>
      <c r="M105" s="691">
        <f>HYPERLINK("https://abi.ru/products/Охлажденные/Вязанка/Вязанка/Сосиски/P002217/","Сосиски Венские Вязанка Фикс.вес 0,5 NDX мгс Вязанка")</f>
        <v/>
      </c>
      <c r="N105" s="636" t="n"/>
      <c r="O105" s="636" t="n"/>
      <c r="P105" s="636" t="n"/>
      <c r="Q105" s="602" t="n"/>
      <c r="R105" s="40" t="inlineStr"/>
      <c r="S105" s="40" t="inlineStr"/>
      <c r="T105" s="41" t="inlineStr">
        <is>
          <t>кг</t>
        </is>
      </c>
      <c r="U105" s="637" t="n">
        <v>0</v>
      </c>
      <c r="V105" s="638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121" t="inlineStr">
        <is>
          <t>КИ</t>
        </is>
      </c>
    </row>
    <row r="106" ht="27" customHeight="1">
      <c r="A106" s="64" t="inlineStr">
        <is>
          <t>SU001718</t>
        </is>
      </c>
      <c r="B106" s="64" t="inlineStr">
        <is>
          <t>P003327</t>
        </is>
      </c>
      <c r="C106" s="37" t="n">
        <v>4301051436</v>
      </c>
      <c r="D106" s="355" t="n">
        <v>4607091385731</v>
      </c>
      <c r="E106" s="602" t="n"/>
      <c r="F106" s="634" t="n">
        <v>0.45</v>
      </c>
      <c r="G106" s="38" t="n">
        <v>6</v>
      </c>
      <c r="H106" s="634" t="n">
        <v>2.7</v>
      </c>
      <c r="I106" s="634" t="n">
        <v>2.972</v>
      </c>
      <c r="J106" s="38" t="n">
        <v>156</v>
      </c>
      <c r="K106" s="39" t="inlineStr">
        <is>
          <t>СК3</t>
        </is>
      </c>
      <c r="L106" s="38" t="n">
        <v>45</v>
      </c>
      <c r="M106" s="692" t="inlineStr">
        <is>
          <t>Сосиски Молокуши (Вязанка Молочные) Вязанка Фикс.вес 0,45 П/а мгс Вязанка</t>
        </is>
      </c>
      <c r="N106" s="636" t="n"/>
      <c r="O106" s="636" t="n"/>
      <c r="P106" s="636" t="n"/>
      <c r="Q106" s="602" t="n"/>
      <c r="R106" s="40" t="inlineStr"/>
      <c r="S106" s="40" t="inlineStr"/>
      <c r="T106" s="41" t="inlineStr">
        <is>
          <t>кг</t>
        </is>
      </c>
      <c r="U106" s="637" t="n">
        <v>171</v>
      </c>
      <c r="V106" s="638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SU002658</t>
        </is>
      </c>
      <c r="B107" s="64" t="inlineStr">
        <is>
          <t>P003326</t>
        </is>
      </c>
      <c r="C107" s="37" t="n">
        <v>4301051439</v>
      </c>
      <c r="D107" s="355" t="n">
        <v>4680115880214</v>
      </c>
      <c r="E107" s="602" t="n"/>
      <c r="F107" s="634" t="n">
        <v>0.45</v>
      </c>
      <c r="G107" s="38" t="n">
        <v>6</v>
      </c>
      <c r="H107" s="634" t="n">
        <v>2.7</v>
      </c>
      <c r="I107" s="634" t="n">
        <v>2.988</v>
      </c>
      <c r="J107" s="38" t="n">
        <v>120</v>
      </c>
      <c r="K107" s="39" t="inlineStr">
        <is>
          <t>СК3</t>
        </is>
      </c>
      <c r="L107" s="38" t="n">
        <v>45</v>
      </c>
      <c r="M107" s="693" t="inlineStr">
        <is>
          <t>Сосиски Молокуши миникушай Вязанка Ф/в 0,45 амилюкс мгс Вязанка</t>
        </is>
      </c>
      <c r="N107" s="636" t="n"/>
      <c r="O107" s="636" t="n"/>
      <c r="P107" s="636" t="n"/>
      <c r="Q107" s="602" t="n"/>
      <c r="R107" s="40" t="inlineStr"/>
      <c r="S107" s="40" t="inlineStr"/>
      <c r="T107" s="41" t="inlineStr">
        <is>
          <t>кг</t>
        </is>
      </c>
      <c r="U107" s="637" t="n">
        <v>0</v>
      </c>
      <c r="V107" s="638">
        <f>IFERROR(IF(U107="",0,CEILING((U107/$H107),1)*$H107),"")</f>
        <v/>
      </c>
      <c r="W107" s="42">
        <f>IFERROR(IF(V107=0,"",ROUNDUP(V107/H107,0)*0.00937),"")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SU002769</t>
        </is>
      </c>
      <c r="B108" s="64" t="inlineStr">
        <is>
          <t>P003324</t>
        </is>
      </c>
      <c r="C108" s="37" t="n">
        <v>4301051438</v>
      </c>
      <c r="D108" s="355" t="n">
        <v>4680115880894</v>
      </c>
      <c r="E108" s="602" t="n"/>
      <c r="F108" s="634" t="n">
        <v>0.33</v>
      </c>
      <c r="G108" s="38" t="n">
        <v>6</v>
      </c>
      <c r="H108" s="634" t="n">
        <v>1.98</v>
      </c>
      <c r="I108" s="634" t="n">
        <v>2.258</v>
      </c>
      <c r="J108" s="38" t="n">
        <v>156</v>
      </c>
      <c r="K108" s="39" t="inlineStr">
        <is>
          <t>СК3</t>
        </is>
      </c>
      <c r="L108" s="38" t="n">
        <v>45</v>
      </c>
      <c r="M108" s="694" t="inlineStr">
        <is>
          <t>Сосиски Молокуши Миникушай Вязанка фикс.вес 0,33 п/а Вязанка</t>
        </is>
      </c>
      <c r="N108" s="636" t="n"/>
      <c r="O108" s="636" t="n"/>
      <c r="P108" s="636" t="n"/>
      <c r="Q108" s="602" t="n"/>
      <c r="R108" s="40" t="inlineStr"/>
      <c r="S108" s="40" t="inlineStr"/>
      <c r="T108" s="41" t="inlineStr">
        <is>
          <t>кг</t>
        </is>
      </c>
      <c r="U108" s="637" t="n">
        <v>0</v>
      </c>
      <c r="V108" s="638">
        <f>IFERROR(IF(U108="",0,CEILING((U108/$H108),1)*$H108),"")</f>
        <v/>
      </c>
      <c r="W108" s="42">
        <f>IFERROR(IF(V108=0,"",ROUNDUP(V108/H108,0)*0.00753),"")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SU001354</t>
        </is>
      </c>
      <c r="B109" s="64" t="inlineStr">
        <is>
          <t>P003030</t>
        </is>
      </c>
      <c r="C109" s="37" t="n">
        <v>4301051313</v>
      </c>
      <c r="D109" s="355" t="n">
        <v>4607091385427</v>
      </c>
      <c r="E109" s="602" t="n"/>
      <c r="F109" s="634" t="n">
        <v>0.5</v>
      </c>
      <c r="G109" s="38" t="n">
        <v>6</v>
      </c>
      <c r="H109" s="634" t="n">
        <v>3</v>
      </c>
      <c r="I109" s="634" t="n">
        <v>3.272</v>
      </c>
      <c r="J109" s="38" t="n">
        <v>156</v>
      </c>
      <c r="K109" s="39" t="inlineStr">
        <is>
          <t>СК2</t>
        </is>
      </c>
      <c r="L109" s="38" t="n">
        <v>40</v>
      </c>
      <c r="M109" s="695">
        <f>HYPERLINK("https://abi.ru/products/Охлажденные/Вязанка/Вязанка/Сосиски/P003030/","Сосиски Рубленые Вязанка Фикс.вес 0,5 п/а мгс Вязанка")</f>
        <v/>
      </c>
      <c r="N109" s="636" t="n"/>
      <c r="O109" s="636" t="n"/>
      <c r="P109" s="636" t="n"/>
      <c r="Q109" s="602" t="n"/>
      <c r="R109" s="40" t="inlineStr"/>
      <c r="S109" s="40" t="inlineStr"/>
      <c r="T109" s="41" t="inlineStr">
        <is>
          <t>кг</t>
        </is>
      </c>
      <c r="U109" s="637" t="n">
        <v>0</v>
      </c>
      <c r="V109" s="638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>
      <c r="A110" s="363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639" t="n"/>
      <c r="M110" s="640" t="inlineStr">
        <is>
          <t>Итого</t>
        </is>
      </c>
      <c r="N110" s="610" t="n"/>
      <c r="O110" s="610" t="n"/>
      <c r="P110" s="610" t="n"/>
      <c r="Q110" s="610" t="n"/>
      <c r="R110" s="610" t="n"/>
      <c r="S110" s="611" t="n"/>
      <c r="T110" s="43" t="inlineStr">
        <is>
          <t>кор</t>
        </is>
      </c>
      <c r="U110" s="641">
        <f>IFERROR(U103/H103,"0")+IFERROR(U104/H104,"0")+IFERROR(U105/H105,"0")+IFERROR(U106/H106,"0")+IFERROR(U107/H107,"0")+IFERROR(U108/H108,"0")+IFERROR(U109/H109,"0")</f>
        <v/>
      </c>
      <c r="V110" s="641">
        <f>IFERROR(V103/H103,"0")+IFERROR(V104/H104,"0")+IFERROR(V105/H105,"0")+IFERROR(V106/H106,"0")+IFERROR(V107/H107,"0")+IFERROR(V108/H108,"0")+IFERROR(V109/H109,"0")</f>
        <v/>
      </c>
      <c r="W110" s="641">
        <f>IFERROR(IF(W103="",0,W103),"0")+IFERROR(IF(W104="",0,W104),"0")+IFERROR(IF(W105="",0,W105),"0")+IFERROR(IF(W106="",0,W106),"0")+IFERROR(IF(W107="",0,W107),"0")+IFERROR(IF(W108="",0,W108),"0")+IFERROR(IF(W109="",0,W109),"0")</f>
        <v/>
      </c>
      <c r="X110" s="642" t="n"/>
      <c r="Y110" s="642" t="n"/>
    </row>
    <row r="111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39" t="n"/>
      <c r="M111" s="640" t="inlineStr">
        <is>
          <t>Итого</t>
        </is>
      </c>
      <c r="N111" s="610" t="n"/>
      <c r="O111" s="610" t="n"/>
      <c r="P111" s="610" t="n"/>
      <c r="Q111" s="610" t="n"/>
      <c r="R111" s="610" t="n"/>
      <c r="S111" s="611" t="n"/>
      <c r="T111" s="43" t="inlineStr">
        <is>
          <t>кг</t>
        </is>
      </c>
      <c r="U111" s="641">
        <f>IFERROR(SUM(U103:U109),"0")</f>
        <v/>
      </c>
      <c r="V111" s="641">
        <f>IFERROR(SUM(V103:V109),"0")</f>
        <v/>
      </c>
      <c r="W111" s="43" t="n"/>
      <c r="X111" s="642" t="n"/>
      <c r="Y111" s="642" t="n"/>
    </row>
    <row r="112" ht="14.25" customHeight="1">
      <c r="A112" s="354" t="inlineStr">
        <is>
          <t>Сардельки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354" t="n"/>
      <c r="Y112" s="354" t="n"/>
    </row>
    <row r="113" ht="27" customHeight="1">
      <c r="A113" s="64" t="inlineStr">
        <is>
          <t>SU002071</t>
        </is>
      </c>
      <c r="B113" s="64" t="inlineStr">
        <is>
          <t>P002233</t>
        </is>
      </c>
      <c r="C113" s="37" t="n">
        <v>4301060296</v>
      </c>
      <c r="D113" s="355" t="n">
        <v>4607091383065</v>
      </c>
      <c r="E113" s="602" t="n"/>
      <c r="F113" s="634" t="n">
        <v>0.83</v>
      </c>
      <c r="G113" s="38" t="n">
        <v>4</v>
      </c>
      <c r="H113" s="634" t="n">
        <v>3.32</v>
      </c>
      <c r="I113" s="634" t="n">
        <v>3.582</v>
      </c>
      <c r="J113" s="38" t="n">
        <v>120</v>
      </c>
      <c r="K113" s="39" t="inlineStr">
        <is>
          <t>СК2</t>
        </is>
      </c>
      <c r="L113" s="38" t="n">
        <v>30</v>
      </c>
      <c r="M113" s="69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3" s="636" t="n"/>
      <c r="O113" s="636" t="n"/>
      <c r="P113" s="636" t="n"/>
      <c r="Q113" s="602" t="n"/>
      <c r="R113" s="40" t="inlineStr"/>
      <c r="S113" s="40" t="inlineStr"/>
      <c r="T113" s="41" t="inlineStr">
        <is>
          <t>кг</t>
        </is>
      </c>
      <c r="U113" s="637" t="n">
        <v>0</v>
      </c>
      <c r="V113" s="638">
        <f>IFERROR(IF(U113="",0,CEILING((U113/$H113),1)*$H113),"")</f>
        <v/>
      </c>
      <c r="W113" s="42">
        <f>IFERROR(IF(V113=0,"",ROUNDUP(V113/H113,0)*0.00937),"")</f>
        <v/>
      </c>
      <c r="X113" s="69" t="inlineStr"/>
      <c r="Y113" s="70" t="inlineStr"/>
      <c r="AC113" s="126" t="inlineStr">
        <is>
          <t>КИ</t>
        </is>
      </c>
    </row>
    <row r="114" ht="27" customHeight="1">
      <c r="A114" s="64" t="inlineStr">
        <is>
          <t>SU001831</t>
        </is>
      </c>
      <c r="B114" s="64" t="inlineStr">
        <is>
          <t>P002042</t>
        </is>
      </c>
      <c r="C114" s="37" t="n">
        <v>4301060282</v>
      </c>
      <c r="D114" s="355" t="n">
        <v>4607091380699</v>
      </c>
      <c r="E114" s="602" t="n"/>
      <c r="F114" s="634" t="n">
        <v>1.3</v>
      </c>
      <c r="G114" s="38" t="n">
        <v>6</v>
      </c>
      <c r="H114" s="634" t="n">
        <v>7.8</v>
      </c>
      <c r="I114" s="634" t="n">
        <v>8.364000000000001</v>
      </c>
      <c r="J114" s="38" t="n">
        <v>56</v>
      </c>
      <c r="K114" s="39" t="inlineStr">
        <is>
          <t>СК2</t>
        </is>
      </c>
      <c r="L114" s="38" t="n">
        <v>30</v>
      </c>
      <c r="M114" s="697">
        <f>HYPERLINK("https://abi.ru/products/Охлажденные/Вязанка/Вязанка/Сардельки/P002042/","Сардельки Стародворские Вязанка Весовые NDX мгс Вязанка")</f>
        <v/>
      </c>
      <c r="N114" s="636" t="n"/>
      <c r="O114" s="636" t="n"/>
      <c r="P114" s="636" t="n"/>
      <c r="Q114" s="602" t="n"/>
      <c r="R114" s="40" t="inlineStr"/>
      <c r="S114" s="40" t="inlineStr"/>
      <c r="T114" s="41" t="inlineStr">
        <is>
          <t>кг</t>
        </is>
      </c>
      <c r="U114" s="637" t="n">
        <v>0</v>
      </c>
      <c r="V114" s="638">
        <f>IFERROR(IF(U114="",0,CEILING((U114/$H114),1)*$H114),"")</f>
        <v/>
      </c>
      <c r="W114" s="42">
        <f>IFERROR(IF(V114=0,"",ROUNDUP(V114/H114,0)*0.02175),"")</f>
        <v/>
      </c>
      <c r="X114" s="69" t="inlineStr"/>
      <c r="Y114" s="70" t="inlineStr"/>
      <c r="AC114" s="127" t="inlineStr">
        <is>
          <t>КИ</t>
        </is>
      </c>
    </row>
    <row r="115" ht="16.5" customHeight="1">
      <c r="A115" s="64" t="inlineStr">
        <is>
          <t>SU002367</t>
        </is>
      </c>
      <c r="B115" s="64" t="inlineStr">
        <is>
          <t>P002644</t>
        </is>
      </c>
      <c r="C115" s="37" t="n">
        <v>4301060309</v>
      </c>
      <c r="D115" s="355" t="n">
        <v>4680115880238</v>
      </c>
      <c r="E115" s="602" t="n"/>
      <c r="F115" s="634" t="n">
        <v>0.33</v>
      </c>
      <c r="G115" s="38" t="n">
        <v>6</v>
      </c>
      <c r="H115" s="634" t="n">
        <v>1.98</v>
      </c>
      <c r="I115" s="634" t="n">
        <v>2.258</v>
      </c>
      <c r="J115" s="38" t="n">
        <v>156</v>
      </c>
      <c r="K115" s="39" t="inlineStr">
        <is>
          <t>СК2</t>
        </is>
      </c>
      <c r="L115" s="38" t="n">
        <v>40</v>
      </c>
      <c r="M115" s="698" t="inlineStr">
        <is>
          <t>Сардельки Сливушки #минидельки ТМ Вязанка айпил мгс ф/в 0,33 кг</t>
        </is>
      </c>
      <c r="N115" s="636" t="n"/>
      <c r="O115" s="636" t="n"/>
      <c r="P115" s="636" t="n"/>
      <c r="Q115" s="602" t="n"/>
      <c r="R115" s="40" t="inlineStr"/>
      <c r="S115" s="40" t="inlineStr"/>
      <c r="T115" s="41" t="inlineStr">
        <is>
          <t>кг</t>
        </is>
      </c>
      <c r="U115" s="637" t="n">
        <v>0</v>
      </c>
      <c r="V115" s="638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128" t="inlineStr">
        <is>
          <t>КИ</t>
        </is>
      </c>
    </row>
    <row r="116" ht="27" customHeight="1">
      <c r="A116" s="64" t="inlineStr">
        <is>
          <t>SU002834</t>
        </is>
      </c>
      <c r="B116" s="64" t="inlineStr">
        <is>
          <t>P003238</t>
        </is>
      </c>
      <c r="C116" s="37" t="n">
        <v>4301060351</v>
      </c>
      <c r="D116" s="355" t="n">
        <v>4680115881464</v>
      </c>
      <c r="E116" s="602" t="n"/>
      <c r="F116" s="634" t="n">
        <v>0.4</v>
      </c>
      <c r="G116" s="38" t="n">
        <v>6</v>
      </c>
      <c r="H116" s="634" t="n">
        <v>2.4</v>
      </c>
      <c r="I116" s="634" t="n">
        <v>2.6</v>
      </c>
      <c r="J116" s="38" t="n">
        <v>156</v>
      </c>
      <c r="K116" s="39" t="inlineStr">
        <is>
          <t>СК3</t>
        </is>
      </c>
      <c r="L116" s="38" t="n">
        <v>30</v>
      </c>
      <c r="M116" s="699" t="inlineStr">
        <is>
          <t>Сардельки "Филейские" Фикс.вес 0,4 NDX мгс ТМ "Вязанка"</t>
        </is>
      </c>
      <c r="N116" s="636" t="n"/>
      <c r="O116" s="636" t="n"/>
      <c r="P116" s="636" t="n"/>
      <c r="Q116" s="602" t="n"/>
      <c r="R116" s="40" t="inlineStr"/>
      <c r="S116" s="40" t="inlineStr"/>
      <c r="T116" s="41" t="inlineStr">
        <is>
          <t>кг</t>
        </is>
      </c>
      <c r="U116" s="637" t="n">
        <v>0</v>
      </c>
      <c r="V116" s="638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>
      <c r="A117" s="363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39" t="n"/>
      <c r="M117" s="640" t="inlineStr">
        <is>
          <t>Итого</t>
        </is>
      </c>
      <c r="N117" s="610" t="n"/>
      <c r="O117" s="610" t="n"/>
      <c r="P117" s="610" t="n"/>
      <c r="Q117" s="610" t="n"/>
      <c r="R117" s="610" t="n"/>
      <c r="S117" s="611" t="n"/>
      <c r="T117" s="43" t="inlineStr">
        <is>
          <t>кор</t>
        </is>
      </c>
      <c r="U117" s="641">
        <f>IFERROR(U113/H113,"0")+IFERROR(U114/H114,"0")+IFERROR(U115/H115,"0")+IFERROR(U116/H116,"0")</f>
        <v/>
      </c>
      <c r="V117" s="641">
        <f>IFERROR(V113/H113,"0")+IFERROR(V114/H114,"0")+IFERROR(V115/H115,"0")+IFERROR(V116/H116,"0")</f>
        <v/>
      </c>
      <c r="W117" s="641">
        <f>IFERROR(IF(W113="",0,W113),"0")+IFERROR(IF(W114="",0,W114),"0")+IFERROR(IF(W115="",0,W115),"0")+IFERROR(IF(W116="",0,W116),"0")</f>
        <v/>
      </c>
      <c r="X117" s="642" t="n"/>
      <c r="Y117" s="642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39" t="n"/>
      <c r="M118" s="640" t="inlineStr">
        <is>
          <t>Итого</t>
        </is>
      </c>
      <c r="N118" s="610" t="n"/>
      <c r="O118" s="610" t="n"/>
      <c r="P118" s="610" t="n"/>
      <c r="Q118" s="610" t="n"/>
      <c r="R118" s="610" t="n"/>
      <c r="S118" s="611" t="n"/>
      <c r="T118" s="43" t="inlineStr">
        <is>
          <t>кг</t>
        </is>
      </c>
      <c r="U118" s="641">
        <f>IFERROR(SUM(U113:U116),"0")</f>
        <v/>
      </c>
      <c r="V118" s="641">
        <f>IFERROR(SUM(V113:V116),"0")</f>
        <v/>
      </c>
      <c r="W118" s="43" t="n"/>
      <c r="X118" s="642" t="n"/>
      <c r="Y118" s="642" t="n"/>
    </row>
    <row r="119" ht="16.5" customHeight="1">
      <c r="A119" s="353" t="inlineStr">
        <is>
          <t>Сливушки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53" t="n"/>
      <c r="Y119" s="353" t="n"/>
    </row>
    <row r="120" ht="14.25" customHeight="1">
      <c r="A120" s="354" t="inlineStr">
        <is>
          <t>Сосиски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54" t="n"/>
      <c r="Y120" s="354" t="n"/>
    </row>
    <row r="121" ht="27" customHeight="1">
      <c r="A121" s="64" t="inlineStr">
        <is>
          <t>SU001721</t>
        </is>
      </c>
      <c r="B121" s="64" t="inlineStr">
        <is>
          <t>P003161</t>
        </is>
      </c>
      <c r="C121" s="37" t="n">
        <v>4301051360</v>
      </c>
      <c r="D121" s="355" t="n">
        <v>4607091385168</v>
      </c>
      <c r="E121" s="602" t="n"/>
      <c r="F121" s="634" t="n">
        <v>1.35</v>
      </c>
      <c r="G121" s="38" t="n">
        <v>6</v>
      </c>
      <c r="H121" s="634" t="n">
        <v>8.1</v>
      </c>
      <c r="I121" s="634" t="n">
        <v>8.657999999999999</v>
      </c>
      <c r="J121" s="38" t="n">
        <v>56</v>
      </c>
      <c r="K121" s="39" t="inlineStr">
        <is>
          <t>СК3</t>
        </is>
      </c>
      <c r="L121" s="38" t="n">
        <v>45</v>
      </c>
      <c r="M121" s="70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1" s="636" t="n"/>
      <c r="O121" s="636" t="n"/>
      <c r="P121" s="636" t="n"/>
      <c r="Q121" s="602" t="n"/>
      <c r="R121" s="40" t="inlineStr"/>
      <c r="S121" s="40" t="inlineStr"/>
      <c r="T121" s="41" t="inlineStr">
        <is>
          <t>кг</t>
        </is>
      </c>
      <c r="U121" s="637" t="n">
        <v>80</v>
      </c>
      <c r="V121" s="638">
        <f>IFERROR(IF(U121="",0,CEILING((U121/$H121),1)*$H121),"")</f>
        <v/>
      </c>
      <c r="W121" s="42">
        <f>IFERROR(IF(V121=0,"",ROUNDUP(V121/H121,0)*0.02175),"")</f>
        <v/>
      </c>
      <c r="X121" s="69" t="inlineStr"/>
      <c r="Y121" s="70" t="inlineStr"/>
      <c r="AC121" s="130" t="inlineStr">
        <is>
          <t>КИ</t>
        </is>
      </c>
    </row>
    <row r="122" ht="16.5" customHeight="1">
      <c r="A122" s="64" t="inlineStr">
        <is>
          <t>SU002139</t>
        </is>
      </c>
      <c r="B122" s="64" t="inlineStr">
        <is>
          <t>P003162</t>
        </is>
      </c>
      <c r="C122" s="37" t="n">
        <v>4301051362</v>
      </c>
      <c r="D122" s="355" t="n">
        <v>4607091383256</v>
      </c>
      <c r="E122" s="602" t="n"/>
      <c r="F122" s="634" t="n">
        <v>0.33</v>
      </c>
      <c r="G122" s="38" t="n">
        <v>6</v>
      </c>
      <c r="H122" s="634" t="n">
        <v>1.98</v>
      </c>
      <c r="I122" s="634" t="n">
        <v>2.246</v>
      </c>
      <c r="J122" s="38" t="n">
        <v>156</v>
      </c>
      <c r="K122" s="39" t="inlineStr">
        <is>
          <t>СК3</t>
        </is>
      </c>
      <c r="L122" s="38" t="n">
        <v>45</v>
      </c>
      <c r="M122" s="701">
        <f>HYPERLINK("https://abi.ru/products/Охлажденные/Вязанка/Сливушки/Сосиски/P003162/","Сосиски Сливочные Сливушки Фикс.вес 0,33 П/а мгс Вязанка")</f>
        <v/>
      </c>
      <c r="N122" s="636" t="n"/>
      <c r="O122" s="636" t="n"/>
      <c r="P122" s="636" t="n"/>
      <c r="Q122" s="602" t="n"/>
      <c r="R122" s="40" t="inlineStr"/>
      <c r="S122" s="40" t="inlineStr"/>
      <c r="T122" s="41" t="inlineStr">
        <is>
          <t>кг</t>
        </is>
      </c>
      <c r="U122" s="637" t="n">
        <v>0</v>
      </c>
      <c r="V122" s="638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SU001720</t>
        </is>
      </c>
      <c r="B123" s="64" t="inlineStr">
        <is>
          <t>P003160</t>
        </is>
      </c>
      <c r="C123" s="37" t="n">
        <v>4301051358</v>
      </c>
      <c r="D123" s="355" t="n">
        <v>4607091385748</v>
      </c>
      <c r="E123" s="602" t="n"/>
      <c r="F123" s="634" t="n">
        <v>0.45</v>
      </c>
      <c r="G123" s="38" t="n">
        <v>6</v>
      </c>
      <c r="H123" s="634" t="n">
        <v>2.7</v>
      </c>
      <c r="I123" s="634" t="n">
        <v>2.972</v>
      </c>
      <c r="J123" s="38" t="n">
        <v>156</v>
      </c>
      <c r="K123" s="39" t="inlineStr">
        <is>
          <t>СК3</t>
        </is>
      </c>
      <c r="L123" s="38" t="n">
        <v>45</v>
      </c>
      <c r="M123" s="702">
        <f>HYPERLINK("https://abi.ru/products/Охлажденные/Вязанка/Сливушки/Сосиски/P003160/","Сосиски Сливочные Сливушки Фикс.вес 0,45 П/а мгс Вязанка")</f>
        <v/>
      </c>
      <c r="N123" s="636" t="n"/>
      <c r="O123" s="636" t="n"/>
      <c r="P123" s="636" t="n"/>
      <c r="Q123" s="602" t="n"/>
      <c r="R123" s="40" t="inlineStr"/>
      <c r="S123" s="40" t="inlineStr"/>
      <c r="T123" s="41" t="inlineStr">
        <is>
          <t>кг</t>
        </is>
      </c>
      <c r="U123" s="637" t="n">
        <v>185</v>
      </c>
      <c r="V123" s="638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SU002438</t>
        </is>
      </c>
      <c r="B124" s="64" t="inlineStr">
        <is>
          <t>P003163</t>
        </is>
      </c>
      <c r="C124" s="37" t="n">
        <v>4301051364</v>
      </c>
      <c r="D124" s="355" t="n">
        <v>4607091384581</v>
      </c>
      <c r="E124" s="602" t="n"/>
      <c r="F124" s="634" t="n">
        <v>0.67</v>
      </c>
      <c r="G124" s="38" t="n">
        <v>4</v>
      </c>
      <c r="H124" s="634" t="n">
        <v>2.68</v>
      </c>
      <c r="I124" s="634" t="n">
        <v>2.942</v>
      </c>
      <c r="J124" s="38" t="n">
        <v>120</v>
      </c>
      <c r="K124" s="39" t="inlineStr">
        <is>
          <t>СК3</t>
        </is>
      </c>
      <c r="L124" s="38" t="n">
        <v>45</v>
      </c>
      <c r="M124" s="703">
        <f>HYPERLINK("https://abi.ru/products/Охлажденные/Вязанка/Сливушки/Сосиски/P003163/","Сосиски Сливочные Сливушки Фикс.вес 0,67 П/а мгс Вязанка")</f>
        <v/>
      </c>
      <c r="N124" s="636" t="n"/>
      <c r="O124" s="636" t="n"/>
      <c r="P124" s="636" t="n"/>
      <c r="Q124" s="602" t="n"/>
      <c r="R124" s="40" t="inlineStr"/>
      <c r="S124" s="40" t="inlineStr"/>
      <c r="T124" s="41" t="inlineStr">
        <is>
          <t>кг</t>
        </is>
      </c>
      <c r="U124" s="637" t="n">
        <v>0</v>
      </c>
      <c r="V124" s="638">
        <f>IFERROR(IF(U124="",0,CEILING((U124/$H124),1)*$H124),"")</f>
        <v/>
      </c>
      <c r="W124" s="42">
        <f>IFERROR(IF(V124=0,"",ROUNDUP(V124/H124,0)*0.00937),"")</f>
        <v/>
      </c>
      <c r="X124" s="69" t="inlineStr"/>
      <c r="Y124" s="70" t="inlineStr"/>
      <c r="AC124" s="133" t="inlineStr">
        <is>
          <t>КИ</t>
        </is>
      </c>
    </row>
    <row r="125">
      <c r="A125" s="363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39" t="n"/>
      <c r="M125" s="640" t="inlineStr">
        <is>
          <t>Итого</t>
        </is>
      </c>
      <c r="N125" s="610" t="n"/>
      <c r="O125" s="610" t="n"/>
      <c r="P125" s="610" t="n"/>
      <c r="Q125" s="610" t="n"/>
      <c r="R125" s="610" t="n"/>
      <c r="S125" s="611" t="n"/>
      <c r="T125" s="43" t="inlineStr">
        <is>
          <t>кор</t>
        </is>
      </c>
      <c r="U125" s="641">
        <f>IFERROR(U121/H121,"0")+IFERROR(U122/H122,"0")+IFERROR(U123/H123,"0")+IFERROR(U124/H124,"0")</f>
        <v/>
      </c>
      <c r="V125" s="641">
        <f>IFERROR(V121/H121,"0")+IFERROR(V122/H122,"0")+IFERROR(V123/H123,"0")+IFERROR(V124/H124,"0")</f>
        <v/>
      </c>
      <c r="W125" s="641">
        <f>IFERROR(IF(W121="",0,W121),"0")+IFERROR(IF(W122="",0,W122),"0")+IFERROR(IF(W123="",0,W123),"0")+IFERROR(IF(W124="",0,W124),"0")</f>
        <v/>
      </c>
      <c r="X125" s="642" t="n"/>
      <c r="Y125" s="642" t="n"/>
    </row>
    <row r="126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39" t="n"/>
      <c r="M126" s="640" t="inlineStr">
        <is>
          <t>Итого</t>
        </is>
      </c>
      <c r="N126" s="610" t="n"/>
      <c r="O126" s="610" t="n"/>
      <c r="P126" s="610" t="n"/>
      <c r="Q126" s="610" t="n"/>
      <c r="R126" s="610" t="n"/>
      <c r="S126" s="611" t="n"/>
      <c r="T126" s="43" t="inlineStr">
        <is>
          <t>кг</t>
        </is>
      </c>
      <c r="U126" s="641">
        <f>IFERROR(SUM(U121:U124),"0")</f>
        <v/>
      </c>
      <c r="V126" s="641">
        <f>IFERROR(SUM(V121:V124),"0")</f>
        <v/>
      </c>
      <c r="W126" s="43" t="n"/>
      <c r="X126" s="642" t="n"/>
      <c r="Y126" s="642" t="n"/>
    </row>
    <row r="127" ht="27.75" customHeight="1">
      <c r="A127" s="352" t="inlineStr">
        <is>
          <t>Стародворье</t>
        </is>
      </c>
      <c r="B127" s="633" t="n"/>
      <c r="C127" s="633" t="n"/>
      <c r="D127" s="633" t="n"/>
      <c r="E127" s="633" t="n"/>
      <c r="F127" s="633" t="n"/>
      <c r="G127" s="633" t="n"/>
      <c r="H127" s="633" t="n"/>
      <c r="I127" s="633" t="n"/>
      <c r="J127" s="633" t="n"/>
      <c r="K127" s="633" t="n"/>
      <c r="L127" s="633" t="n"/>
      <c r="M127" s="633" t="n"/>
      <c r="N127" s="633" t="n"/>
      <c r="O127" s="633" t="n"/>
      <c r="P127" s="633" t="n"/>
      <c r="Q127" s="633" t="n"/>
      <c r="R127" s="633" t="n"/>
      <c r="S127" s="633" t="n"/>
      <c r="T127" s="633" t="n"/>
      <c r="U127" s="633" t="n"/>
      <c r="V127" s="633" t="n"/>
      <c r="W127" s="633" t="n"/>
      <c r="X127" s="55" t="n"/>
      <c r="Y127" s="55" t="n"/>
    </row>
    <row r="128" ht="16.5" customHeight="1">
      <c r="A128" s="353" t="inlineStr">
        <is>
          <t>Золоченная в печи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53" t="n"/>
      <c r="Y128" s="353" t="n"/>
    </row>
    <row r="129" ht="14.25" customHeight="1">
      <c r="A129" s="354" t="inlineStr">
        <is>
          <t>Вареные колбасы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54" t="n"/>
      <c r="Y129" s="354" t="n"/>
    </row>
    <row r="130" ht="27" customHeight="1">
      <c r="A130" s="64" t="inlineStr">
        <is>
          <t>SU002201</t>
        </is>
      </c>
      <c r="B130" s="64" t="inlineStr">
        <is>
          <t>P002567</t>
        </is>
      </c>
      <c r="C130" s="37" t="n">
        <v>4301011223</v>
      </c>
      <c r="D130" s="355" t="n">
        <v>4607091383423</v>
      </c>
      <c r="E130" s="602" t="n"/>
      <c r="F130" s="634" t="n">
        <v>1.35</v>
      </c>
      <c r="G130" s="38" t="n">
        <v>8</v>
      </c>
      <c r="H130" s="634" t="n">
        <v>10.8</v>
      </c>
      <c r="I130" s="634" t="n">
        <v>11.376</v>
      </c>
      <c r="J130" s="38" t="n">
        <v>56</v>
      </c>
      <c r="K130" s="39" t="inlineStr">
        <is>
          <t>СК3</t>
        </is>
      </c>
      <c r="L130" s="38" t="n">
        <v>35</v>
      </c>
      <c r="M130" s="70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0" s="636" t="n"/>
      <c r="O130" s="636" t="n"/>
      <c r="P130" s="636" t="n"/>
      <c r="Q130" s="602" t="n"/>
      <c r="R130" s="40" t="inlineStr"/>
      <c r="S130" s="40" t="inlineStr"/>
      <c r="T130" s="41" t="inlineStr">
        <is>
          <t>кг</t>
        </is>
      </c>
      <c r="U130" s="637" t="n">
        <v>0</v>
      </c>
      <c r="V130" s="638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134" t="inlineStr">
        <is>
          <t>КИ</t>
        </is>
      </c>
    </row>
    <row r="131" ht="27" customHeight="1">
      <c r="A131" s="64" t="inlineStr">
        <is>
          <t>SU002203</t>
        </is>
      </c>
      <c r="B131" s="64" t="inlineStr">
        <is>
          <t>P002568</t>
        </is>
      </c>
      <c r="C131" s="37" t="n">
        <v>4301011338</v>
      </c>
      <c r="D131" s="355" t="n">
        <v>4607091381405</v>
      </c>
      <c r="E131" s="602" t="n"/>
      <c r="F131" s="634" t="n">
        <v>1.35</v>
      </c>
      <c r="G131" s="38" t="n">
        <v>8</v>
      </c>
      <c r="H131" s="634" t="n">
        <v>10.8</v>
      </c>
      <c r="I131" s="634" t="n">
        <v>11.376</v>
      </c>
      <c r="J131" s="38" t="n">
        <v>56</v>
      </c>
      <c r="K131" s="39" t="inlineStr">
        <is>
          <t>СК2</t>
        </is>
      </c>
      <c r="L131" s="38" t="n">
        <v>35</v>
      </c>
      <c r="M131" s="70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1" s="636" t="n"/>
      <c r="O131" s="636" t="n"/>
      <c r="P131" s="636" t="n"/>
      <c r="Q131" s="602" t="n"/>
      <c r="R131" s="40" t="inlineStr"/>
      <c r="S131" s="40" t="inlineStr"/>
      <c r="T131" s="41" t="inlineStr">
        <is>
          <t>кг</t>
        </is>
      </c>
      <c r="U131" s="637" t="n">
        <v>0</v>
      </c>
      <c r="V131" s="638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SU002216</t>
        </is>
      </c>
      <c r="B132" s="64" t="inlineStr">
        <is>
          <t>P002400</t>
        </is>
      </c>
      <c r="C132" s="37" t="n">
        <v>4301011333</v>
      </c>
      <c r="D132" s="355" t="n">
        <v>4607091386516</v>
      </c>
      <c r="E132" s="602" t="n"/>
      <c r="F132" s="634" t="n">
        <v>1.4</v>
      </c>
      <c r="G132" s="38" t="n">
        <v>8</v>
      </c>
      <c r="H132" s="634" t="n">
        <v>11.2</v>
      </c>
      <c r="I132" s="634" t="n">
        <v>11.776</v>
      </c>
      <c r="J132" s="38" t="n">
        <v>56</v>
      </c>
      <c r="K132" s="39" t="inlineStr">
        <is>
          <t>СК2</t>
        </is>
      </c>
      <c r="L132" s="38" t="n">
        <v>30</v>
      </c>
      <c r="M132" s="70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2" s="636" t="n"/>
      <c r="O132" s="636" t="n"/>
      <c r="P132" s="636" t="n"/>
      <c r="Q132" s="602" t="n"/>
      <c r="R132" s="40" t="inlineStr"/>
      <c r="S132" s="40" t="inlineStr"/>
      <c r="T132" s="41" t="inlineStr">
        <is>
          <t>кг</t>
        </is>
      </c>
      <c r="U132" s="637" t="n">
        <v>0</v>
      </c>
      <c r="V132" s="638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>
      <c r="A133" s="363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39" t="n"/>
      <c r="M133" s="640" t="inlineStr">
        <is>
          <t>Итого</t>
        </is>
      </c>
      <c r="N133" s="610" t="n"/>
      <c r="O133" s="610" t="n"/>
      <c r="P133" s="610" t="n"/>
      <c r="Q133" s="610" t="n"/>
      <c r="R133" s="610" t="n"/>
      <c r="S133" s="611" t="n"/>
      <c r="T133" s="43" t="inlineStr">
        <is>
          <t>кор</t>
        </is>
      </c>
      <c r="U133" s="641">
        <f>IFERROR(U130/H130,"0")+IFERROR(U131/H131,"0")+IFERROR(U132/H132,"0")</f>
        <v/>
      </c>
      <c r="V133" s="641">
        <f>IFERROR(V130/H130,"0")+IFERROR(V131/H131,"0")+IFERROR(V132/H132,"0")</f>
        <v/>
      </c>
      <c r="W133" s="641">
        <f>IFERROR(IF(W130="",0,W130),"0")+IFERROR(IF(W131="",0,W131),"0")+IFERROR(IF(W132="",0,W132),"0")</f>
        <v/>
      </c>
      <c r="X133" s="642" t="n"/>
      <c r="Y133" s="642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39" t="n"/>
      <c r="M134" s="640" t="inlineStr">
        <is>
          <t>Итого</t>
        </is>
      </c>
      <c r="N134" s="610" t="n"/>
      <c r="O134" s="610" t="n"/>
      <c r="P134" s="610" t="n"/>
      <c r="Q134" s="610" t="n"/>
      <c r="R134" s="610" t="n"/>
      <c r="S134" s="611" t="n"/>
      <c r="T134" s="43" t="inlineStr">
        <is>
          <t>кг</t>
        </is>
      </c>
      <c r="U134" s="641">
        <f>IFERROR(SUM(U130:U132),"0")</f>
        <v/>
      </c>
      <c r="V134" s="641">
        <f>IFERROR(SUM(V130:V132),"0")</f>
        <v/>
      </c>
      <c r="W134" s="43" t="n"/>
      <c r="X134" s="642" t="n"/>
      <c r="Y134" s="642" t="n"/>
    </row>
    <row r="135" ht="16.5" customHeight="1">
      <c r="A135" s="353" t="inlineStr">
        <is>
          <t>Бордо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53" t="n"/>
      <c r="Y135" s="353" t="n"/>
    </row>
    <row r="136" ht="14.25" customHeight="1">
      <c r="A136" s="354" t="inlineStr">
        <is>
          <t>Вареные колбасы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54" t="n"/>
      <c r="Y136" s="354" t="n"/>
    </row>
    <row r="137" ht="16.5" customHeight="1">
      <c r="A137" s="64" t="inlineStr">
        <is>
          <t>SU002824</t>
        </is>
      </c>
      <c r="B137" s="64" t="inlineStr">
        <is>
          <t>P003231</t>
        </is>
      </c>
      <c r="C137" s="37" t="n">
        <v>4301011450</v>
      </c>
      <c r="D137" s="355" t="n">
        <v>4680115881402</v>
      </c>
      <c r="E137" s="602" t="n"/>
      <c r="F137" s="634" t="n">
        <v>1.35</v>
      </c>
      <c r="G137" s="38" t="n">
        <v>8</v>
      </c>
      <c r="H137" s="634" t="n">
        <v>10.8</v>
      </c>
      <c r="I137" s="634" t="n">
        <v>11.28</v>
      </c>
      <c r="J137" s="38" t="n">
        <v>56</v>
      </c>
      <c r="K137" s="39" t="inlineStr">
        <is>
          <t>СК1</t>
        </is>
      </c>
      <c r="L137" s="38" t="n">
        <v>55</v>
      </c>
      <c r="M137" s="707" t="inlineStr">
        <is>
          <t>Вареные колбасы "Сочинка" Весовой п/а ТМ "Стародворье"</t>
        </is>
      </c>
      <c r="N137" s="636" t="n"/>
      <c r="O137" s="636" t="n"/>
      <c r="P137" s="636" t="n"/>
      <c r="Q137" s="602" t="n"/>
      <c r="R137" s="40" t="inlineStr"/>
      <c r="S137" s="40" t="inlineStr"/>
      <c r="T137" s="41" t="inlineStr">
        <is>
          <t>кг</t>
        </is>
      </c>
      <c r="U137" s="637" t="n">
        <v>0</v>
      </c>
      <c r="V137" s="638">
        <f>IFERROR(IF(U137="",0,CEILING((U137/$H137),1)*$H137),"")</f>
        <v/>
      </c>
      <c r="W137" s="42">
        <f>IFERROR(IF(V137=0,"",ROUNDUP(V137/H137,0)*0.02175),"")</f>
        <v/>
      </c>
      <c r="X137" s="69" t="inlineStr"/>
      <c r="Y137" s="70" t="inlineStr">
        <is>
          <t>Новинка</t>
        </is>
      </c>
      <c r="AC137" s="137" t="inlineStr">
        <is>
          <t>КИ</t>
        </is>
      </c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55" t="n">
        <v>4607091387445</v>
      </c>
      <c r="E138" s="602" t="n"/>
      <c r="F138" s="634" t="n">
        <v>0.9</v>
      </c>
      <c r="G138" s="38" t="n">
        <v>10</v>
      </c>
      <c r="H138" s="634" t="n">
        <v>9</v>
      </c>
      <c r="I138" s="634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0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36" t="n"/>
      <c r="O138" s="636" t="n"/>
      <c r="P138" s="636" t="n"/>
      <c r="Q138" s="602" t="n"/>
      <c r="R138" s="40" t="inlineStr"/>
      <c r="S138" s="40" t="inlineStr"/>
      <c r="T138" s="41" t="inlineStr">
        <is>
          <t>кг</t>
        </is>
      </c>
      <c r="U138" s="637" t="n">
        <v>0</v>
      </c>
      <c r="V138" s="638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55" t="n">
        <v>4607091386004</v>
      </c>
      <c r="E139" s="602" t="n"/>
      <c r="F139" s="634" t="n">
        <v>1.35</v>
      </c>
      <c r="G139" s="38" t="n">
        <v>8</v>
      </c>
      <c r="H139" s="634" t="n">
        <v>10.8</v>
      </c>
      <c r="I139" s="634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0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36" t="n"/>
      <c r="O139" s="636" t="n"/>
      <c r="P139" s="636" t="n"/>
      <c r="Q139" s="602" t="n"/>
      <c r="R139" s="40" t="inlineStr"/>
      <c r="S139" s="40" t="inlineStr"/>
      <c r="T139" s="41" t="inlineStr">
        <is>
          <t>кг</t>
        </is>
      </c>
      <c r="U139" s="637" t="n">
        <v>0</v>
      </c>
      <c r="V139" s="638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55" t="n">
        <v>4607091386004</v>
      </c>
      <c r="E140" s="602" t="n"/>
      <c r="F140" s="634" t="n">
        <v>1.35</v>
      </c>
      <c r="G140" s="38" t="n">
        <v>8</v>
      </c>
      <c r="H140" s="634" t="n">
        <v>10.8</v>
      </c>
      <c r="I140" s="634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1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36" t="n"/>
      <c r="O140" s="636" t="n"/>
      <c r="P140" s="636" t="n"/>
      <c r="Q140" s="602" t="n"/>
      <c r="R140" s="40" t="inlineStr"/>
      <c r="S140" s="40" t="inlineStr"/>
      <c r="T140" s="41" t="inlineStr">
        <is>
          <t>кг</t>
        </is>
      </c>
      <c r="U140" s="637" t="n">
        <v>0</v>
      </c>
      <c r="V140" s="638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55" t="n">
        <v>4607091386073</v>
      </c>
      <c r="E141" s="602" t="n"/>
      <c r="F141" s="634" t="n">
        <v>0.9</v>
      </c>
      <c r="G141" s="38" t="n">
        <v>10</v>
      </c>
      <c r="H141" s="634" t="n">
        <v>9</v>
      </c>
      <c r="I141" s="634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1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36" t="n"/>
      <c r="O141" s="636" t="n"/>
      <c r="P141" s="636" t="n"/>
      <c r="Q141" s="602" t="n"/>
      <c r="R141" s="40" t="inlineStr"/>
      <c r="S141" s="40" t="inlineStr"/>
      <c r="T141" s="41" t="inlineStr">
        <is>
          <t>кг</t>
        </is>
      </c>
      <c r="U141" s="637" t="n">
        <v>0</v>
      </c>
      <c r="V141" s="638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55" t="n">
        <v>4607091387322</v>
      </c>
      <c r="E142" s="602" t="n"/>
      <c r="F142" s="634" t="n">
        <v>1.35</v>
      </c>
      <c r="G142" s="38" t="n">
        <v>8</v>
      </c>
      <c r="H142" s="634" t="n">
        <v>10.8</v>
      </c>
      <c r="I142" s="634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12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36" t="n"/>
      <c r="O142" s="636" t="n"/>
      <c r="P142" s="636" t="n"/>
      <c r="Q142" s="602" t="n"/>
      <c r="R142" s="40" t="inlineStr"/>
      <c r="S142" s="40" t="inlineStr"/>
      <c r="T142" s="41" t="inlineStr">
        <is>
          <t>кг</t>
        </is>
      </c>
      <c r="U142" s="637" t="n">
        <v>0</v>
      </c>
      <c r="V142" s="638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55" t="n">
        <v>4607091387322</v>
      </c>
      <c r="E143" s="602" t="n"/>
      <c r="F143" s="634" t="n">
        <v>1.35</v>
      </c>
      <c r="G143" s="38" t="n">
        <v>8</v>
      </c>
      <c r="H143" s="634" t="n">
        <v>10.8</v>
      </c>
      <c r="I143" s="634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13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36" t="n"/>
      <c r="O143" s="636" t="n"/>
      <c r="P143" s="636" t="n"/>
      <c r="Q143" s="602" t="n"/>
      <c r="R143" s="40" t="inlineStr"/>
      <c r="S143" s="40" t="inlineStr"/>
      <c r="T143" s="41" t="inlineStr">
        <is>
          <t>кг</t>
        </is>
      </c>
      <c r="U143" s="637" t="n">
        <v>0</v>
      </c>
      <c r="V143" s="638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55" t="n">
        <v>4607091387377</v>
      </c>
      <c r="E144" s="602" t="n"/>
      <c r="F144" s="634" t="n">
        <v>1.35</v>
      </c>
      <c r="G144" s="38" t="n">
        <v>8</v>
      </c>
      <c r="H144" s="634" t="n">
        <v>10.8</v>
      </c>
      <c r="I144" s="634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1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36" t="n"/>
      <c r="O144" s="636" t="n"/>
      <c r="P144" s="636" t="n"/>
      <c r="Q144" s="602" t="n"/>
      <c r="R144" s="40" t="inlineStr"/>
      <c r="S144" s="40" t="inlineStr"/>
      <c r="T144" s="41" t="inlineStr">
        <is>
          <t>кг</t>
        </is>
      </c>
      <c r="U144" s="637" t="n">
        <v>0</v>
      </c>
      <c r="V144" s="638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27" customHeight="1">
      <c r="A145" s="64" t="inlineStr">
        <is>
          <t>SU000043</t>
        </is>
      </c>
      <c r="B145" s="64" t="inlineStr">
        <is>
          <t>P001807</t>
        </is>
      </c>
      <c r="C145" s="37" t="n">
        <v>4301010945</v>
      </c>
      <c r="D145" s="355" t="n">
        <v>4607091387353</v>
      </c>
      <c r="E145" s="602" t="n"/>
      <c r="F145" s="634" t="n">
        <v>1.35</v>
      </c>
      <c r="G145" s="38" t="n">
        <v>8</v>
      </c>
      <c r="H145" s="634" t="n">
        <v>10.8</v>
      </c>
      <c r="I145" s="634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1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5" s="636" t="n"/>
      <c r="O145" s="636" t="n"/>
      <c r="P145" s="636" t="n"/>
      <c r="Q145" s="602" t="n"/>
      <c r="R145" s="40" t="inlineStr"/>
      <c r="S145" s="40" t="inlineStr"/>
      <c r="T145" s="41" t="inlineStr">
        <is>
          <t>кг</t>
        </is>
      </c>
      <c r="U145" s="637" t="n">
        <v>0</v>
      </c>
      <c r="V145" s="638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SU001800</t>
        </is>
      </c>
      <c r="B146" s="64" t="inlineStr">
        <is>
          <t>P001800</t>
        </is>
      </c>
      <c r="C146" s="37" t="n">
        <v>4301011328</v>
      </c>
      <c r="D146" s="355" t="n">
        <v>4607091386011</v>
      </c>
      <c r="E146" s="602" t="n"/>
      <c r="F146" s="634" t="n">
        <v>0.5</v>
      </c>
      <c r="G146" s="38" t="n">
        <v>10</v>
      </c>
      <c r="H146" s="634" t="n">
        <v>5</v>
      </c>
      <c r="I146" s="634" t="n">
        <v>5.21</v>
      </c>
      <c r="J146" s="38" t="n">
        <v>120</v>
      </c>
      <c r="K146" s="39" t="inlineStr">
        <is>
          <t>СК2</t>
        </is>
      </c>
      <c r="L146" s="38" t="n">
        <v>55</v>
      </c>
      <c r="M146" s="71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6" s="636" t="n"/>
      <c r="O146" s="636" t="n"/>
      <c r="P146" s="636" t="n"/>
      <c r="Q146" s="602" t="n"/>
      <c r="R146" s="40" t="inlineStr"/>
      <c r="S146" s="40" t="inlineStr"/>
      <c r="T146" s="41" t="inlineStr">
        <is>
          <t>кг</t>
        </is>
      </c>
      <c r="U146" s="637" t="n">
        <v>0</v>
      </c>
      <c r="V146" s="638">
        <f>IFERROR(IF(U146="",0,CEILING((U146/$H146),1)*$H146),"")</f>
        <v/>
      </c>
      <c r="W146" s="42">
        <f>IFERROR(IF(V146=0,"",ROUNDUP(V146/H146,0)*0.00937),"")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SU001805</t>
        </is>
      </c>
      <c r="B147" s="64" t="inlineStr">
        <is>
          <t>P001805</t>
        </is>
      </c>
      <c r="C147" s="37" t="n">
        <v>4301011329</v>
      </c>
      <c r="D147" s="355" t="n">
        <v>4607091387308</v>
      </c>
      <c r="E147" s="602" t="n"/>
      <c r="F147" s="634" t="n">
        <v>0.5</v>
      </c>
      <c r="G147" s="38" t="n">
        <v>10</v>
      </c>
      <c r="H147" s="634" t="n">
        <v>5</v>
      </c>
      <c r="I147" s="634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1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7" s="636" t="n"/>
      <c r="O147" s="636" t="n"/>
      <c r="P147" s="636" t="n"/>
      <c r="Q147" s="602" t="n"/>
      <c r="R147" s="40" t="inlineStr"/>
      <c r="S147" s="40" t="inlineStr"/>
      <c r="T147" s="41" t="inlineStr">
        <is>
          <t>кг</t>
        </is>
      </c>
      <c r="U147" s="637" t="n">
        <v>0</v>
      </c>
      <c r="V147" s="638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SU001829</t>
        </is>
      </c>
      <c r="B148" s="64" t="inlineStr">
        <is>
          <t>P001829</t>
        </is>
      </c>
      <c r="C148" s="37" t="n">
        <v>4301011049</v>
      </c>
      <c r="D148" s="355" t="n">
        <v>4607091387339</v>
      </c>
      <c r="E148" s="602" t="n"/>
      <c r="F148" s="634" t="n">
        <v>0.5</v>
      </c>
      <c r="G148" s="38" t="n">
        <v>10</v>
      </c>
      <c r="H148" s="634" t="n">
        <v>5</v>
      </c>
      <c r="I148" s="634" t="n">
        <v>5.24</v>
      </c>
      <c r="J148" s="38" t="n">
        <v>120</v>
      </c>
      <c r="K148" s="39" t="inlineStr">
        <is>
          <t>СК1</t>
        </is>
      </c>
      <c r="L148" s="38" t="n">
        <v>55</v>
      </c>
      <c r="M148" s="71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8" s="636" t="n"/>
      <c r="O148" s="636" t="n"/>
      <c r="P148" s="636" t="n"/>
      <c r="Q148" s="602" t="n"/>
      <c r="R148" s="40" t="inlineStr"/>
      <c r="S148" s="40" t="inlineStr"/>
      <c r="T148" s="41" t="inlineStr">
        <is>
          <t>кг</t>
        </is>
      </c>
      <c r="U148" s="637" t="n">
        <v>0</v>
      </c>
      <c r="V148" s="638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SU002894</t>
        </is>
      </c>
      <c r="B149" s="64" t="inlineStr">
        <is>
          <t>P003314</t>
        </is>
      </c>
      <c r="C149" s="37" t="n">
        <v>4301011573</v>
      </c>
      <c r="D149" s="355" t="n">
        <v>4680115881938</v>
      </c>
      <c r="E149" s="602" t="n"/>
      <c r="F149" s="634" t="n">
        <v>0.4</v>
      </c>
      <c r="G149" s="38" t="n">
        <v>10</v>
      </c>
      <c r="H149" s="634" t="n">
        <v>4</v>
      </c>
      <c r="I149" s="634" t="n">
        <v>4.24</v>
      </c>
      <c r="J149" s="38" t="n">
        <v>120</v>
      </c>
      <c r="K149" s="39" t="inlineStr">
        <is>
          <t>СК1</t>
        </is>
      </c>
      <c r="L149" s="38" t="n">
        <v>90</v>
      </c>
      <c r="M149" s="719" t="inlineStr">
        <is>
          <t>Вареные колбасы пастеризованная "Стародворская без шпика" Фикс.вес 0,4 п/а ТМ " Стародворье"</t>
        </is>
      </c>
      <c r="N149" s="636" t="n"/>
      <c r="O149" s="636" t="n"/>
      <c r="P149" s="636" t="n"/>
      <c r="Q149" s="602" t="n"/>
      <c r="R149" s="40" t="inlineStr"/>
      <c r="S149" s="40" t="inlineStr"/>
      <c r="T149" s="41" t="inlineStr">
        <is>
          <t>кг</t>
        </is>
      </c>
      <c r="U149" s="637" t="n">
        <v>0</v>
      </c>
      <c r="V149" s="638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SU002823</t>
        </is>
      </c>
      <c r="B150" s="64" t="inlineStr">
        <is>
          <t>P003230</t>
        </is>
      </c>
      <c r="C150" s="37" t="n">
        <v>4301011454</v>
      </c>
      <c r="D150" s="355" t="n">
        <v>4680115881396</v>
      </c>
      <c r="E150" s="602" t="n"/>
      <c r="F150" s="634" t="n">
        <v>0.45</v>
      </c>
      <c r="G150" s="38" t="n">
        <v>6</v>
      </c>
      <c r="H150" s="634" t="n">
        <v>2.7</v>
      </c>
      <c r="I150" s="634" t="n">
        <v>2.9</v>
      </c>
      <c r="J150" s="38" t="n">
        <v>156</v>
      </c>
      <c r="K150" s="39" t="inlineStr">
        <is>
          <t>СК2</t>
        </is>
      </c>
      <c r="L150" s="38" t="n">
        <v>55</v>
      </c>
      <c r="M150" s="720" t="inlineStr">
        <is>
          <t>Вареные колбасы Сочинка с сочным окороком ТМ Стародворье ф/в 0,45 кг</t>
        </is>
      </c>
      <c r="N150" s="636" t="n"/>
      <c r="O150" s="636" t="n"/>
      <c r="P150" s="636" t="n"/>
      <c r="Q150" s="602" t="n"/>
      <c r="R150" s="40" t="inlineStr"/>
      <c r="S150" s="40" t="inlineStr"/>
      <c r="T150" s="41" t="inlineStr">
        <is>
          <t>кг</t>
        </is>
      </c>
      <c r="U150" s="637" t="n">
        <v>0</v>
      </c>
      <c r="V150" s="638">
        <f>IFERROR(IF(U150="",0,CEILING((U150/$H150),1)*$H150),"")</f>
        <v/>
      </c>
      <c r="W150" s="42">
        <f>IFERROR(IF(V150=0,"",ROUNDUP(V150/H150,0)*0.00753),"")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SU000078</t>
        </is>
      </c>
      <c r="B151" s="64" t="inlineStr">
        <is>
          <t>P001806</t>
        </is>
      </c>
      <c r="C151" s="37" t="n">
        <v>4301010944</v>
      </c>
      <c r="D151" s="355" t="n">
        <v>4607091387346</v>
      </c>
      <c r="E151" s="602" t="n"/>
      <c r="F151" s="634" t="n">
        <v>0.4</v>
      </c>
      <c r="G151" s="38" t="n">
        <v>10</v>
      </c>
      <c r="H151" s="634" t="n">
        <v>4</v>
      </c>
      <c r="I151" s="634" t="n">
        <v>4.24</v>
      </c>
      <c r="J151" s="38" t="n">
        <v>120</v>
      </c>
      <c r="K151" s="39" t="inlineStr">
        <is>
          <t>СК1</t>
        </is>
      </c>
      <c r="L151" s="38" t="n">
        <v>55</v>
      </c>
      <c r="M151" s="72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1" s="636" t="n"/>
      <c r="O151" s="636" t="n"/>
      <c r="P151" s="636" t="n"/>
      <c r="Q151" s="602" t="n"/>
      <c r="R151" s="40" t="inlineStr"/>
      <c r="S151" s="40" t="inlineStr"/>
      <c r="T151" s="41" t="inlineStr">
        <is>
          <t>кг</t>
        </is>
      </c>
      <c r="U151" s="637" t="n">
        <v>0</v>
      </c>
      <c r="V151" s="638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SU002616</t>
        </is>
      </c>
      <c r="B152" s="64" t="inlineStr">
        <is>
          <t>P002950</t>
        </is>
      </c>
      <c r="C152" s="37" t="n">
        <v>4301011353</v>
      </c>
      <c r="D152" s="355" t="n">
        <v>4607091389807</v>
      </c>
      <c r="E152" s="602" t="n"/>
      <c r="F152" s="634" t="n">
        <v>0.4</v>
      </c>
      <c r="G152" s="38" t="n">
        <v>10</v>
      </c>
      <c r="H152" s="634" t="n">
        <v>4</v>
      </c>
      <c r="I152" s="634" t="n">
        <v>4.24</v>
      </c>
      <c r="J152" s="38" t="n">
        <v>120</v>
      </c>
      <c r="K152" s="39" t="inlineStr">
        <is>
          <t>СК1</t>
        </is>
      </c>
      <c r="L152" s="38" t="n">
        <v>55</v>
      </c>
      <c r="M152" s="72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2" s="636" t="n"/>
      <c r="O152" s="636" t="n"/>
      <c r="P152" s="636" t="n"/>
      <c r="Q152" s="602" t="n"/>
      <c r="R152" s="40" t="inlineStr"/>
      <c r="S152" s="40" t="inlineStr"/>
      <c r="T152" s="41" t="inlineStr">
        <is>
          <t>кг</t>
        </is>
      </c>
      <c r="U152" s="637" t="n">
        <v>0</v>
      </c>
      <c r="V152" s="638">
        <f>IFERROR(IF(U152="",0,CEILING((U152/$H152),1)*$H152),"")</f>
        <v/>
      </c>
      <c r="W152" s="42">
        <f>IFERROR(IF(V152=0,"",ROUNDUP(V152/H152,0)*0.00937),"")</f>
        <v/>
      </c>
      <c r="X152" s="69" t="inlineStr"/>
      <c r="Y152" s="70" t="inlineStr"/>
      <c r="AC152" s="152" t="inlineStr">
        <is>
          <t>КИ</t>
        </is>
      </c>
    </row>
    <row r="153">
      <c r="A153" s="36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39" t="n"/>
      <c r="M153" s="640" t="inlineStr">
        <is>
          <t>Итого</t>
        </is>
      </c>
      <c r="N153" s="610" t="n"/>
      <c r="O153" s="610" t="n"/>
      <c r="P153" s="610" t="n"/>
      <c r="Q153" s="610" t="n"/>
      <c r="R153" s="610" t="n"/>
      <c r="S153" s="611" t="n"/>
      <c r="T153" s="43" t="inlineStr">
        <is>
          <t>кор</t>
        </is>
      </c>
      <c r="U153" s="641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</f>
        <v/>
      </c>
      <c r="V153" s="641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</f>
        <v/>
      </c>
      <c r="W153" s="641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</f>
        <v/>
      </c>
      <c r="X153" s="642" t="n"/>
      <c r="Y153" s="642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39" t="n"/>
      <c r="M154" s="640" t="inlineStr">
        <is>
          <t>Итого</t>
        </is>
      </c>
      <c r="N154" s="610" t="n"/>
      <c r="O154" s="610" t="n"/>
      <c r="P154" s="610" t="n"/>
      <c r="Q154" s="610" t="n"/>
      <c r="R154" s="610" t="n"/>
      <c r="S154" s="611" t="n"/>
      <c r="T154" s="43" t="inlineStr">
        <is>
          <t>кг</t>
        </is>
      </c>
      <c r="U154" s="641">
        <f>IFERROR(SUM(U137:U152),"0")</f>
        <v/>
      </c>
      <c r="V154" s="641">
        <f>IFERROR(SUM(V137:V152),"0")</f>
        <v/>
      </c>
      <c r="W154" s="43" t="n"/>
      <c r="X154" s="642" t="n"/>
      <c r="Y154" s="642" t="n"/>
    </row>
    <row r="155" ht="14.25" customHeight="1">
      <c r="A155" s="354" t="inlineStr">
        <is>
          <t>Ветчины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54" t="n"/>
      <c r="Y155" s="354" t="n"/>
    </row>
    <row r="156" ht="27" customHeight="1">
      <c r="A156" s="64" t="inlineStr">
        <is>
          <t>SU002788</t>
        </is>
      </c>
      <c r="B156" s="64" t="inlineStr">
        <is>
          <t>P003190</t>
        </is>
      </c>
      <c r="C156" s="37" t="n">
        <v>4301020254</v>
      </c>
      <c r="D156" s="355" t="n">
        <v>4680115881914</v>
      </c>
      <c r="E156" s="602" t="n"/>
      <c r="F156" s="634" t="n">
        <v>0.4</v>
      </c>
      <c r="G156" s="38" t="n">
        <v>10</v>
      </c>
      <c r="H156" s="634" t="n">
        <v>4</v>
      </c>
      <c r="I156" s="634" t="n">
        <v>4.24</v>
      </c>
      <c r="J156" s="38" t="n">
        <v>120</v>
      </c>
      <c r="K156" s="39" t="inlineStr">
        <is>
          <t>СК1</t>
        </is>
      </c>
      <c r="L156" s="38" t="n">
        <v>90</v>
      </c>
      <c r="M156" s="723" t="inlineStr">
        <is>
          <t>Ветчины пастеризованная "Нежная с филе" Фикс.вес 0,4 п/а ТМ "Особый рецепт"</t>
        </is>
      </c>
      <c r="N156" s="636" t="n"/>
      <c r="O156" s="636" t="n"/>
      <c r="P156" s="636" t="n"/>
      <c r="Q156" s="602" t="n"/>
      <c r="R156" s="40" t="inlineStr"/>
      <c r="S156" s="40" t="inlineStr"/>
      <c r="T156" s="41" t="inlineStr">
        <is>
          <t>кг</t>
        </is>
      </c>
      <c r="U156" s="637" t="n">
        <v>0</v>
      </c>
      <c r="V156" s="638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153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55" t="n">
        <v>4680115880764</v>
      </c>
      <c r="E157" s="602" t="n"/>
      <c r="F157" s="634" t="n">
        <v>0.35</v>
      </c>
      <c r="G157" s="38" t="n">
        <v>6</v>
      </c>
      <c r="H157" s="634" t="n">
        <v>2.1</v>
      </c>
      <c r="I157" s="634" t="n">
        <v>2.3</v>
      </c>
      <c r="J157" s="38" t="n">
        <v>156</v>
      </c>
      <c r="K157" s="39" t="inlineStr">
        <is>
          <t>СК1</t>
        </is>
      </c>
      <c r="L157" s="38" t="n">
        <v>50</v>
      </c>
      <c r="M157" s="724" t="inlineStr">
        <is>
          <t>Ветчина Сочинка с сочным окороком ТМ Стародворье полиамид ф/в 0,35 кг</t>
        </is>
      </c>
      <c r="N157" s="636" t="n"/>
      <c r="O157" s="636" t="n"/>
      <c r="P157" s="636" t="n"/>
      <c r="Q157" s="602" t="n"/>
      <c r="R157" s="40" t="inlineStr"/>
      <c r="S157" s="40" t="inlineStr"/>
      <c r="T157" s="41" t="inlineStr">
        <is>
          <t>кг</t>
        </is>
      </c>
      <c r="U157" s="637" t="n">
        <v>0</v>
      </c>
      <c r="V157" s="638">
        <f>IFERROR(IF(U157="",0,CEILING((U157/$H157),1)*$H157),"")</f>
        <v/>
      </c>
      <c r="W157" s="42">
        <f>IFERROR(IF(V157=0,"",ROUNDUP(V157/H157,0)*0.00753),"")</f>
        <v/>
      </c>
      <c r="X157" s="69" t="inlineStr"/>
      <c r="Y157" s="70" t="inlineStr"/>
      <c r="AC157" s="154" t="inlineStr">
        <is>
          <t>КИ</t>
        </is>
      </c>
    </row>
    <row r="158">
      <c r="A158" s="363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639" t="n"/>
      <c r="M158" s="640" t="inlineStr">
        <is>
          <t>Итого</t>
        </is>
      </c>
      <c r="N158" s="610" t="n"/>
      <c r="O158" s="610" t="n"/>
      <c r="P158" s="610" t="n"/>
      <c r="Q158" s="610" t="n"/>
      <c r="R158" s="610" t="n"/>
      <c r="S158" s="611" t="n"/>
      <c r="T158" s="43" t="inlineStr">
        <is>
          <t>кор</t>
        </is>
      </c>
      <c r="U158" s="641">
        <f>IFERROR(U156/H156,"0")+IFERROR(U157/H157,"0")</f>
        <v/>
      </c>
      <c r="V158" s="641">
        <f>IFERROR(V156/H156,"0")+IFERROR(V157/H157,"0")</f>
        <v/>
      </c>
      <c r="W158" s="641">
        <f>IFERROR(IF(W156="",0,W156),"0")+IFERROR(IF(W157="",0,W157),"0")</f>
        <v/>
      </c>
      <c r="X158" s="642" t="n"/>
      <c r="Y158" s="642" t="n"/>
    </row>
    <row r="159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639" t="n"/>
      <c r="M159" s="640" t="inlineStr">
        <is>
          <t>Итого</t>
        </is>
      </c>
      <c r="N159" s="610" t="n"/>
      <c r="O159" s="610" t="n"/>
      <c r="P159" s="610" t="n"/>
      <c r="Q159" s="610" t="n"/>
      <c r="R159" s="610" t="n"/>
      <c r="S159" s="611" t="n"/>
      <c r="T159" s="43" t="inlineStr">
        <is>
          <t>кг</t>
        </is>
      </c>
      <c r="U159" s="641">
        <f>IFERROR(SUM(U156:U157),"0")</f>
        <v/>
      </c>
      <c r="V159" s="641">
        <f>IFERROR(SUM(V156:V157),"0")</f>
        <v/>
      </c>
      <c r="W159" s="43" t="n"/>
      <c r="X159" s="642" t="n"/>
      <c r="Y159" s="642" t="n"/>
    </row>
    <row r="160" ht="14.25" customHeight="1">
      <c r="A160" s="354" t="inlineStr">
        <is>
          <t>Копченые колбасы</t>
        </is>
      </c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354" t="n"/>
      <c r="Y160" s="354" t="n"/>
    </row>
    <row r="161" ht="27" customHeight="1">
      <c r="A161" s="64" t="inlineStr">
        <is>
          <t>SU001820</t>
        </is>
      </c>
      <c r="B161" s="64" t="inlineStr">
        <is>
          <t>P001820</t>
        </is>
      </c>
      <c r="C161" s="37" t="n">
        <v>4301030878</v>
      </c>
      <c r="D161" s="355" t="n">
        <v>4607091387193</v>
      </c>
      <c r="E161" s="602" t="n"/>
      <c r="F161" s="634" t="n">
        <v>0.7</v>
      </c>
      <c r="G161" s="38" t="n">
        <v>6</v>
      </c>
      <c r="H161" s="634" t="n">
        <v>4.2</v>
      </c>
      <c r="I161" s="634" t="n">
        <v>4.46</v>
      </c>
      <c r="J161" s="38" t="n">
        <v>156</v>
      </c>
      <c r="K161" s="39" t="inlineStr">
        <is>
          <t>СК2</t>
        </is>
      </c>
      <c r="L161" s="38" t="n">
        <v>35</v>
      </c>
      <c r="M161" s="72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1" s="636" t="n"/>
      <c r="O161" s="636" t="n"/>
      <c r="P161" s="636" t="n"/>
      <c r="Q161" s="602" t="n"/>
      <c r="R161" s="40" t="inlineStr"/>
      <c r="S161" s="40" t="inlineStr"/>
      <c r="T161" s="41" t="inlineStr">
        <is>
          <t>кг</t>
        </is>
      </c>
      <c r="U161" s="637" t="n">
        <v>0</v>
      </c>
      <c r="V161" s="638">
        <f>IFERROR(IF(U161="",0,CEILING((U161/$H161),1)*$H161),"")</f>
        <v/>
      </c>
      <c r="W161" s="42">
        <f>IFERROR(IF(V161=0,"",ROUNDUP(V161/H161,0)*0.00753),"")</f>
        <v/>
      </c>
      <c r="X161" s="69" t="inlineStr"/>
      <c r="Y161" s="70" t="inlineStr"/>
      <c r="AC161" s="155" t="inlineStr">
        <is>
          <t>КИ</t>
        </is>
      </c>
    </row>
    <row r="162" ht="27" customHeight="1">
      <c r="A162" s="64" t="inlineStr">
        <is>
          <t>SU001822</t>
        </is>
      </c>
      <c r="B162" s="64" t="inlineStr">
        <is>
          <t>P003013</t>
        </is>
      </c>
      <c r="C162" s="37" t="n">
        <v>4301031153</v>
      </c>
      <c r="D162" s="355" t="n">
        <v>4607091387230</v>
      </c>
      <c r="E162" s="602" t="n"/>
      <c r="F162" s="634" t="n">
        <v>0.7</v>
      </c>
      <c r="G162" s="38" t="n">
        <v>6</v>
      </c>
      <c r="H162" s="634" t="n">
        <v>4.2</v>
      </c>
      <c r="I162" s="634" t="n">
        <v>4.46</v>
      </c>
      <c r="J162" s="38" t="n">
        <v>156</v>
      </c>
      <c r="K162" s="39" t="inlineStr">
        <is>
          <t>СК2</t>
        </is>
      </c>
      <c r="L162" s="38" t="n">
        <v>40</v>
      </c>
      <c r="M162" s="72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2" s="636" t="n"/>
      <c r="O162" s="636" t="n"/>
      <c r="P162" s="636" t="n"/>
      <c r="Q162" s="602" t="n"/>
      <c r="R162" s="40" t="inlineStr"/>
      <c r="S162" s="40" t="inlineStr"/>
      <c r="T162" s="41" t="inlineStr">
        <is>
          <t>кг</t>
        </is>
      </c>
      <c r="U162" s="637" t="n">
        <v>0</v>
      </c>
      <c r="V162" s="638">
        <f>IFERROR(IF(U162="",0,CEILING((U162/$H162),1)*$H162),"")</f>
        <v/>
      </c>
      <c r="W162" s="42">
        <f>IFERROR(IF(V162=0,"",ROUNDUP(V162/H162,0)*0.00753),"")</f>
        <v/>
      </c>
      <c r="X162" s="69" t="inlineStr"/>
      <c r="Y162" s="70" t="inlineStr"/>
      <c r="AC162" s="156" t="inlineStr">
        <is>
          <t>КИ</t>
        </is>
      </c>
    </row>
    <row r="163" ht="27" customHeight="1">
      <c r="A163" s="64" t="inlineStr">
        <is>
          <t>SU002756</t>
        </is>
      </c>
      <c r="B163" s="64" t="inlineStr">
        <is>
          <t>P003179</t>
        </is>
      </c>
      <c r="C163" s="37" t="n">
        <v>4301031191</v>
      </c>
      <c r="D163" s="355" t="n">
        <v>4680115880993</v>
      </c>
      <c r="E163" s="602" t="n"/>
      <c r="F163" s="634" t="n">
        <v>0.7</v>
      </c>
      <c r="G163" s="38" t="n">
        <v>6</v>
      </c>
      <c r="H163" s="634" t="n">
        <v>4.2</v>
      </c>
      <c r="I163" s="634" t="n">
        <v>4.46</v>
      </c>
      <c r="J163" s="38" t="n">
        <v>156</v>
      </c>
      <c r="K163" s="39" t="inlineStr">
        <is>
          <t>СК2</t>
        </is>
      </c>
      <c r="L163" s="38" t="n">
        <v>40</v>
      </c>
      <c r="M163" s="72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3" s="636" t="n"/>
      <c r="O163" s="636" t="n"/>
      <c r="P163" s="636" t="n"/>
      <c r="Q163" s="602" t="n"/>
      <c r="R163" s="40" t="inlineStr"/>
      <c r="S163" s="40" t="inlineStr"/>
      <c r="T163" s="41" t="inlineStr">
        <is>
          <t>кг</t>
        </is>
      </c>
      <c r="U163" s="637" t="n">
        <v>0</v>
      </c>
      <c r="V163" s="638">
        <f>IFERROR(IF(U163="",0,CEILING((U163/$H163),1)*$H163),"")</f>
        <v/>
      </c>
      <c r="W163" s="42">
        <f>IFERROR(IF(V163=0,"",ROUNDUP(V163/H163,0)*0.00753),"")</f>
        <v/>
      </c>
      <c r="X163" s="69" t="inlineStr"/>
      <c r="Y163" s="70" t="inlineStr"/>
      <c r="AC163" s="157" t="inlineStr">
        <is>
          <t>КИ</t>
        </is>
      </c>
    </row>
    <row r="164" ht="27" customHeight="1">
      <c r="A164" s="64" t="inlineStr">
        <is>
          <t>SU002876</t>
        </is>
      </c>
      <c r="B164" s="64" t="inlineStr">
        <is>
          <t>P003276</t>
        </is>
      </c>
      <c r="C164" s="37" t="n">
        <v>4301031204</v>
      </c>
      <c r="D164" s="355" t="n">
        <v>4680115881761</v>
      </c>
      <c r="E164" s="602" t="n"/>
      <c r="F164" s="634" t="n">
        <v>0.7</v>
      </c>
      <c r="G164" s="38" t="n">
        <v>6</v>
      </c>
      <c r="H164" s="634" t="n">
        <v>4.2</v>
      </c>
      <c r="I164" s="634" t="n">
        <v>4.46</v>
      </c>
      <c r="J164" s="38" t="n">
        <v>156</v>
      </c>
      <c r="K164" s="39" t="inlineStr">
        <is>
          <t>СК2</t>
        </is>
      </c>
      <c r="L164" s="38" t="n">
        <v>40</v>
      </c>
      <c r="M164" s="728" t="inlineStr">
        <is>
          <t>Копченые колбасы Салями Мясорубская с рубленым шпиком Бордо Весовой фиброуз Стародворье</t>
        </is>
      </c>
      <c r="N164" s="636" t="n"/>
      <c r="O164" s="636" t="n"/>
      <c r="P164" s="636" t="n"/>
      <c r="Q164" s="602" t="n"/>
      <c r="R164" s="40" t="inlineStr"/>
      <c r="S164" s="40" t="inlineStr"/>
      <c r="T164" s="41" t="inlineStr">
        <is>
          <t>кг</t>
        </is>
      </c>
      <c r="U164" s="637" t="n">
        <v>0</v>
      </c>
      <c r="V164" s="638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SU002847</t>
        </is>
      </c>
      <c r="B165" s="64" t="inlineStr">
        <is>
          <t>P003259</t>
        </is>
      </c>
      <c r="C165" s="37" t="n">
        <v>4301031201</v>
      </c>
      <c r="D165" s="355" t="n">
        <v>4680115881563</v>
      </c>
      <c r="E165" s="602" t="n"/>
      <c r="F165" s="634" t="n">
        <v>0.7</v>
      </c>
      <c r="G165" s="38" t="n">
        <v>6</v>
      </c>
      <c r="H165" s="634" t="n">
        <v>4.2</v>
      </c>
      <c r="I165" s="634" t="n">
        <v>4.4</v>
      </c>
      <c r="J165" s="38" t="n">
        <v>156</v>
      </c>
      <c r="K165" s="39" t="inlineStr">
        <is>
          <t>СК2</t>
        </is>
      </c>
      <c r="L165" s="38" t="n">
        <v>40</v>
      </c>
      <c r="M165" s="729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5" s="636" t="n"/>
      <c r="O165" s="636" t="n"/>
      <c r="P165" s="636" t="n"/>
      <c r="Q165" s="602" t="n"/>
      <c r="R165" s="40" t="inlineStr"/>
      <c r="S165" s="40" t="inlineStr"/>
      <c r="T165" s="41" t="inlineStr">
        <is>
          <t>кг</t>
        </is>
      </c>
      <c r="U165" s="637" t="n">
        <v>0</v>
      </c>
      <c r="V165" s="638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SU002941</t>
        </is>
      </c>
      <c r="B166" s="64" t="inlineStr">
        <is>
          <t>P003387</t>
        </is>
      </c>
      <c r="C166" s="37" t="n">
        <v>4301031224</v>
      </c>
      <c r="D166" s="355" t="n">
        <v>4680115882683</v>
      </c>
      <c r="E166" s="602" t="n"/>
      <c r="F166" s="634" t="n">
        <v>0.9</v>
      </c>
      <c r="G166" s="38" t="n">
        <v>6</v>
      </c>
      <c r="H166" s="634" t="n">
        <v>5.4</v>
      </c>
      <c r="I166" s="634" t="n">
        <v>5.61</v>
      </c>
      <c r="J166" s="38" t="n">
        <v>120</v>
      </c>
      <c r="K166" s="39" t="inlineStr">
        <is>
          <t>СК2</t>
        </is>
      </c>
      <c r="L166" s="38" t="n">
        <v>40</v>
      </c>
      <c r="M166" s="730" t="inlineStr">
        <is>
          <t>В/к колбасы "Сочинка по-европейски с сочной грудинкой" Весовой фиброуз ТМ "Стародворье"</t>
        </is>
      </c>
      <c r="N166" s="636" t="n"/>
      <c r="O166" s="636" t="n"/>
      <c r="P166" s="636" t="n"/>
      <c r="Q166" s="602" t="n"/>
      <c r="R166" s="40" t="inlineStr"/>
      <c r="S166" s="40" t="inlineStr"/>
      <c r="T166" s="41" t="inlineStr">
        <is>
          <t>кг</t>
        </is>
      </c>
      <c r="U166" s="637" t="n">
        <v>0</v>
      </c>
      <c r="V166" s="638">
        <f>IFERROR(IF(U166="",0,CEILING((U166/$H166),1)*$H166),"")</f>
        <v/>
      </c>
      <c r="W166" s="42">
        <f>IFERROR(IF(V166=0,"",ROUNDUP(V166/H166,0)*0.00937),"")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SU002943</t>
        </is>
      </c>
      <c r="B167" s="64" t="inlineStr">
        <is>
          <t>P003401</t>
        </is>
      </c>
      <c r="C167" s="37" t="n">
        <v>4301031230</v>
      </c>
      <c r="D167" s="355" t="n">
        <v>4680115882690</v>
      </c>
      <c r="E167" s="602" t="n"/>
      <c r="F167" s="634" t="n">
        <v>0.9</v>
      </c>
      <c r="G167" s="38" t="n">
        <v>6</v>
      </c>
      <c r="H167" s="634" t="n">
        <v>5.4</v>
      </c>
      <c r="I167" s="634" t="n">
        <v>5.61</v>
      </c>
      <c r="J167" s="38" t="n">
        <v>120</v>
      </c>
      <c r="K167" s="39" t="inlineStr">
        <is>
          <t>СК2</t>
        </is>
      </c>
      <c r="L167" s="38" t="n">
        <v>40</v>
      </c>
      <c r="M167" s="731" t="inlineStr">
        <is>
          <t>В/к колбасы "Сочинка по-фински с сочным окороком" Весовой фиброуз ТМ "Стародворье"</t>
        </is>
      </c>
      <c r="N167" s="636" t="n"/>
      <c r="O167" s="636" t="n"/>
      <c r="P167" s="636" t="n"/>
      <c r="Q167" s="602" t="n"/>
      <c r="R167" s="40" t="inlineStr"/>
      <c r="S167" s="40" t="inlineStr"/>
      <c r="T167" s="41" t="inlineStr">
        <is>
          <t>кг</t>
        </is>
      </c>
      <c r="U167" s="637" t="n">
        <v>0</v>
      </c>
      <c r="V167" s="638">
        <f>IFERROR(IF(U167="",0,CEILING((U167/$H167),1)*$H167),"")</f>
        <v/>
      </c>
      <c r="W167" s="42">
        <f>IFERROR(IF(V167=0,"",ROUNDUP(V167/H167,0)*0.00937),"")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SU002945</t>
        </is>
      </c>
      <c r="B168" s="64" t="inlineStr">
        <is>
          <t>P003383</t>
        </is>
      </c>
      <c r="C168" s="37" t="n">
        <v>4301031220</v>
      </c>
      <c r="D168" s="355" t="n">
        <v>4680115882669</v>
      </c>
      <c r="E168" s="602" t="n"/>
      <c r="F168" s="634" t="n">
        <v>0.9</v>
      </c>
      <c r="G168" s="38" t="n">
        <v>6</v>
      </c>
      <c r="H168" s="634" t="n">
        <v>5.4</v>
      </c>
      <c r="I168" s="634" t="n">
        <v>5.61</v>
      </c>
      <c r="J168" s="38" t="n">
        <v>120</v>
      </c>
      <c r="K168" s="39" t="inlineStr">
        <is>
          <t>СК2</t>
        </is>
      </c>
      <c r="L168" s="38" t="n">
        <v>40</v>
      </c>
      <c r="M168" s="732" t="inlineStr">
        <is>
          <t>П/к колбасы "Сочинка зернистая с сочной грудинкой" Весовой фиброуз ТМ "Стародворье"</t>
        </is>
      </c>
      <c r="N168" s="636" t="n"/>
      <c r="O168" s="636" t="n"/>
      <c r="P168" s="636" t="n"/>
      <c r="Q168" s="602" t="n"/>
      <c r="R168" s="40" t="inlineStr"/>
      <c r="S168" s="40" t="inlineStr"/>
      <c r="T168" s="41" t="inlineStr">
        <is>
          <t>кг</t>
        </is>
      </c>
      <c r="U168" s="637" t="n">
        <v>0</v>
      </c>
      <c r="V168" s="638">
        <f>IFERROR(IF(U168="",0,CEILING((U168/$H168),1)*$H168),"")</f>
        <v/>
      </c>
      <c r="W168" s="42">
        <f>IFERROR(IF(V168=0,"",ROUNDUP(V168/H168,0)*0.00937),"")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SU002947</t>
        </is>
      </c>
      <c r="B169" s="64" t="inlineStr">
        <is>
          <t>P003384</t>
        </is>
      </c>
      <c r="C169" s="37" t="n">
        <v>4301031221</v>
      </c>
      <c r="D169" s="355" t="n">
        <v>4680115882676</v>
      </c>
      <c r="E169" s="602" t="n"/>
      <c r="F169" s="634" t="n">
        <v>0.9</v>
      </c>
      <c r="G169" s="38" t="n">
        <v>6</v>
      </c>
      <c r="H169" s="634" t="n">
        <v>5.4</v>
      </c>
      <c r="I169" s="634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33" t="inlineStr">
        <is>
          <t>П/к колбасы "Сочинка рубленая с сочным окороком" Весовой фиброуз ТМ "Стародворье"</t>
        </is>
      </c>
      <c r="N169" s="636" t="n"/>
      <c r="O169" s="636" t="n"/>
      <c r="P169" s="636" t="n"/>
      <c r="Q169" s="602" t="n"/>
      <c r="R169" s="40" t="inlineStr"/>
      <c r="S169" s="40" t="inlineStr"/>
      <c r="T169" s="41" t="inlineStr">
        <is>
          <t>кг</t>
        </is>
      </c>
      <c r="U169" s="637" t="n">
        <v>0</v>
      </c>
      <c r="V169" s="638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SU002579</t>
        </is>
      </c>
      <c r="B170" s="64" t="inlineStr">
        <is>
          <t>P003012</t>
        </is>
      </c>
      <c r="C170" s="37" t="n">
        <v>4301031152</v>
      </c>
      <c r="D170" s="355" t="n">
        <v>4607091387285</v>
      </c>
      <c r="E170" s="602" t="n"/>
      <c r="F170" s="634" t="n">
        <v>0.35</v>
      </c>
      <c r="G170" s="38" t="n">
        <v>6</v>
      </c>
      <c r="H170" s="634" t="n">
        <v>2.1</v>
      </c>
      <c r="I170" s="634" t="n">
        <v>2.23</v>
      </c>
      <c r="J170" s="38" t="n">
        <v>234</v>
      </c>
      <c r="K170" s="39" t="inlineStr">
        <is>
          <t>СК2</t>
        </is>
      </c>
      <c r="L170" s="38" t="n">
        <v>40</v>
      </c>
      <c r="M170" s="73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0" s="636" t="n"/>
      <c r="O170" s="636" t="n"/>
      <c r="P170" s="636" t="n"/>
      <c r="Q170" s="602" t="n"/>
      <c r="R170" s="40" t="inlineStr"/>
      <c r="S170" s="40" t="inlineStr"/>
      <c r="T170" s="41" t="inlineStr">
        <is>
          <t>кг</t>
        </is>
      </c>
      <c r="U170" s="637" t="n">
        <v>0</v>
      </c>
      <c r="V170" s="638">
        <f>IFERROR(IF(U170="",0,CEILING((U170/$H170),1)*$H170),"")</f>
        <v/>
      </c>
      <c r="W170" s="42">
        <f>IFERROR(IF(V170=0,"",ROUNDUP(V170/H170,0)*0.00502),"")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SU002660</t>
        </is>
      </c>
      <c r="B171" s="64" t="inlineStr">
        <is>
          <t>P003256</t>
        </is>
      </c>
      <c r="C171" s="37" t="n">
        <v>4301031199</v>
      </c>
      <c r="D171" s="355" t="n">
        <v>4680115880986</v>
      </c>
      <c r="E171" s="602" t="n"/>
      <c r="F171" s="634" t="n">
        <v>0.35</v>
      </c>
      <c r="G171" s="38" t="n">
        <v>6</v>
      </c>
      <c r="H171" s="634" t="n">
        <v>2.1</v>
      </c>
      <c r="I171" s="634" t="n">
        <v>2.23</v>
      </c>
      <c r="J171" s="38" t="n">
        <v>234</v>
      </c>
      <c r="K171" s="39" t="inlineStr">
        <is>
          <t>СК2</t>
        </is>
      </c>
      <c r="L171" s="38" t="n">
        <v>40</v>
      </c>
      <c r="M171" s="735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1" s="636" t="n"/>
      <c r="O171" s="636" t="n"/>
      <c r="P171" s="636" t="n"/>
      <c r="Q171" s="602" t="n"/>
      <c r="R171" s="40" t="inlineStr"/>
      <c r="S171" s="40" t="inlineStr"/>
      <c r="T171" s="41" t="inlineStr">
        <is>
          <t>кг</t>
        </is>
      </c>
      <c r="U171" s="637" t="n">
        <v>0</v>
      </c>
      <c r="V171" s="638">
        <f>IFERROR(IF(U171="",0,CEILING((U171/$H171),1)*$H171),"")</f>
        <v/>
      </c>
      <c r="W171" s="42">
        <f>IFERROR(IF(V171=0,"",ROUNDUP(V171/H171,0)*0.00502),"")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SU002826</t>
        </is>
      </c>
      <c r="B172" s="64" t="inlineStr">
        <is>
          <t>P003178</t>
        </is>
      </c>
      <c r="C172" s="37" t="n">
        <v>4301031190</v>
      </c>
      <c r="D172" s="355" t="n">
        <v>4680115880207</v>
      </c>
      <c r="E172" s="602" t="n"/>
      <c r="F172" s="634" t="n">
        <v>0.4</v>
      </c>
      <c r="G172" s="38" t="n">
        <v>6</v>
      </c>
      <c r="H172" s="634" t="n">
        <v>2.4</v>
      </c>
      <c r="I172" s="634" t="n">
        <v>2.63</v>
      </c>
      <c r="J172" s="38" t="n">
        <v>156</v>
      </c>
      <c r="K172" s="39" t="inlineStr">
        <is>
          <t>СК2</t>
        </is>
      </c>
      <c r="L172" s="38" t="n">
        <v>40</v>
      </c>
      <c r="M172" s="736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2" s="636" t="n"/>
      <c r="O172" s="636" t="n"/>
      <c r="P172" s="636" t="n"/>
      <c r="Q172" s="602" t="n"/>
      <c r="R172" s="40" t="inlineStr"/>
      <c r="S172" s="40" t="inlineStr"/>
      <c r="T172" s="41" t="inlineStr">
        <is>
          <t>кг</t>
        </is>
      </c>
      <c r="U172" s="637" t="n">
        <v>0</v>
      </c>
      <c r="V172" s="638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SU002877</t>
        </is>
      </c>
      <c r="B173" s="64" t="inlineStr">
        <is>
          <t>P003277</t>
        </is>
      </c>
      <c r="C173" s="37" t="n">
        <v>4301031205</v>
      </c>
      <c r="D173" s="355" t="n">
        <v>4680115881785</v>
      </c>
      <c r="E173" s="602" t="n"/>
      <c r="F173" s="634" t="n">
        <v>0.35</v>
      </c>
      <c r="G173" s="38" t="n">
        <v>6</v>
      </c>
      <c r="H173" s="634" t="n">
        <v>2.1</v>
      </c>
      <c r="I173" s="634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37" t="inlineStr">
        <is>
          <t>Копченые колбасы Салями Мясорубская с рубленым шпиком срез Бордо ф/в 0,35 фиброуз Стародворье</t>
        </is>
      </c>
      <c r="N173" s="636" t="n"/>
      <c r="O173" s="636" t="n"/>
      <c r="P173" s="636" t="n"/>
      <c r="Q173" s="602" t="n"/>
      <c r="R173" s="40" t="inlineStr"/>
      <c r="S173" s="40" t="inlineStr"/>
      <c r="T173" s="41" t="inlineStr">
        <is>
          <t>кг</t>
        </is>
      </c>
      <c r="U173" s="637" t="n">
        <v>0</v>
      </c>
      <c r="V173" s="638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SU002848</t>
        </is>
      </c>
      <c r="B174" s="64" t="inlineStr">
        <is>
          <t>P003260</t>
        </is>
      </c>
      <c r="C174" s="37" t="n">
        <v>4301031202</v>
      </c>
      <c r="D174" s="355" t="n">
        <v>4680115881679</v>
      </c>
      <c r="E174" s="602" t="n"/>
      <c r="F174" s="634" t="n">
        <v>0.35</v>
      </c>
      <c r="G174" s="38" t="n">
        <v>6</v>
      </c>
      <c r="H174" s="634" t="n">
        <v>2.1</v>
      </c>
      <c r="I174" s="634" t="n">
        <v>2.2</v>
      </c>
      <c r="J174" s="38" t="n">
        <v>234</v>
      </c>
      <c r="K174" s="39" t="inlineStr">
        <is>
          <t>СК2</t>
        </is>
      </c>
      <c r="L174" s="38" t="n">
        <v>40</v>
      </c>
      <c r="M174" s="738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4" s="636" t="n"/>
      <c r="O174" s="636" t="n"/>
      <c r="P174" s="636" t="n"/>
      <c r="Q174" s="602" t="n"/>
      <c r="R174" s="40" t="inlineStr"/>
      <c r="S174" s="40" t="inlineStr"/>
      <c r="T174" s="41" t="inlineStr">
        <is>
          <t>кг</t>
        </is>
      </c>
      <c r="U174" s="637" t="n">
        <v>0</v>
      </c>
      <c r="V174" s="638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SU002659</t>
        </is>
      </c>
      <c r="B175" s="64" t="inlineStr">
        <is>
          <t>P003034</t>
        </is>
      </c>
      <c r="C175" s="37" t="n">
        <v>4301031158</v>
      </c>
      <c r="D175" s="355" t="n">
        <v>4680115880191</v>
      </c>
      <c r="E175" s="602" t="n"/>
      <c r="F175" s="634" t="n">
        <v>0.4</v>
      </c>
      <c r="G175" s="38" t="n">
        <v>6</v>
      </c>
      <c r="H175" s="634" t="n">
        <v>2.4</v>
      </c>
      <c r="I175" s="634" t="n">
        <v>2.5</v>
      </c>
      <c r="J175" s="38" t="n">
        <v>234</v>
      </c>
      <c r="K175" s="39" t="inlineStr">
        <is>
          <t>СК2</t>
        </is>
      </c>
      <c r="L175" s="38" t="n">
        <v>40</v>
      </c>
      <c r="M175" s="739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5" s="636" t="n"/>
      <c r="O175" s="636" t="n"/>
      <c r="P175" s="636" t="n"/>
      <c r="Q175" s="602" t="n"/>
      <c r="R175" s="40" t="inlineStr"/>
      <c r="S175" s="40" t="inlineStr"/>
      <c r="T175" s="41" t="inlineStr">
        <is>
          <t>кг</t>
        </is>
      </c>
      <c r="U175" s="637" t="n">
        <v>0</v>
      </c>
      <c r="V175" s="638">
        <f>IFERROR(IF(U175="",0,CEILING((U175/$H175),1)*$H175),"")</f>
        <v/>
      </c>
      <c r="W175" s="42">
        <f>IFERROR(IF(V175=0,"",ROUNDUP(V175/H175,0)*0.00502),"")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SU002617</t>
        </is>
      </c>
      <c r="B176" s="64" t="inlineStr">
        <is>
          <t>P002951</t>
        </is>
      </c>
      <c r="C176" s="37" t="n">
        <v>4301031151</v>
      </c>
      <c r="D176" s="355" t="n">
        <v>4607091389845</v>
      </c>
      <c r="E176" s="602" t="n"/>
      <c r="F176" s="634" t="n">
        <v>0.35</v>
      </c>
      <c r="G176" s="38" t="n">
        <v>6</v>
      </c>
      <c r="H176" s="634" t="n">
        <v>2.1</v>
      </c>
      <c r="I176" s="634" t="n">
        <v>2.2</v>
      </c>
      <c r="J176" s="38" t="n">
        <v>234</v>
      </c>
      <c r="K176" s="39" t="inlineStr">
        <is>
          <t>СК2</t>
        </is>
      </c>
      <c r="L176" s="38" t="n">
        <v>40</v>
      </c>
      <c r="M176" s="74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6" s="636" t="n"/>
      <c r="O176" s="636" t="n"/>
      <c r="P176" s="636" t="n"/>
      <c r="Q176" s="602" t="n"/>
      <c r="R176" s="40" t="inlineStr"/>
      <c r="S176" s="40" t="inlineStr"/>
      <c r="T176" s="41" t="inlineStr">
        <is>
          <t>кг</t>
        </is>
      </c>
      <c r="U176" s="637" t="n">
        <v>0</v>
      </c>
      <c r="V176" s="638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>
      <c r="A177" s="363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639" t="n"/>
      <c r="M177" s="640" t="inlineStr">
        <is>
          <t>Итого</t>
        </is>
      </c>
      <c r="N177" s="610" t="n"/>
      <c r="O177" s="610" t="n"/>
      <c r="P177" s="610" t="n"/>
      <c r="Q177" s="610" t="n"/>
      <c r="R177" s="610" t="n"/>
      <c r="S177" s="611" t="n"/>
      <c r="T177" s="43" t="inlineStr">
        <is>
          <t>кор</t>
        </is>
      </c>
      <c r="U177" s="641">
        <f>IFERROR(U161/H161,"0")+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</f>
        <v/>
      </c>
      <c r="V177" s="641">
        <f>IFERROR(V161/H161,"0")+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</f>
        <v/>
      </c>
      <c r="W177" s="641">
        <f>IFERROR(IF(W161="",0,W161),"0")+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</f>
        <v/>
      </c>
      <c r="X177" s="642" t="n"/>
      <c r="Y177" s="642" t="n"/>
    </row>
    <row r="17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639" t="n"/>
      <c r="M178" s="640" t="inlineStr">
        <is>
          <t>Итого</t>
        </is>
      </c>
      <c r="N178" s="610" t="n"/>
      <c r="O178" s="610" t="n"/>
      <c r="P178" s="610" t="n"/>
      <c r="Q178" s="610" t="n"/>
      <c r="R178" s="610" t="n"/>
      <c r="S178" s="611" t="n"/>
      <c r="T178" s="43" t="inlineStr">
        <is>
          <t>кг</t>
        </is>
      </c>
      <c r="U178" s="641">
        <f>IFERROR(SUM(U161:U176),"0")</f>
        <v/>
      </c>
      <c r="V178" s="641">
        <f>IFERROR(SUM(V161:V176),"0")</f>
        <v/>
      </c>
      <c r="W178" s="43" t="n"/>
      <c r="X178" s="642" t="n"/>
      <c r="Y178" s="642" t="n"/>
    </row>
    <row r="179" ht="14.25" customHeight="1">
      <c r="A179" s="354" t="inlineStr">
        <is>
          <t>Сосиски</t>
        </is>
      </c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354" t="n"/>
      <c r="Y179" s="354" t="n"/>
    </row>
    <row r="180" ht="27" customHeight="1">
      <c r="A180" s="64" t="inlineStr">
        <is>
          <t>SU002857</t>
        </is>
      </c>
      <c r="B180" s="64" t="inlineStr">
        <is>
          <t>P003264</t>
        </is>
      </c>
      <c r="C180" s="37" t="n">
        <v>4301051409</v>
      </c>
      <c r="D180" s="355" t="n">
        <v>4680115881556</v>
      </c>
      <c r="E180" s="602" t="n"/>
      <c r="F180" s="634" t="n">
        <v>1</v>
      </c>
      <c r="G180" s="38" t="n">
        <v>4</v>
      </c>
      <c r="H180" s="634" t="n">
        <v>4</v>
      </c>
      <c r="I180" s="634" t="n">
        <v>4.408</v>
      </c>
      <c r="J180" s="38" t="n">
        <v>104</v>
      </c>
      <c r="K180" s="39" t="inlineStr">
        <is>
          <t>СК3</t>
        </is>
      </c>
      <c r="L180" s="38" t="n">
        <v>45</v>
      </c>
      <c r="M180" s="741" t="inlineStr">
        <is>
          <t>Сосиски Сочинки по-баварски ТМ Стародворье полиамид мгс вес СК3</t>
        </is>
      </c>
      <c r="N180" s="636" t="n"/>
      <c r="O180" s="636" t="n"/>
      <c r="P180" s="636" t="n"/>
      <c r="Q180" s="602" t="n"/>
      <c r="R180" s="40" t="inlineStr"/>
      <c r="S180" s="40" t="inlineStr"/>
      <c r="T180" s="41" t="inlineStr">
        <is>
          <t>кг</t>
        </is>
      </c>
      <c r="U180" s="637" t="n">
        <v>0</v>
      </c>
      <c r="V180" s="638">
        <f>IFERROR(IF(U180="",0,CEILING((U180/$H180),1)*$H180),"")</f>
        <v/>
      </c>
      <c r="W180" s="42">
        <f>IFERROR(IF(V180=0,"",ROUNDUP(V180/H180,0)*0.01196),"")</f>
        <v/>
      </c>
      <c r="X180" s="69" t="inlineStr"/>
      <c r="Y180" s="70" t="inlineStr"/>
      <c r="AC180" s="171" t="inlineStr">
        <is>
          <t>КИ</t>
        </is>
      </c>
    </row>
    <row r="181" ht="16.5" customHeight="1">
      <c r="A181" s="64" t="inlineStr">
        <is>
          <t>SU001340</t>
        </is>
      </c>
      <c r="B181" s="64" t="inlineStr">
        <is>
          <t>P002209</t>
        </is>
      </c>
      <c r="C181" s="37" t="n">
        <v>4301051101</v>
      </c>
      <c r="D181" s="355" t="n">
        <v>4607091387766</v>
      </c>
      <c r="E181" s="602" t="n"/>
      <c r="F181" s="634" t="n">
        <v>1.35</v>
      </c>
      <c r="G181" s="38" t="n">
        <v>6</v>
      </c>
      <c r="H181" s="634" t="n">
        <v>8.1</v>
      </c>
      <c r="I181" s="634" t="n">
        <v>8.657999999999999</v>
      </c>
      <c r="J181" s="38" t="n">
        <v>56</v>
      </c>
      <c r="K181" s="39" t="inlineStr">
        <is>
          <t>СК2</t>
        </is>
      </c>
      <c r="L181" s="38" t="n">
        <v>40</v>
      </c>
      <c r="M181" s="742">
        <f>HYPERLINK("https://abi.ru/products/Охлажденные/Стародворье/Бордо/Сосиски/P002209/","Сосиски Ганноверские Бордо Весовые П/а мгс Баварушка")</f>
        <v/>
      </c>
      <c r="N181" s="636" t="n"/>
      <c r="O181" s="636" t="n"/>
      <c r="P181" s="636" t="n"/>
      <c r="Q181" s="602" t="n"/>
      <c r="R181" s="40" t="inlineStr"/>
      <c r="S181" s="40" t="inlineStr"/>
      <c r="T181" s="41" t="inlineStr">
        <is>
          <t>кг</t>
        </is>
      </c>
      <c r="U181" s="637" t="n">
        <v>0</v>
      </c>
      <c r="V181" s="638">
        <f>IFERROR(IF(U181="",0,CEILING((U181/$H181),1)*$H181),"")</f>
        <v/>
      </c>
      <c r="W181" s="42">
        <f>IFERROR(IF(V181=0,"",ROUNDUP(V181/H181,0)*0.02175),"")</f>
        <v/>
      </c>
      <c r="X181" s="69" t="inlineStr"/>
      <c r="Y181" s="70" t="inlineStr"/>
      <c r="AC181" s="172" t="inlineStr">
        <is>
          <t>КИ</t>
        </is>
      </c>
    </row>
    <row r="182" ht="27" customHeight="1">
      <c r="A182" s="64" t="inlineStr">
        <is>
          <t>SU001727</t>
        </is>
      </c>
      <c r="B182" s="64" t="inlineStr">
        <is>
          <t>P002205</t>
        </is>
      </c>
      <c r="C182" s="37" t="n">
        <v>4301051116</v>
      </c>
      <c r="D182" s="355" t="n">
        <v>4607091387957</v>
      </c>
      <c r="E182" s="602" t="n"/>
      <c r="F182" s="634" t="n">
        <v>1.3</v>
      </c>
      <c r="G182" s="38" t="n">
        <v>6</v>
      </c>
      <c r="H182" s="634" t="n">
        <v>7.8</v>
      </c>
      <c r="I182" s="634" t="n">
        <v>8.364000000000001</v>
      </c>
      <c r="J182" s="38" t="n">
        <v>56</v>
      </c>
      <c r="K182" s="39" t="inlineStr">
        <is>
          <t>СК2</t>
        </is>
      </c>
      <c r="L182" s="38" t="n">
        <v>40</v>
      </c>
      <c r="M182" s="74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2" s="636" t="n"/>
      <c r="O182" s="636" t="n"/>
      <c r="P182" s="636" t="n"/>
      <c r="Q182" s="602" t="n"/>
      <c r="R182" s="40" t="inlineStr"/>
      <c r="S182" s="40" t="inlineStr"/>
      <c r="T182" s="41" t="inlineStr">
        <is>
          <t>кг</t>
        </is>
      </c>
      <c r="U182" s="637" t="n">
        <v>0</v>
      </c>
      <c r="V182" s="638">
        <f>IFERROR(IF(U182="",0,CEILING((U182/$H182),1)*$H182),"")</f>
        <v/>
      </c>
      <c r="W182" s="42">
        <f>IFERROR(IF(V182=0,"",ROUNDUP(V182/H182,0)*0.02175),"")</f>
        <v/>
      </c>
      <c r="X182" s="69" t="inlineStr"/>
      <c r="Y182" s="70" t="inlineStr"/>
      <c r="AC182" s="173" t="inlineStr">
        <is>
          <t>КИ</t>
        </is>
      </c>
    </row>
    <row r="183" ht="27" customHeight="1">
      <c r="A183" s="64" t="inlineStr">
        <is>
          <t>SU001728</t>
        </is>
      </c>
      <c r="B183" s="64" t="inlineStr">
        <is>
          <t>P002207</t>
        </is>
      </c>
      <c r="C183" s="37" t="n">
        <v>4301051115</v>
      </c>
      <c r="D183" s="355" t="n">
        <v>4607091387964</v>
      </c>
      <c r="E183" s="602" t="n"/>
      <c r="F183" s="634" t="n">
        <v>1.35</v>
      </c>
      <c r="G183" s="38" t="n">
        <v>6</v>
      </c>
      <c r="H183" s="634" t="n">
        <v>8.1</v>
      </c>
      <c r="I183" s="634" t="n">
        <v>8.646000000000001</v>
      </c>
      <c r="J183" s="38" t="n">
        <v>56</v>
      </c>
      <c r="K183" s="39" t="inlineStr">
        <is>
          <t>СК2</t>
        </is>
      </c>
      <c r="L183" s="38" t="n">
        <v>40</v>
      </c>
      <c r="M183" s="74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3" s="636" t="n"/>
      <c r="O183" s="636" t="n"/>
      <c r="P183" s="636" t="n"/>
      <c r="Q183" s="602" t="n"/>
      <c r="R183" s="40" t="inlineStr"/>
      <c r="S183" s="40" t="inlineStr"/>
      <c r="T183" s="41" t="inlineStr">
        <is>
          <t>кг</t>
        </is>
      </c>
      <c r="U183" s="637" t="n">
        <v>0</v>
      </c>
      <c r="V183" s="638">
        <f>IFERROR(IF(U183="",0,CEILING((U183/$H183),1)*$H183),"")</f>
        <v/>
      </c>
      <c r="W183" s="42">
        <f>IFERROR(IF(V183=0,"",ROUNDUP(V183/H183,0)*0.02175),"")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SU002725</t>
        </is>
      </c>
      <c r="B184" s="64" t="inlineStr">
        <is>
          <t>P003404</t>
        </is>
      </c>
      <c r="C184" s="37" t="n">
        <v>4301051470</v>
      </c>
      <c r="D184" s="355" t="n">
        <v>4680115880573</v>
      </c>
      <c r="E184" s="602" t="n"/>
      <c r="F184" s="634" t="n">
        <v>1.3</v>
      </c>
      <c r="G184" s="38" t="n">
        <v>6</v>
      </c>
      <c r="H184" s="634" t="n">
        <v>7.8</v>
      </c>
      <c r="I184" s="634" t="n">
        <v>8.364000000000001</v>
      </c>
      <c r="J184" s="38" t="n">
        <v>56</v>
      </c>
      <c r="K184" s="39" t="inlineStr">
        <is>
          <t>СК3</t>
        </is>
      </c>
      <c r="L184" s="38" t="n">
        <v>45</v>
      </c>
      <c r="M184" s="745" t="inlineStr">
        <is>
          <t>Сосиски "Сочинки" Весовой п/а ТМ "Стародворье"</t>
        </is>
      </c>
      <c r="N184" s="636" t="n"/>
      <c r="O184" s="636" t="n"/>
      <c r="P184" s="636" t="n"/>
      <c r="Q184" s="602" t="n"/>
      <c r="R184" s="40" t="inlineStr"/>
      <c r="S184" s="40" t="inlineStr"/>
      <c r="T184" s="41" t="inlineStr">
        <is>
          <t>кг</t>
        </is>
      </c>
      <c r="U184" s="637" t="n">
        <v>0</v>
      </c>
      <c r="V184" s="638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SU002843</t>
        </is>
      </c>
      <c r="B185" s="64" t="inlineStr">
        <is>
          <t>P003263</t>
        </is>
      </c>
      <c r="C185" s="37" t="n">
        <v>4301051408</v>
      </c>
      <c r="D185" s="355" t="n">
        <v>4680115881594</v>
      </c>
      <c r="E185" s="602" t="n"/>
      <c r="F185" s="634" t="n">
        <v>1.35</v>
      </c>
      <c r="G185" s="38" t="n">
        <v>6</v>
      </c>
      <c r="H185" s="634" t="n">
        <v>8.1</v>
      </c>
      <c r="I185" s="634" t="n">
        <v>8.664</v>
      </c>
      <c r="J185" s="38" t="n">
        <v>56</v>
      </c>
      <c r="K185" s="39" t="inlineStr">
        <is>
          <t>СК3</t>
        </is>
      </c>
      <c r="L185" s="38" t="n">
        <v>40</v>
      </c>
      <c r="M185" s="746" t="inlineStr">
        <is>
          <t>Сосиски "Сочинки Молочные" Весовой п/а мгс ТМ "Стародворье"</t>
        </is>
      </c>
      <c r="N185" s="636" t="n"/>
      <c r="O185" s="636" t="n"/>
      <c r="P185" s="636" t="n"/>
      <c r="Q185" s="602" t="n"/>
      <c r="R185" s="40" t="inlineStr"/>
      <c r="S185" s="40" t="inlineStr"/>
      <c r="T185" s="41" t="inlineStr">
        <is>
          <t>кг</t>
        </is>
      </c>
      <c r="U185" s="637" t="n">
        <v>0</v>
      </c>
      <c r="V185" s="638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SU002858</t>
        </is>
      </c>
      <c r="B186" s="64" t="inlineStr">
        <is>
          <t>P003322</t>
        </is>
      </c>
      <c r="C186" s="37" t="n">
        <v>4301051433</v>
      </c>
      <c r="D186" s="355" t="n">
        <v>4680115881587</v>
      </c>
      <c r="E186" s="602" t="n"/>
      <c r="F186" s="634" t="n">
        <v>1</v>
      </c>
      <c r="G186" s="38" t="n">
        <v>4</v>
      </c>
      <c r="H186" s="634" t="n">
        <v>4</v>
      </c>
      <c r="I186" s="634" t="n">
        <v>4.408</v>
      </c>
      <c r="J186" s="38" t="n">
        <v>104</v>
      </c>
      <c r="K186" s="39" t="inlineStr">
        <is>
          <t>СК2</t>
        </is>
      </c>
      <c r="L186" s="38" t="n">
        <v>35</v>
      </c>
      <c r="M186" s="747" t="inlineStr">
        <is>
          <t>Сосиски Сочинки по-баварски с сыром Бордо Весовой п/а Стародворье</t>
        </is>
      </c>
      <c r="N186" s="636" t="n"/>
      <c r="O186" s="636" t="n"/>
      <c r="P186" s="636" t="n"/>
      <c r="Q186" s="602" t="n"/>
      <c r="R186" s="40" t="inlineStr"/>
      <c r="S186" s="40" t="inlineStr"/>
      <c r="T186" s="41" t="inlineStr">
        <is>
          <t>кг</t>
        </is>
      </c>
      <c r="U186" s="637" t="n">
        <v>0</v>
      </c>
      <c r="V186" s="638">
        <f>IFERROR(IF(U186="",0,CEILING((U186/$H186),1)*$H186),"")</f>
        <v/>
      </c>
      <c r="W186" s="42">
        <f>IFERROR(IF(V186=0,"",ROUNDUP(V186/H186,0)*0.01196),"")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SU002795</t>
        </is>
      </c>
      <c r="B187" s="64" t="inlineStr">
        <is>
          <t>P003203</t>
        </is>
      </c>
      <c r="C187" s="37" t="n">
        <v>4301051380</v>
      </c>
      <c r="D187" s="355" t="n">
        <v>4680115880962</v>
      </c>
      <c r="E187" s="602" t="n"/>
      <c r="F187" s="634" t="n">
        <v>1.3</v>
      </c>
      <c r="G187" s="38" t="n">
        <v>6</v>
      </c>
      <c r="H187" s="634" t="n">
        <v>7.8</v>
      </c>
      <c r="I187" s="634" t="n">
        <v>8.364000000000001</v>
      </c>
      <c r="J187" s="38" t="n">
        <v>56</v>
      </c>
      <c r="K187" s="39" t="inlineStr">
        <is>
          <t>СК2</t>
        </is>
      </c>
      <c r="L187" s="38" t="n">
        <v>40</v>
      </c>
      <c r="M187" s="748" t="inlineStr">
        <is>
          <t>Сосиски Сочинки с сыром Бордо Весовой п/а Стародворье</t>
        </is>
      </c>
      <c r="N187" s="636" t="n"/>
      <c r="O187" s="636" t="n"/>
      <c r="P187" s="636" t="n"/>
      <c r="Q187" s="602" t="n"/>
      <c r="R187" s="40" t="inlineStr"/>
      <c r="S187" s="40" t="inlineStr"/>
      <c r="T187" s="41" t="inlineStr">
        <is>
          <t>кг</t>
        </is>
      </c>
      <c r="U187" s="637" t="n">
        <v>0</v>
      </c>
      <c r="V187" s="638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SU002845</t>
        </is>
      </c>
      <c r="B188" s="64" t="inlineStr">
        <is>
          <t>P003266</t>
        </is>
      </c>
      <c r="C188" s="37" t="n">
        <v>4301051411</v>
      </c>
      <c r="D188" s="355" t="n">
        <v>4680115881617</v>
      </c>
      <c r="E188" s="602" t="n"/>
      <c r="F188" s="634" t="n">
        <v>1.35</v>
      </c>
      <c r="G188" s="38" t="n">
        <v>6</v>
      </c>
      <c r="H188" s="634" t="n">
        <v>8.1</v>
      </c>
      <c r="I188" s="634" t="n">
        <v>8.646000000000001</v>
      </c>
      <c r="J188" s="38" t="n">
        <v>56</v>
      </c>
      <c r="K188" s="39" t="inlineStr">
        <is>
          <t>СК3</t>
        </is>
      </c>
      <c r="L188" s="38" t="n">
        <v>40</v>
      </c>
      <c r="M188" s="749" t="inlineStr">
        <is>
          <t>Сосиски "Сочинки Сливочные" Весовые ТМ "Стародворье" 1,35 кг</t>
        </is>
      </c>
      <c r="N188" s="636" t="n"/>
      <c r="O188" s="636" t="n"/>
      <c r="P188" s="636" t="n"/>
      <c r="Q188" s="602" t="n"/>
      <c r="R188" s="40" t="inlineStr"/>
      <c r="S188" s="40" t="inlineStr"/>
      <c r="T188" s="41" t="inlineStr">
        <is>
          <t>кг</t>
        </is>
      </c>
      <c r="U188" s="637" t="n">
        <v>0</v>
      </c>
      <c r="V188" s="638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SU002801</t>
        </is>
      </c>
      <c r="B189" s="64" t="inlineStr">
        <is>
          <t>P003200</t>
        </is>
      </c>
      <c r="C189" s="37" t="n">
        <v>4301051377</v>
      </c>
      <c r="D189" s="355" t="n">
        <v>4680115881228</v>
      </c>
      <c r="E189" s="602" t="n"/>
      <c r="F189" s="634" t="n">
        <v>0.4</v>
      </c>
      <c r="G189" s="38" t="n">
        <v>6</v>
      </c>
      <c r="H189" s="634" t="n">
        <v>2.4</v>
      </c>
      <c r="I189" s="634" t="n">
        <v>2.6</v>
      </c>
      <c r="J189" s="38" t="n">
        <v>156</v>
      </c>
      <c r="K189" s="39" t="inlineStr">
        <is>
          <t>СК2</t>
        </is>
      </c>
      <c r="L189" s="38" t="n">
        <v>35</v>
      </c>
      <c r="M189" s="750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89" s="636" t="n"/>
      <c r="O189" s="636" t="n"/>
      <c r="P189" s="636" t="n"/>
      <c r="Q189" s="602" t="n"/>
      <c r="R189" s="40" t="inlineStr"/>
      <c r="S189" s="40" t="inlineStr"/>
      <c r="T189" s="41" t="inlineStr">
        <is>
          <t>кг</t>
        </is>
      </c>
      <c r="U189" s="637" t="n">
        <v>0</v>
      </c>
      <c r="V189" s="638">
        <f>IFERROR(IF(U189="",0,CEILING((U189/$H189),1)*$H189),"")</f>
        <v/>
      </c>
      <c r="W189" s="42">
        <f>IFERROR(IF(V189=0,"",ROUNDUP(V189/H189,0)*0.00753),"")</f>
        <v/>
      </c>
      <c r="X189" s="69" t="inlineStr"/>
      <c r="Y189" s="70" t="inlineStr"/>
      <c r="AC189" s="180" t="inlineStr">
        <is>
          <t>КИ</t>
        </is>
      </c>
    </row>
    <row r="190" ht="27" customHeight="1">
      <c r="A190" s="64" t="inlineStr">
        <is>
          <t>SU002802</t>
        </is>
      </c>
      <c r="B190" s="64" t="inlineStr">
        <is>
          <t>P003321</t>
        </is>
      </c>
      <c r="C190" s="37" t="n">
        <v>4301051432</v>
      </c>
      <c r="D190" s="355" t="n">
        <v>4680115881037</v>
      </c>
      <c r="E190" s="602" t="n"/>
      <c r="F190" s="634" t="n">
        <v>0.84</v>
      </c>
      <c r="G190" s="38" t="n">
        <v>4</v>
      </c>
      <c r="H190" s="634" t="n">
        <v>3.36</v>
      </c>
      <c r="I190" s="634" t="n">
        <v>3.618</v>
      </c>
      <c r="J190" s="38" t="n">
        <v>120</v>
      </c>
      <c r="K190" s="39" t="inlineStr">
        <is>
          <t>СК2</t>
        </is>
      </c>
      <c r="L190" s="38" t="n">
        <v>35</v>
      </c>
      <c r="M190" s="751" t="inlineStr">
        <is>
          <t>Сосиски Сочинки по-баварски с сыром ТМ Стародворье полиамид мгс ф/в 0,84 кг СК3</t>
        </is>
      </c>
      <c r="N190" s="636" t="n"/>
      <c r="O190" s="636" t="n"/>
      <c r="P190" s="636" t="n"/>
      <c r="Q190" s="602" t="n"/>
      <c r="R190" s="40" t="inlineStr"/>
      <c r="S190" s="40" t="inlineStr"/>
      <c r="T190" s="41" t="inlineStr">
        <is>
          <t>кг</t>
        </is>
      </c>
      <c r="U190" s="637" t="n">
        <v>0</v>
      </c>
      <c r="V190" s="638">
        <f>IFERROR(IF(U190="",0,CEILING((U190/$H190),1)*$H190),"")</f>
        <v/>
      </c>
      <c r="W190" s="42">
        <f>IFERROR(IF(V190=0,"",ROUNDUP(V190/H190,0)*0.00937),"")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SU002799</t>
        </is>
      </c>
      <c r="B191" s="64" t="inlineStr">
        <is>
          <t>P003217</t>
        </is>
      </c>
      <c r="C191" s="37" t="n">
        <v>4301051384</v>
      </c>
      <c r="D191" s="355" t="n">
        <v>4680115881211</v>
      </c>
      <c r="E191" s="602" t="n"/>
      <c r="F191" s="634" t="n">
        <v>0.4</v>
      </c>
      <c r="G191" s="38" t="n">
        <v>6</v>
      </c>
      <c r="H191" s="634" t="n">
        <v>2.4</v>
      </c>
      <c r="I191" s="634" t="n">
        <v>2.6</v>
      </c>
      <c r="J191" s="38" t="n">
        <v>156</v>
      </c>
      <c r="K191" s="39" t="inlineStr">
        <is>
          <t>СК2</t>
        </is>
      </c>
      <c r="L191" s="38" t="n">
        <v>45</v>
      </c>
      <c r="M191" s="752" t="inlineStr">
        <is>
          <t>Сосиски Сочинки по-баварски Бавария Фикс.вес 0,4 П/а мгс Стародворье</t>
        </is>
      </c>
      <c r="N191" s="636" t="n"/>
      <c r="O191" s="636" t="n"/>
      <c r="P191" s="636" t="n"/>
      <c r="Q191" s="602" t="n"/>
      <c r="R191" s="40" t="inlineStr"/>
      <c r="S191" s="40" t="inlineStr"/>
      <c r="T191" s="41" t="inlineStr">
        <is>
          <t>кг</t>
        </is>
      </c>
      <c r="U191" s="637" t="n">
        <v>0</v>
      </c>
      <c r="V191" s="638">
        <f>IFERROR(IF(U191="",0,CEILING((U191/$H191),1)*$H191),"")</f>
        <v/>
      </c>
      <c r="W191" s="42">
        <f>IFERROR(IF(V191=0,"",ROUNDUP(V191/H191,0)*0.00753),"")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SU002800</t>
        </is>
      </c>
      <c r="B192" s="64" t="inlineStr">
        <is>
          <t>P003201</t>
        </is>
      </c>
      <c r="C192" s="37" t="n">
        <v>4301051378</v>
      </c>
      <c r="D192" s="355" t="n">
        <v>4680115881020</v>
      </c>
      <c r="E192" s="602" t="n"/>
      <c r="F192" s="634" t="n">
        <v>0.84</v>
      </c>
      <c r="G192" s="38" t="n">
        <v>4</v>
      </c>
      <c r="H192" s="634" t="n">
        <v>3.36</v>
      </c>
      <c r="I192" s="634" t="n">
        <v>3.57</v>
      </c>
      <c r="J192" s="38" t="n">
        <v>120</v>
      </c>
      <c r="K192" s="39" t="inlineStr">
        <is>
          <t>СК2</t>
        </is>
      </c>
      <c r="L192" s="38" t="n">
        <v>45</v>
      </c>
      <c r="M192" s="753" t="inlineStr">
        <is>
          <t>Сосиски Сочинки по-баварски Бавария Фикс.вес 0,84 П/а мгс Стародворье</t>
        </is>
      </c>
      <c r="N192" s="636" t="n"/>
      <c r="O192" s="636" t="n"/>
      <c r="P192" s="636" t="n"/>
      <c r="Q192" s="602" t="n"/>
      <c r="R192" s="40" t="inlineStr"/>
      <c r="S192" s="40" t="inlineStr"/>
      <c r="T192" s="41" t="inlineStr">
        <is>
          <t>кг</t>
        </is>
      </c>
      <c r="U192" s="637" t="n">
        <v>0</v>
      </c>
      <c r="V192" s="638">
        <f>IFERROR(IF(U192="",0,CEILING((U192/$H192),1)*$H192),"")</f>
        <v/>
      </c>
      <c r="W192" s="42">
        <f>IFERROR(IF(V192=0,"",ROUNDUP(V192/H192,0)*0.00937),"")</f>
        <v/>
      </c>
      <c r="X192" s="69" t="inlineStr"/>
      <c r="Y192" s="70" t="inlineStr"/>
      <c r="AC192" s="183" t="inlineStr">
        <is>
          <t>КИ</t>
        </is>
      </c>
    </row>
    <row r="193" ht="16.5" customHeight="1">
      <c r="A193" s="64" t="inlineStr">
        <is>
          <t>SU001341</t>
        </is>
      </c>
      <c r="B193" s="64" t="inlineStr">
        <is>
          <t>P002204</t>
        </is>
      </c>
      <c r="C193" s="37" t="n">
        <v>4301051134</v>
      </c>
      <c r="D193" s="355" t="n">
        <v>4607091381672</v>
      </c>
      <c r="E193" s="602" t="n"/>
      <c r="F193" s="634" t="n">
        <v>0.6</v>
      </c>
      <c r="G193" s="38" t="n">
        <v>6</v>
      </c>
      <c r="H193" s="634" t="n">
        <v>3.6</v>
      </c>
      <c r="I193" s="634" t="n">
        <v>3.876</v>
      </c>
      <c r="J193" s="38" t="n">
        <v>120</v>
      </c>
      <c r="K193" s="39" t="inlineStr">
        <is>
          <t>СК2</t>
        </is>
      </c>
      <c r="L193" s="38" t="n">
        <v>40</v>
      </c>
      <c r="M193" s="754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3" s="636" t="n"/>
      <c r="O193" s="636" t="n"/>
      <c r="P193" s="636" t="n"/>
      <c r="Q193" s="602" t="n"/>
      <c r="R193" s="40" t="inlineStr"/>
      <c r="S193" s="40" t="inlineStr"/>
      <c r="T193" s="41" t="inlineStr">
        <is>
          <t>кг</t>
        </is>
      </c>
      <c r="U193" s="637" t="n">
        <v>0</v>
      </c>
      <c r="V193" s="638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SU001763</t>
        </is>
      </c>
      <c r="B194" s="64" t="inlineStr">
        <is>
          <t>P002206</t>
        </is>
      </c>
      <c r="C194" s="37" t="n">
        <v>4301051130</v>
      </c>
      <c r="D194" s="355" t="n">
        <v>4607091387537</v>
      </c>
      <c r="E194" s="602" t="n"/>
      <c r="F194" s="634" t="n">
        <v>0.45</v>
      </c>
      <c r="G194" s="38" t="n">
        <v>6</v>
      </c>
      <c r="H194" s="634" t="n">
        <v>2.7</v>
      </c>
      <c r="I194" s="634" t="n">
        <v>2.99</v>
      </c>
      <c r="J194" s="38" t="n">
        <v>156</v>
      </c>
      <c r="K194" s="39" t="inlineStr">
        <is>
          <t>СК2</t>
        </is>
      </c>
      <c r="L194" s="38" t="n">
        <v>40</v>
      </c>
      <c r="M194" s="755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4" s="636" t="n"/>
      <c r="O194" s="636" t="n"/>
      <c r="P194" s="636" t="n"/>
      <c r="Q194" s="602" t="n"/>
      <c r="R194" s="40" t="inlineStr"/>
      <c r="S194" s="40" t="inlineStr"/>
      <c r="T194" s="41" t="inlineStr">
        <is>
          <t>кг</t>
        </is>
      </c>
      <c r="U194" s="637" t="n">
        <v>0</v>
      </c>
      <c r="V194" s="638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SU001762</t>
        </is>
      </c>
      <c r="B195" s="64" t="inlineStr">
        <is>
          <t>P002208</t>
        </is>
      </c>
      <c r="C195" s="37" t="n">
        <v>4301051132</v>
      </c>
      <c r="D195" s="355" t="n">
        <v>4607091387513</v>
      </c>
      <c r="E195" s="602" t="n"/>
      <c r="F195" s="634" t="n">
        <v>0.45</v>
      </c>
      <c r="G195" s="38" t="n">
        <v>6</v>
      </c>
      <c r="H195" s="634" t="n">
        <v>2.7</v>
      </c>
      <c r="I195" s="634" t="n">
        <v>2.978</v>
      </c>
      <c r="J195" s="38" t="n">
        <v>156</v>
      </c>
      <c r="K195" s="39" t="inlineStr">
        <is>
          <t>СК2</t>
        </is>
      </c>
      <c r="L195" s="38" t="n">
        <v>40</v>
      </c>
      <c r="M195" s="756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5" s="636" t="n"/>
      <c r="O195" s="636" t="n"/>
      <c r="P195" s="636" t="n"/>
      <c r="Q195" s="602" t="n"/>
      <c r="R195" s="40" t="inlineStr"/>
      <c r="S195" s="40" t="inlineStr"/>
      <c r="T195" s="41" t="inlineStr">
        <is>
          <t>кг</t>
        </is>
      </c>
      <c r="U195" s="637" t="n">
        <v>0</v>
      </c>
      <c r="V195" s="638">
        <f>IFERROR(IF(U195="",0,CEILING((U195/$H195),1)*$H195),"")</f>
        <v/>
      </c>
      <c r="W195" s="42">
        <f>IFERROR(IF(V195=0,"",ROUNDUP(V195/H195,0)*0.00753),"")</f>
        <v/>
      </c>
      <c r="X195" s="69" t="inlineStr"/>
      <c r="Y195" s="70" t="inlineStr"/>
      <c r="AC195" s="186" t="inlineStr">
        <is>
          <t>КИ</t>
        </is>
      </c>
    </row>
    <row r="196" ht="27" customHeight="1">
      <c r="A196" s="64" t="inlineStr">
        <is>
          <t>SU002842</t>
        </is>
      </c>
      <c r="B196" s="64" t="inlineStr">
        <is>
          <t>P003262</t>
        </is>
      </c>
      <c r="C196" s="37" t="n">
        <v>4301051407</v>
      </c>
      <c r="D196" s="355" t="n">
        <v>4680115882195</v>
      </c>
      <c r="E196" s="602" t="n"/>
      <c r="F196" s="634" t="n">
        <v>0.4</v>
      </c>
      <c r="G196" s="38" t="n">
        <v>6</v>
      </c>
      <c r="H196" s="634" t="n">
        <v>2.4</v>
      </c>
      <c r="I196" s="634" t="n">
        <v>2.69</v>
      </c>
      <c r="J196" s="38" t="n">
        <v>156</v>
      </c>
      <c r="K196" s="39" t="inlineStr">
        <is>
          <t>СК3</t>
        </is>
      </c>
      <c r="L196" s="38" t="n">
        <v>40</v>
      </c>
      <c r="M196" s="757" t="inlineStr">
        <is>
          <t>Сосиски "Сочинки Молочные" Фикс.вес 0,4 п/а мгс ТМ "Стародворье"</t>
        </is>
      </c>
      <c r="N196" s="636" t="n"/>
      <c r="O196" s="636" t="n"/>
      <c r="P196" s="636" t="n"/>
      <c r="Q196" s="602" t="n"/>
      <c r="R196" s="40" t="inlineStr"/>
      <c r="S196" s="40" t="inlineStr"/>
      <c r="T196" s="41" t="inlineStr">
        <is>
          <t>кг</t>
        </is>
      </c>
      <c r="U196" s="637" t="n">
        <v>0</v>
      </c>
      <c r="V196" s="638">
        <f>IFERROR(IF(U196="",0,CEILING((U196/$H196),1)*$H196),"")</f>
        <v/>
      </c>
      <c r="W196" s="42">
        <f>IFERROR(IF(V196=0,"",ROUNDUP(V196/H196,0)*0.00753),"")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SU002618</t>
        </is>
      </c>
      <c r="B197" s="64" t="inlineStr">
        <is>
          <t>P003398</t>
        </is>
      </c>
      <c r="C197" s="37" t="n">
        <v>4301051468</v>
      </c>
      <c r="D197" s="355" t="n">
        <v>4680115880092</v>
      </c>
      <c r="E197" s="602" t="n"/>
      <c r="F197" s="634" t="n">
        <v>0.4</v>
      </c>
      <c r="G197" s="38" t="n">
        <v>6</v>
      </c>
      <c r="H197" s="634" t="n">
        <v>2.4</v>
      </c>
      <c r="I197" s="634" t="n">
        <v>2.672</v>
      </c>
      <c r="J197" s="38" t="n">
        <v>156</v>
      </c>
      <c r="K197" s="39" t="inlineStr">
        <is>
          <t>СК3</t>
        </is>
      </c>
      <c r="L197" s="38" t="n">
        <v>45</v>
      </c>
      <c r="M197" s="758" t="inlineStr">
        <is>
          <t>Сосиски "Сочинки с сочной грудинкой" Фикс.вес 0,4 П/а мгс ТМ "Стародворье"</t>
        </is>
      </c>
      <c r="N197" s="636" t="n"/>
      <c r="O197" s="636" t="n"/>
      <c r="P197" s="636" t="n"/>
      <c r="Q197" s="602" t="n"/>
      <c r="R197" s="40" t="inlineStr"/>
      <c r="S197" s="40" t="inlineStr"/>
      <c r="T197" s="41" t="inlineStr">
        <is>
          <t>кг</t>
        </is>
      </c>
      <c r="U197" s="637" t="n">
        <v>16</v>
      </c>
      <c r="V197" s="638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SU002621</t>
        </is>
      </c>
      <c r="B198" s="64" t="inlineStr">
        <is>
          <t>P003399</t>
        </is>
      </c>
      <c r="C198" s="37" t="n">
        <v>4301051469</v>
      </c>
      <c r="D198" s="355" t="n">
        <v>4680115880221</v>
      </c>
      <c r="E198" s="602" t="n"/>
      <c r="F198" s="634" t="n">
        <v>0.4</v>
      </c>
      <c r="G198" s="38" t="n">
        <v>6</v>
      </c>
      <c r="H198" s="634" t="n">
        <v>2.4</v>
      </c>
      <c r="I198" s="634" t="n">
        <v>2.672</v>
      </c>
      <c r="J198" s="38" t="n">
        <v>156</v>
      </c>
      <c r="K198" s="39" t="inlineStr">
        <is>
          <t>СК3</t>
        </is>
      </c>
      <c r="L198" s="38" t="n">
        <v>45</v>
      </c>
      <c r="M198" s="759" t="inlineStr">
        <is>
          <t>Сосиски Сочинки с сочным окороком Бордо Фикс.вес 0,4 П/а мгс Стародворье</t>
        </is>
      </c>
      <c r="N198" s="636" t="n"/>
      <c r="O198" s="636" t="n"/>
      <c r="P198" s="636" t="n"/>
      <c r="Q198" s="602" t="n"/>
      <c r="R198" s="40" t="inlineStr"/>
      <c r="S198" s="40" t="inlineStr"/>
      <c r="T198" s="41" t="inlineStr">
        <is>
          <t>кг</t>
        </is>
      </c>
      <c r="U198" s="637" t="n">
        <v>0</v>
      </c>
      <c r="V198" s="638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16.5" customHeight="1">
      <c r="A199" s="64" t="inlineStr">
        <is>
          <t>SU002686</t>
        </is>
      </c>
      <c r="B199" s="64" t="inlineStr">
        <is>
          <t>P003071</t>
        </is>
      </c>
      <c r="C199" s="37" t="n">
        <v>4301051326</v>
      </c>
      <c r="D199" s="355" t="n">
        <v>4680115880504</v>
      </c>
      <c r="E199" s="602" t="n"/>
      <c r="F199" s="634" t="n">
        <v>0.4</v>
      </c>
      <c r="G199" s="38" t="n">
        <v>6</v>
      </c>
      <c r="H199" s="634" t="n">
        <v>2.4</v>
      </c>
      <c r="I199" s="634" t="n">
        <v>2.672</v>
      </c>
      <c r="J199" s="38" t="n">
        <v>156</v>
      </c>
      <c r="K199" s="39" t="inlineStr">
        <is>
          <t>СК2</t>
        </is>
      </c>
      <c r="L199" s="38" t="n">
        <v>40</v>
      </c>
      <c r="M199" s="760">
        <f>HYPERLINK("https://abi.ru/products/Охлажденные/Стародворье/Бордо/Сосиски/P003071/","Сосиски Сочинки с сыром Бордо ф/в 0,4 кг п/а Стародворье")</f>
        <v/>
      </c>
      <c r="N199" s="636" t="n"/>
      <c r="O199" s="636" t="n"/>
      <c r="P199" s="636" t="n"/>
      <c r="Q199" s="602" t="n"/>
      <c r="R199" s="40" t="inlineStr"/>
      <c r="S199" s="40" t="inlineStr"/>
      <c r="T199" s="41" t="inlineStr">
        <is>
          <t>кг</t>
        </is>
      </c>
      <c r="U199" s="637" t="n">
        <v>0</v>
      </c>
      <c r="V199" s="638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SU002844</t>
        </is>
      </c>
      <c r="B200" s="64" t="inlineStr">
        <is>
          <t>P003265</t>
        </is>
      </c>
      <c r="C200" s="37" t="n">
        <v>4301051410</v>
      </c>
      <c r="D200" s="355" t="n">
        <v>4680115882164</v>
      </c>
      <c r="E200" s="602" t="n"/>
      <c r="F200" s="634" t="n">
        <v>0.4</v>
      </c>
      <c r="G200" s="38" t="n">
        <v>6</v>
      </c>
      <c r="H200" s="634" t="n">
        <v>2.4</v>
      </c>
      <c r="I200" s="634" t="n">
        <v>2.678</v>
      </c>
      <c r="J200" s="38" t="n">
        <v>156</v>
      </c>
      <c r="K200" s="39" t="inlineStr">
        <is>
          <t>СК3</t>
        </is>
      </c>
      <c r="L200" s="38" t="n">
        <v>40</v>
      </c>
      <c r="M200" s="761" t="inlineStr">
        <is>
          <t>Сосиски "Сочинки Сливочные" Фикс.вес 0,4 п/а мгс ТМ "Стародворье"</t>
        </is>
      </c>
      <c r="N200" s="636" t="n"/>
      <c r="O200" s="636" t="n"/>
      <c r="P200" s="636" t="n"/>
      <c r="Q200" s="602" t="n"/>
      <c r="R200" s="40" t="inlineStr"/>
      <c r="S200" s="40" t="inlineStr"/>
      <c r="T200" s="41" t="inlineStr">
        <is>
          <t>кг</t>
        </is>
      </c>
      <c r="U200" s="637" t="n">
        <v>0</v>
      </c>
      <c r="V200" s="638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>
      <c r="A201" s="363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639" t="n"/>
      <c r="M201" s="640" t="inlineStr">
        <is>
          <t>Итого</t>
        </is>
      </c>
      <c r="N201" s="610" t="n"/>
      <c r="O201" s="610" t="n"/>
      <c r="P201" s="610" t="n"/>
      <c r="Q201" s="610" t="n"/>
      <c r="R201" s="610" t="n"/>
      <c r="S201" s="611" t="n"/>
      <c r="T201" s="43" t="inlineStr">
        <is>
          <t>кор</t>
        </is>
      </c>
      <c r="U201" s="641">
        <f>IFERROR(U180/H180,"0")+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</f>
        <v/>
      </c>
      <c r="V201" s="641">
        <f>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</f>
        <v/>
      </c>
      <c r="W201" s="641">
        <f>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</f>
        <v/>
      </c>
      <c r="X201" s="642" t="n"/>
      <c r="Y201" s="642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639" t="n"/>
      <c r="M202" s="640" t="inlineStr">
        <is>
          <t>Итого</t>
        </is>
      </c>
      <c r="N202" s="610" t="n"/>
      <c r="O202" s="610" t="n"/>
      <c r="P202" s="610" t="n"/>
      <c r="Q202" s="610" t="n"/>
      <c r="R202" s="610" t="n"/>
      <c r="S202" s="611" t="n"/>
      <c r="T202" s="43" t="inlineStr">
        <is>
          <t>кг</t>
        </is>
      </c>
      <c r="U202" s="641">
        <f>IFERROR(SUM(U180:U200),"0")</f>
        <v/>
      </c>
      <c r="V202" s="641">
        <f>IFERROR(SUM(V180:V200),"0")</f>
        <v/>
      </c>
      <c r="W202" s="43" t="n"/>
      <c r="X202" s="642" t="n"/>
      <c r="Y202" s="642" t="n"/>
    </row>
    <row r="203" ht="14.25" customHeight="1">
      <c r="A203" s="354" t="inlineStr">
        <is>
          <t>Сардельки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354" t="n"/>
      <c r="Y203" s="354" t="n"/>
    </row>
    <row r="204" ht="16.5" customHeight="1">
      <c r="A204" s="64" t="inlineStr">
        <is>
          <t>SU001051</t>
        </is>
      </c>
      <c r="B204" s="64" t="inlineStr">
        <is>
          <t>P002061</t>
        </is>
      </c>
      <c r="C204" s="37" t="n">
        <v>4301060326</v>
      </c>
      <c r="D204" s="355" t="n">
        <v>4607091380880</v>
      </c>
      <c r="E204" s="602" t="n"/>
      <c r="F204" s="634" t="n">
        <v>1.4</v>
      </c>
      <c r="G204" s="38" t="n">
        <v>6</v>
      </c>
      <c r="H204" s="634" t="n">
        <v>8.4</v>
      </c>
      <c r="I204" s="634" t="n">
        <v>8.964</v>
      </c>
      <c r="J204" s="38" t="n">
        <v>56</v>
      </c>
      <c r="K204" s="39" t="inlineStr">
        <is>
          <t>СК2</t>
        </is>
      </c>
      <c r="L204" s="38" t="n">
        <v>30</v>
      </c>
      <c r="M204" s="762">
        <f>HYPERLINK("https://abi.ru/products/Охлажденные/Стародворье/Бордо/Сардельки/P002061/","Сардельки Нежные Бордо Весовые н/о мгс Стародворье")</f>
        <v/>
      </c>
      <c r="N204" s="636" t="n"/>
      <c r="O204" s="636" t="n"/>
      <c r="P204" s="636" t="n"/>
      <c r="Q204" s="602" t="n"/>
      <c r="R204" s="40" t="inlineStr"/>
      <c r="S204" s="40" t="inlineStr"/>
      <c r="T204" s="41" t="inlineStr">
        <is>
          <t>кг</t>
        </is>
      </c>
      <c r="U204" s="637" t="n">
        <v>0</v>
      </c>
      <c r="V204" s="638">
        <f>IFERROR(IF(U204="",0,CEILING((U204/$H204),1)*$H204),"")</f>
        <v/>
      </c>
      <c r="W204" s="42">
        <f>IFERROR(IF(V204=0,"",ROUNDUP(V204/H204,0)*0.02175),"")</f>
        <v/>
      </c>
      <c r="X204" s="69" t="inlineStr"/>
      <c r="Y204" s="70" t="inlineStr"/>
      <c r="AC204" s="192" t="inlineStr">
        <is>
          <t>КИ</t>
        </is>
      </c>
    </row>
    <row r="205" ht="27" customHeight="1">
      <c r="A205" s="64" t="inlineStr">
        <is>
          <t>SU000227</t>
        </is>
      </c>
      <c r="B205" s="64" t="inlineStr">
        <is>
          <t>P002536</t>
        </is>
      </c>
      <c r="C205" s="37" t="n">
        <v>4301060308</v>
      </c>
      <c r="D205" s="355" t="n">
        <v>4607091384482</v>
      </c>
      <c r="E205" s="602" t="n"/>
      <c r="F205" s="634" t="n">
        <v>1.3</v>
      </c>
      <c r="G205" s="38" t="n">
        <v>6</v>
      </c>
      <c r="H205" s="634" t="n">
        <v>7.8</v>
      </c>
      <c r="I205" s="634" t="n">
        <v>8.364000000000001</v>
      </c>
      <c r="J205" s="38" t="n">
        <v>56</v>
      </c>
      <c r="K205" s="39" t="inlineStr">
        <is>
          <t>СК2</t>
        </is>
      </c>
      <c r="L205" s="38" t="n">
        <v>30</v>
      </c>
      <c r="M205" s="76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05" s="636" t="n"/>
      <c r="O205" s="636" t="n"/>
      <c r="P205" s="636" t="n"/>
      <c r="Q205" s="602" t="n"/>
      <c r="R205" s="40" t="inlineStr"/>
      <c r="S205" s="40" t="inlineStr"/>
      <c r="T205" s="41" t="inlineStr">
        <is>
          <t>кг</t>
        </is>
      </c>
      <c r="U205" s="637" t="n">
        <v>220</v>
      </c>
      <c r="V205" s="638">
        <f>IFERROR(IF(U205="",0,CEILING((U205/$H205),1)*$H205),"")</f>
        <v/>
      </c>
      <c r="W205" s="42">
        <f>IFERROR(IF(V205=0,"",ROUNDUP(V205/H205,0)*0.02175),"")</f>
        <v/>
      </c>
      <c r="X205" s="69" t="inlineStr"/>
      <c r="Y205" s="70" t="inlineStr"/>
      <c r="AC205" s="193" t="inlineStr">
        <is>
          <t>КИ</t>
        </is>
      </c>
    </row>
    <row r="206" ht="16.5" customHeight="1">
      <c r="A206" s="64" t="inlineStr">
        <is>
          <t>SU001430</t>
        </is>
      </c>
      <c r="B206" s="64" t="inlineStr">
        <is>
          <t>P002036</t>
        </is>
      </c>
      <c r="C206" s="37" t="n">
        <v>4301060325</v>
      </c>
      <c r="D206" s="355" t="n">
        <v>4607091380897</v>
      </c>
      <c r="E206" s="602" t="n"/>
      <c r="F206" s="634" t="n">
        <v>1.4</v>
      </c>
      <c r="G206" s="38" t="n">
        <v>6</v>
      </c>
      <c r="H206" s="634" t="n">
        <v>8.4</v>
      </c>
      <c r="I206" s="634" t="n">
        <v>8.964</v>
      </c>
      <c r="J206" s="38" t="n">
        <v>56</v>
      </c>
      <c r="K206" s="39" t="inlineStr">
        <is>
          <t>СК2</t>
        </is>
      </c>
      <c r="L206" s="38" t="n">
        <v>30</v>
      </c>
      <c r="M206" s="764">
        <f>HYPERLINK("https://abi.ru/products/Охлажденные/Стародворье/Бордо/Сардельки/P002036/","Сардельки Шпикачки Бордо Весовые NDX мгс Стародворье")</f>
        <v/>
      </c>
      <c r="N206" s="636" t="n"/>
      <c r="O206" s="636" t="n"/>
      <c r="P206" s="636" t="n"/>
      <c r="Q206" s="602" t="n"/>
      <c r="R206" s="40" t="inlineStr"/>
      <c r="S206" s="40" t="inlineStr"/>
      <c r="T206" s="41" t="inlineStr">
        <is>
          <t>кг</t>
        </is>
      </c>
      <c r="U206" s="637" t="n">
        <v>0</v>
      </c>
      <c r="V206" s="638">
        <f>IFERROR(IF(U206="",0,CEILING((U206/$H206),1)*$H206),"")</f>
        <v/>
      </c>
      <c r="W206" s="42">
        <f>IFERROR(IF(V206=0,"",ROUNDUP(V206/H206,0)*0.02175),"")</f>
        <v/>
      </c>
      <c r="X206" s="69" t="inlineStr"/>
      <c r="Y206" s="70" t="inlineStr"/>
      <c r="AC206" s="194" t="inlineStr">
        <is>
          <t>КИ</t>
        </is>
      </c>
    </row>
    <row r="207" ht="16.5" customHeight="1">
      <c r="A207" s="64" t="inlineStr">
        <is>
          <t>SU002758</t>
        </is>
      </c>
      <c r="B207" s="64" t="inlineStr">
        <is>
          <t>P003129</t>
        </is>
      </c>
      <c r="C207" s="37" t="n">
        <v>4301060338</v>
      </c>
      <c r="D207" s="355" t="n">
        <v>4680115880801</v>
      </c>
      <c r="E207" s="602" t="n"/>
      <c r="F207" s="634" t="n">
        <v>0.4</v>
      </c>
      <c r="G207" s="38" t="n">
        <v>6</v>
      </c>
      <c r="H207" s="634" t="n">
        <v>2.4</v>
      </c>
      <c r="I207" s="634" t="n">
        <v>2.672</v>
      </c>
      <c r="J207" s="38" t="n">
        <v>156</v>
      </c>
      <c r="K207" s="39" t="inlineStr">
        <is>
          <t>СК2</t>
        </is>
      </c>
      <c r="L207" s="38" t="n">
        <v>40</v>
      </c>
      <c r="M207" s="765" t="inlineStr">
        <is>
          <t>Сардельки Сочинки с сочным окороком ТМ Стародворье полиамид мгс ф/в 0,4 кг СК3</t>
        </is>
      </c>
      <c r="N207" s="636" t="n"/>
      <c r="O207" s="636" t="n"/>
      <c r="P207" s="636" t="n"/>
      <c r="Q207" s="602" t="n"/>
      <c r="R207" s="40" t="inlineStr"/>
      <c r="S207" s="40" t="inlineStr"/>
      <c r="T207" s="41" t="inlineStr">
        <is>
          <t>кг</t>
        </is>
      </c>
      <c r="U207" s="637" t="n">
        <v>0</v>
      </c>
      <c r="V207" s="638">
        <f>IFERROR(IF(U207="",0,CEILING((U207/$H207),1)*$H207),"")</f>
        <v/>
      </c>
      <c r="W207" s="42">
        <f>IFERROR(IF(V207=0,"",ROUNDUP(V207/H207,0)*0.00753),"")</f>
        <v/>
      </c>
      <c r="X207" s="69" t="inlineStr"/>
      <c r="Y207" s="70" t="inlineStr"/>
      <c r="AC207" s="195" t="inlineStr">
        <is>
          <t>КИ</t>
        </is>
      </c>
    </row>
    <row r="208" ht="27" customHeight="1">
      <c r="A208" s="64" t="inlineStr">
        <is>
          <t>SU002759</t>
        </is>
      </c>
      <c r="B208" s="64" t="inlineStr">
        <is>
          <t>P003130</t>
        </is>
      </c>
      <c r="C208" s="37" t="n">
        <v>4301060339</v>
      </c>
      <c r="D208" s="355" t="n">
        <v>4680115880818</v>
      </c>
      <c r="E208" s="602" t="n"/>
      <c r="F208" s="634" t="n">
        <v>0.4</v>
      </c>
      <c r="G208" s="38" t="n">
        <v>6</v>
      </c>
      <c r="H208" s="634" t="n">
        <v>2.4</v>
      </c>
      <c r="I208" s="634" t="n">
        <v>2.672</v>
      </c>
      <c r="J208" s="38" t="n">
        <v>156</v>
      </c>
      <c r="K208" s="39" t="inlineStr">
        <is>
          <t>СК2</t>
        </is>
      </c>
      <c r="L208" s="38" t="n">
        <v>40</v>
      </c>
      <c r="M208" s="766" t="inlineStr">
        <is>
          <t>Сардельки Сочинки с сыром Бордо Фикс.вес 0,4 п/а Стародворье</t>
        </is>
      </c>
      <c r="N208" s="636" t="n"/>
      <c r="O208" s="636" t="n"/>
      <c r="P208" s="636" t="n"/>
      <c r="Q208" s="602" t="n"/>
      <c r="R208" s="40" t="inlineStr"/>
      <c r="S208" s="40" t="inlineStr"/>
      <c r="T208" s="41" t="inlineStr">
        <is>
          <t>кг</t>
        </is>
      </c>
      <c r="U208" s="637" t="n">
        <v>0</v>
      </c>
      <c r="V208" s="638">
        <f>IFERROR(IF(U208="",0,CEILING((U208/$H208),1)*$H208),"")</f>
        <v/>
      </c>
      <c r="W208" s="42">
        <f>IFERROR(IF(V208=0,"",ROUNDUP(V208/H208,0)*0.00753),"")</f>
        <v/>
      </c>
      <c r="X208" s="69" t="inlineStr"/>
      <c r="Y208" s="70" t="inlineStr"/>
      <c r="AC208" s="196" t="inlineStr">
        <is>
          <t>КИ</t>
        </is>
      </c>
    </row>
    <row r="209" ht="16.5" customHeight="1">
      <c r="A209" s="64" t="inlineStr">
        <is>
          <t>SU002691</t>
        </is>
      </c>
      <c r="B209" s="64" t="inlineStr">
        <is>
          <t>P003055</t>
        </is>
      </c>
      <c r="C209" s="37" t="n">
        <v>4301060337</v>
      </c>
      <c r="D209" s="355" t="n">
        <v>4680115880368</v>
      </c>
      <c r="E209" s="602" t="n"/>
      <c r="F209" s="634" t="n">
        <v>1</v>
      </c>
      <c r="G209" s="38" t="n">
        <v>4</v>
      </c>
      <c r="H209" s="634" t="n">
        <v>4</v>
      </c>
      <c r="I209" s="634" t="n">
        <v>4.36</v>
      </c>
      <c r="J209" s="38" t="n">
        <v>104</v>
      </c>
      <c r="K209" s="39" t="inlineStr">
        <is>
          <t>СК3</t>
        </is>
      </c>
      <c r="L209" s="38" t="n">
        <v>40</v>
      </c>
      <c r="M209" s="767" t="inlineStr">
        <is>
          <t>Сардельки Царедворские Бордо ф/в 1 кг п/а Стародворье</t>
        </is>
      </c>
      <c r="N209" s="636" t="n"/>
      <c r="O209" s="636" t="n"/>
      <c r="P209" s="636" t="n"/>
      <c r="Q209" s="602" t="n"/>
      <c r="R209" s="40" t="inlineStr"/>
      <c r="S209" s="40" t="inlineStr"/>
      <c r="T209" s="41" t="inlineStr">
        <is>
          <t>кг</t>
        </is>
      </c>
      <c r="U209" s="637" t="n">
        <v>0</v>
      </c>
      <c r="V209" s="638">
        <f>IFERROR(IF(U209="",0,CEILING((U209/$H209),1)*$H209),"")</f>
        <v/>
      </c>
      <c r="W209" s="42">
        <f>IFERROR(IF(V209=0,"",ROUNDUP(V209/H209,0)*0.01196),"")</f>
        <v/>
      </c>
      <c r="X209" s="69" t="inlineStr"/>
      <c r="Y209" s="70" t="inlineStr"/>
      <c r="AC209" s="197" t="inlineStr">
        <is>
          <t>КИ</t>
        </is>
      </c>
    </row>
    <row r="210">
      <c r="A210" s="36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39" t="n"/>
      <c r="M210" s="640" t="inlineStr">
        <is>
          <t>Итого</t>
        </is>
      </c>
      <c r="N210" s="610" t="n"/>
      <c r="O210" s="610" t="n"/>
      <c r="P210" s="610" t="n"/>
      <c r="Q210" s="610" t="n"/>
      <c r="R210" s="610" t="n"/>
      <c r="S210" s="611" t="n"/>
      <c r="T210" s="43" t="inlineStr">
        <is>
          <t>кор</t>
        </is>
      </c>
      <c r="U210" s="641">
        <f>IFERROR(U204/H204,"0")+IFERROR(U205/H205,"0")+IFERROR(U206/H206,"0")+IFERROR(U207/H207,"0")+IFERROR(U208/H208,"0")+IFERROR(U209/H209,"0")</f>
        <v/>
      </c>
      <c r="V210" s="641">
        <f>IFERROR(V204/H204,"0")+IFERROR(V205/H205,"0")+IFERROR(V206/H206,"0")+IFERROR(V207/H207,"0")+IFERROR(V208/H208,"0")+IFERROR(V209/H209,"0")</f>
        <v/>
      </c>
      <c r="W210" s="641">
        <f>IFERROR(IF(W204="",0,W204),"0")+IFERROR(IF(W205="",0,W205),"0")+IFERROR(IF(W206="",0,W206),"0")+IFERROR(IF(W207="",0,W207),"0")+IFERROR(IF(W208="",0,W208),"0")+IFERROR(IF(W209="",0,W209),"0")</f>
        <v/>
      </c>
      <c r="X210" s="642" t="n"/>
      <c r="Y210" s="642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39" t="n"/>
      <c r="M211" s="640" t="inlineStr">
        <is>
          <t>Итого</t>
        </is>
      </c>
      <c r="N211" s="610" t="n"/>
      <c r="O211" s="610" t="n"/>
      <c r="P211" s="610" t="n"/>
      <c r="Q211" s="610" t="n"/>
      <c r="R211" s="610" t="n"/>
      <c r="S211" s="611" t="n"/>
      <c r="T211" s="43" t="inlineStr">
        <is>
          <t>кг</t>
        </is>
      </c>
      <c r="U211" s="641">
        <f>IFERROR(SUM(U204:U209),"0")</f>
        <v/>
      </c>
      <c r="V211" s="641">
        <f>IFERROR(SUM(V204:V209),"0")</f>
        <v/>
      </c>
      <c r="W211" s="43" t="n"/>
      <c r="X211" s="642" t="n"/>
      <c r="Y211" s="642" t="n"/>
    </row>
    <row r="212" ht="14.25" customHeight="1">
      <c r="A212" s="354" t="inlineStr">
        <is>
          <t>Сырокопченые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54" t="n"/>
      <c r="Y212" s="354" t="n"/>
    </row>
    <row r="213" ht="16.5" customHeight="1">
      <c r="A213" s="64" t="inlineStr">
        <is>
          <t>SU001920</t>
        </is>
      </c>
      <c r="B213" s="64" t="inlineStr">
        <is>
          <t>P001900</t>
        </is>
      </c>
      <c r="C213" s="37" t="n">
        <v>4301030232</v>
      </c>
      <c r="D213" s="355" t="n">
        <v>4607091388374</v>
      </c>
      <c r="E213" s="602" t="n"/>
      <c r="F213" s="634" t="n">
        <v>0.38</v>
      </c>
      <c r="G213" s="38" t="n">
        <v>8</v>
      </c>
      <c r="H213" s="634" t="n">
        <v>3.04</v>
      </c>
      <c r="I213" s="634" t="n">
        <v>3.28</v>
      </c>
      <c r="J213" s="38" t="n">
        <v>156</v>
      </c>
      <c r="K213" s="39" t="inlineStr">
        <is>
          <t>АК</t>
        </is>
      </c>
      <c r="L213" s="38" t="n">
        <v>180</v>
      </c>
      <c r="M213" s="768" t="inlineStr">
        <is>
          <t>С/к колбасы Княжеская Бордо Весовые б/о терм/п Стародворье</t>
        </is>
      </c>
      <c r="N213" s="636" t="n"/>
      <c r="O213" s="636" t="n"/>
      <c r="P213" s="636" t="n"/>
      <c r="Q213" s="602" t="n"/>
      <c r="R213" s="40" t="inlineStr"/>
      <c r="S213" s="40" t="inlineStr"/>
      <c r="T213" s="41" t="inlineStr">
        <is>
          <t>кг</t>
        </is>
      </c>
      <c r="U213" s="637" t="n">
        <v>0</v>
      </c>
      <c r="V213" s="638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198" t="inlineStr">
        <is>
          <t>КИ</t>
        </is>
      </c>
    </row>
    <row r="214" ht="27" customHeight="1">
      <c r="A214" s="64" t="inlineStr">
        <is>
          <t>SU001921</t>
        </is>
      </c>
      <c r="B214" s="64" t="inlineStr">
        <is>
          <t>P001916</t>
        </is>
      </c>
      <c r="C214" s="37" t="n">
        <v>4301030235</v>
      </c>
      <c r="D214" s="355" t="n">
        <v>4607091388381</v>
      </c>
      <c r="E214" s="602" t="n"/>
      <c r="F214" s="634" t="n">
        <v>0.38</v>
      </c>
      <c r="G214" s="38" t="n">
        <v>8</v>
      </c>
      <c r="H214" s="634" t="n">
        <v>3.04</v>
      </c>
      <c r="I214" s="634" t="n">
        <v>3.32</v>
      </c>
      <c r="J214" s="38" t="n">
        <v>156</v>
      </c>
      <c r="K214" s="39" t="inlineStr">
        <is>
          <t>АК</t>
        </is>
      </c>
      <c r="L214" s="38" t="n">
        <v>180</v>
      </c>
      <c r="M214" s="769" t="inlineStr">
        <is>
          <t>С/к колбасы Салями Охотничья Бордо Весовые б/о терм/п 180 Стародворье</t>
        </is>
      </c>
      <c r="N214" s="636" t="n"/>
      <c r="O214" s="636" t="n"/>
      <c r="P214" s="636" t="n"/>
      <c r="Q214" s="602" t="n"/>
      <c r="R214" s="40" t="inlineStr"/>
      <c r="S214" s="40" t="inlineStr"/>
      <c r="T214" s="41" t="inlineStr">
        <is>
          <t>кг</t>
        </is>
      </c>
      <c r="U214" s="637" t="n">
        <v>0</v>
      </c>
      <c r="V214" s="638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199" t="inlineStr">
        <is>
          <t>КИ</t>
        </is>
      </c>
    </row>
    <row r="215" ht="27" customHeight="1">
      <c r="A215" s="64" t="inlineStr">
        <is>
          <t>SU001869</t>
        </is>
      </c>
      <c r="B215" s="64" t="inlineStr">
        <is>
          <t>P001909</t>
        </is>
      </c>
      <c r="C215" s="37" t="n">
        <v>4301030233</v>
      </c>
      <c r="D215" s="355" t="n">
        <v>4607091388404</v>
      </c>
      <c r="E215" s="602" t="n"/>
      <c r="F215" s="634" t="n">
        <v>0.17</v>
      </c>
      <c r="G215" s="38" t="n">
        <v>15</v>
      </c>
      <c r="H215" s="634" t="n">
        <v>2.55</v>
      </c>
      <c r="I215" s="634" t="n">
        <v>2.9</v>
      </c>
      <c r="J215" s="38" t="n">
        <v>156</v>
      </c>
      <c r="K215" s="39" t="inlineStr">
        <is>
          <t>АК</t>
        </is>
      </c>
      <c r="L215" s="38" t="n">
        <v>180</v>
      </c>
      <c r="M215" s="77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15" s="636" t="n"/>
      <c r="O215" s="636" t="n"/>
      <c r="P215" s="636" t="n"/>
      <c r="Q215" s="602" t="n"/>
      <c r="R215" s="40" t="inlineStr"/>
      <c r="S215" s="40" t="inlineStr"/>
      <c r="T215" s="41" t="inlineStr">
        <is>
          <t>кг</t>
        </is>
      </c>
      <c r="U215" s="637" t="n">
        <v>0</v>
      </c>
      <c r="V215" s="638">
        <f>IFERROR(IF(U215="",0,CEILING((U215/$H215),1)*$H215),"")</f>
        <v/>
      </c>
      <c r="W215" s="42">
        <f>IFERROR(IF(V215=0,"",ROUNDUP(V215/H215,0)*0.00753),"")</f>
        <v/>
      </c>
      <c r="X215" s="69" t="inlineStr"/>
      <c r="Y215" s="70" t="inlineStr"/>
      <c r="AC215" s="200" t="inlineStr">
        <is>
          <t>КИ</t>
        </is>
      </c>
    </row>
    <row r="216">
      <c r="A216" s="363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39" t="n"/>
      <c r="M216" s="640" t="inlineStr">
        <is>
          <t>Итого</t>
        </is>
      </c>
      <c r="N216" s="610" t="n"/>
      <c r="O216" s="610" t="n"/>
      <c r="P216" s="610" t="n"/>
      <c r="Q216" s="610" t="n"/>
      <c r="R216" s="610" t="n"/>
      <c r="S216" s="611" t="n"/>
      <c r="T216" s="43" t="inlineStr">
        <is>
          <t>кор</t>
        </is>
      </c>
      <c r="U216" s="641">
        <f>IFERROR(U213/H213,"0")+IFERROR(U214/H214,"0")+IFERROR(U215/H215,"0")</f>
        <v/>
      </c>
      <c r="V216" s="641">
        <f>IFERROR(V213/H213,"0")+IFERROR(V214/H214,"0")+IFERROR(V215/H215,"0")</f>
        <v/>
      </c>
      <c r="W216" s="641">
        <f>IFERROR(IF(W213="",0,W213),"0")+IFERROR(IF(W214="",0,W214),"0")+IFERROR(IF(W215="",0,W215),"0")</f>
        <v/>
      </c>
      <c r="X216" s="642" t="n"/>
      <c r="Y216" s="642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39" t="n"/>
      <c r="M217" s="640" t="inlineStr">
        <is>
          <t>Итого</t>
        </is>
      </c>
      <c r="N217" s="610" t="n"/>
      <c r="O217" s="610" t="n"/>
      <c r="P217" s="610" t="n"/>
      <c r="Q217" s="610" t="n"/>
      <c r="R217" s="610" t="n"/>
      <c r="S217" s="611" t="n"/>
      <c r="T217" s="43" t="inlineStr">
        <is>
          <t>кг</t>
        </is>
      </c>
      <c r="U217" s="641">
        <f>IFERROR(SUM(U213:U215),"0")</f>
        <v/>
      </c>
      <c r="V217" s="641">
        <f>IFERROR(SUM(V213:V215),"0")</f>
        <v/>
      </c>
      <c r="W217" s="43" t="n"/>
      <c r="X217" s="642" t="n"/>
      <c r="Y217" s="642" t="n"/>
    </row>
    <row r="218" ht="14.25" customHeight="1">
      <c r="A218" s="354" t="inlineStr">
        <is>
          <t>Паштеты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54" t="n"/>
      <c r="Y218" s="354" t="n"/>
    </row>
    <row r="219" ht="16.5" customHeight="1">
      <c r="A219" s="64" t="inlineStr">
        <is>
          <t>SU002369</t>
        </is>
      </c>
      <c r="B219" s="64" t="inlineStr">
        <is>
          <t>P002649</t>
        </is>
      </c>
      <c r="C219" s="37" t="n">
        <v>4301180002</v>
      </c>
      <c r="D219" s="355" t="n">
        <v>4680115880122</v>
      </c>
      <c r="E219" s="602" t="n"/>
      <c r="F219" s="634" t="n">
        <v>0.1</v>
      </c>
      <c r="G219" s="38" t="n">
        <v>20</v>
      </c>
      <c r="H219" s="634" t="n">
        <v>2</v>
      </c>
      <c r="I219" s="634" t="n">
        <v>2.24</v>
      </c>
      <c r="J219" s="38" t="n">
        <v>238</v>
      </c>
      <c r="K219" s="39" t="inlineStr">
        <is>
          <t>РК</t>
        </is>
      </c>
      <c r="L219" s="38" t="n">
        <v>730</v>
      </c>
      <c r="M219" s="771">
        <f>HYPERLINK("https://abi.ru/products/Охлажденные/Стародворье/Бордо/Паштеты/P002649/","Паштеты Копчёный бекон Бордо фикс.вес 0,1 Стародворье")</f>
        <v/>
      </c>
      <c r="N219" s="636" t="n"/>
      <c r="O219" s="636" t="n"/>
      <c r="P219" s="636" t="n"/>
      <c r="Q219" s="602" t="n"/>
      <c r="R219" s="40" t="inlineStr"/>
      <c r="S219" s="40" t="inlineStr"/>
      <c r="T219" s="41" t="inlineStr">
        <is>
          <t>кг</t>
        </is>
      </c>
      <c r="U219" s="637" t="n">
        <v>0</v>
      </c>
      <c r="V219" s="638">
        <f>IFERROR(IF(U219="",0,CEILING((U219/$H219),1)*$H219),"")</f>
        <v/>
      </c>
      <c r="W219" s="42">
        <f>IFERROR(IF(V219=0,"",ROUNDUP(V219/H219,0)*0.00474),"")</f>
        <v/>
      </c>
      <c r="X219" s="69" t="inlineStr"/>
      <c r="Y219" s="70" t="inlineStr"/>
      <c r="AC219" s="201" t="inlineStr">
        <is>
          <t>КИ</t>
        </is>
      </c>
    </row>
    <row r="220" ht="16.5" customHeight="1">
      <c r="A220" s="64" t="inlineStr">
        <is>
          <t>SU002841</t>
        </is>
      </c>
      <c r="B220" s="64" t="inlineStr">
        <is>
          <t>P003253</t>
        </is>
      </c>
      <c r="C220" s="37" t="n">
        <v>4301180007</v>
      </c>
      <c r="D220" s="355" t="n">
        <v>4680115881808</v>
      </c>
      <c r="E220" s="602" t="n"/>
      <c r="F220" s="634" t="n">
        <v>0.1</v>
      </c>
      <c r="G220" s="38" t="n">
        <v>20</v>
      </c>
      <c r="H220" s="634" t="n">
        <v>2</v>
      </c>
      <c r="I220" s="634" t="n">
        <v>2.24</v>
      </c>
      <c r="J220" s="38" t="n">
        <v>238</v>
      </c>
      <c r="K220" s="39" t="inlineStr">
        <is>
          <t>РК</t>
        </is>
      </c>
      <c r="L220" s="38" t="n">
        <v>730</v>
      </c>
      <c r="M220" s="772" t="inlineStr">
        <is>
          <t>Паштеты "Любительский ГОСТ" Фикс.вес 0,1 ТМ "Стародворье"</t>
        </is>
      </c>
      <c r="N220" s="636" t="n"/>
      <c r="O220" s="636" t="n"/>
      <c r="P220" s="636" t="n"/>
      <c r="Q220" s="602" t="n"/>
      <c r="R220" s="40" t="inlineStr"/>
      <c r="S220" s="40" t="inlineStr"/>
      <c r="T220" s="41" t="inlineStr">
        <is>
          <t>кг</t>
        </is>
      </c>
      <c r="U220" s="637" t="n">
        <v>0</v>
      </c>
      <c r="V220" s="638">
        <f>IFERROR(IF(U220="",0,CEILING((U220/$H220),1)*$H220),"")</f>
        <v/>
      </c>
      <c r="W220" s="42">
        <f>IFERROR(IF(V220=0,"",ROUNDUP(V220/H220,0)*0.00474),"")</f>
        <v/>
      </c>
      <c r="X220" s="69" t="inlineStr"/>
      <c r="Y220" s="70" t="inlineStr"/>
      <c r="AC220" s="202" t="inlineStr">
        <is>
          <t>КИ</t>
        </is>
      </c>
    </row>
    <row r="221" ht="27" customHeight="1">
      <c r="A221" s="64" t="inlineStr">
        <is>
          <t>SU002840</t>
        </is>
      </c>
      <c r="B221" s="64" t="inlineStr">
        <is>
          <t>P003252</t>
        </is>
      </c>
      <c r="C221" s="37" t="n">
        <v>4301180006</v>
      </c>
      <c r="D221" s="355" t="n">
        <v>4680115881822</v>
      </c>
      <c r="E221" s="602" t="n"/>
      <c r="F221" s="634" t="n">
        <v>0.1</v>
      </c>
      <c r="G221" s="38" t="n">
        <v>20</v>
      </c>
      <c r="H221" s="634" t="n">
        <v>2</v>
      </c>
      <c r="I221" s="634" t="n">
        <v>2.24</v>
      </c>
      <c r="J221" s="38" t="n">
        <v>238</v>
      </c>
      <c r="K221" s="39" t="inlineStr">
        <is>
          <t>РК</t>
        </is>
      </c>
      <c r="L221" s="38" t="n">
        <v>730</v>
      </c>
      <c r="M221" s="773" t="inlineStr">
        <is>
          <t>Паштеты "Печеночный с морковью ГОСТ" Фикс.вес 0,1 ТМ "Стародворье"</t>
        </is>
      </c>
      <c r="N221" s="636" t="n"/>
      <c r="O221" s="636" t="n"/>
      <c r="P221" s="636" t="n"/>
      <c r="Q221" s="602" t="n"/>
      <c r="R221" s="40" t="inlineStr"/>
      <c r="S221" s="40" t="inlineStr"/>
      <c r="T221" s="41" t="inlineStr">
        <is>
          <t>кг</t>
        </is>
      </c>
      <c r="U221" s="637" t="n">
        <v>0</v>
      </c>
      <c r="V221" s="638">
        <f>IFERROR(IF(U221="",0,CEILING((U221/$H221),1)*$H221),"")</f>
        <v/>
      </c>
      <c r="W221" s="42">
        <f>IFERROR(IF(V221=0,"",ROUNDUP(V221/H221,0)*0.00474),"")</f>
        <v/>
      </c>
      <c r="X221" s="69" t="inlineStr"/>
      <c r="Y221" s="70" t="inlineStr"/>
      <c r="AC221" s="203" t="inlineStr">
        <is>
          <t>КИ</t>
        </is>
      </c>
    </row>
    <row r="222" ht="27" customHeight="1">
      <c r="A222" s="64" t="inlineStr">
        <is>
          <t>SU002368</t>
        </is>
      </c>
      <c r="B222" s="64" t="inlineStr">
        <is>
          <t>P002648</t>
        </is>
      </c>
      <c r="C222" s="37" t="n">
        <v>4301180001</v>
      </c>
      <c r="D222" s="355" t="n">
        <v>4680115880016</v>
      </c>
      <c r="E222" s="602" t="n"/>
      <c r="F222" s="634" t="n">
        <v>0.1</v>
      </c>
      <c r="G222" s="38" t="n">
        <v>20</v>
      </c>
      <c r="H222" s="634" t="n">
        <v>2</v>
      </c>
      <c r="I222" s="634" t="n">
        <v>2.24</v>
      </c>
      <c r="J222" s="38" t="n">
        <v>238</v>
      </c>
      <c r="K222" s="39" t="inlineStr">
        <is>
          <t>РК</t>
        </is>
      </c>
      <c r="L222" s="38" t="n">
        <v>730</v>
      </c>
      <c r="M222" s="774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2" s="636" t="n"/>
      <c r="O222" s="636" t="n"/>
      <c r="P222" s="636" t="n"/>
      <c r="Q222" s="602" t="n"/>
      <c r="R222" s="40" t="inlineStr"/>
      <c r="S222" s="40" t="inlineStr"/>
      <c r="T222" s="41" t="inlineStr">
        <is>
          <t>кг</t>
        </is>
      </c>
      <c r="U222" s="637" t="n">
        <v>0</v>
      </c>
      <c r="V222" s="638">
        <f>IFERROR(IF(U222="",0,CEILING((U222/$H222),1)*$H222),"")</f>
        <v/>
      </c>
      <c r="W222" s="42">
        <f>IFERROR(IF(V222=0,"",ROUNDUP(V222/H222,0)*0.00474),"")</f>
        <v/>
      </c>
      <c r="X222" s="69" t="inlineStr"/>
      <c r="Y222" s="70" t="inlineStr"/>
      <c r="AC222" s="204" t="inlineStr">
        <is>
          <t>КИ</t>
        </is>
      </c>
    </row>
    <row r="223">
      <c r="A223" s="363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639" t="n"/>
      <c r="M223" s="640" t="inlineStr">
        <is>
          <t>Итого</t>
        </is>
      </c>
      <c r="N223" s="610" t="n"/>
      <c r="O223" s="610" t="n"/>
      <c r="P223" s="610" t="n"/>
      <c r="Q223" s="610" t="n"/>
      <c r="R223" s="610" t="n"/>
      <c r="S223" s="611" t="n"/>
      <c r="T223" s="43" t="inlineStr">
        <is>
          <t>кор</t>
        </is>
      </c>
      <c r="U223" s="641">
        <f>IFERROR(U219/H219,"0")+IFERROR(U220/H220,"0")+IFERROR(U221/H221,"0")+IFERROR(U222/H222,"0")</f>
        <v/>
      </c>
      <c r="V223" s="641">
        <f>IFERROR(V219/H219,"0")+IFERROR(V220/H220,"0")+IFERROR(V221/H221,"0")+IFERROR(V222/H222,"0")</f>
        <v/>
      </c>
      <c r="W223" s="641">
        <f>IFERROR(IF(W219="",0,W219),"0")+IFERROR(IF(W220="",0,W220),"0")+IFERROR(IF(W221="",0,W221),"0")+IFERROR(IF(W222="",0,W222),"0")</f>
        <v/>
      </c>
      <c r="X223" s="642" t="n"/>
      <c r="Y223" s="642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39" t="n"/>
      <c r="M224" s="640" t="inlineStr">
        <is>
          <t>Итого</t>
        </is>
      </c>
      <c r="N224" s="610" t="n"/>
      <c r="O224" s="610" t="n"/>
      <c r="P224" s="610" t="n"/>
      <c r="Q224" s="610" t="n"/>
      <c r="R224" s="610" t="n"/>
      <c r="S224" s="611" t="n"/>
      <c r="T224" s="43" t="inlineStr">
        <is>
          <t>кг</t>
        </is>
      </c>
      <c r="U224" s="641">
        <f>IFERROR(SUM(U219:U222),"0")</f>
        <v/>
      </c>
      <c r="V224" s="641">
        <f>IFERROR(SUM(V219:V222),"0")</f>
        <v/>
      </c>
      <c r="W224" s="43" t="n"/>
      <c r="X224" s="642" t="n"/>
      <c r="Y224" s="642" t="n"/>
    </row>
    <row r="225" ht="16.5" customHeight="1">
      <c r="A225" s="353" t="inlineStr">
        <is>
          <t>Фирменная</t>
        </is>
      </c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353" t="n"/>
      <c r="Y225" s="353" t="n"/>
    </row>
    <row r="226" ht="14.25" customHeight="1">
      <c r="A226" s="354" t="inlineStr">
        <is>
          <t>Вареные колбасы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54" t="n"/>
      <c r="Y226" s="354" t="n"/>
    </row>
    <row r="227" ht="27" customHeight="1">
      <c r="A227" s="64" t="inlineStr">
        <is>
          <t>SU001793</t>
        </is>
      </c>
      <c r="B227" s="64" t="inlineStr">
        <is>
          <t>P001793</t>
        </is>
      </c>
      <c r="C227" s="37" t="n">
        <v>4301011315</v>
      </c>
      <c r="D227" s="355" t="n">
        <v>4607091387421</v>
      </c>
      <c r="E227" s="602" t="n"/>
      <c r="F227" s="634" t="n">
        <v>1.35</v>
      </c>
      <c r="G227" s="38" t="n">
        <v>8</v>
      </c>
      <c r="H227" s="634" t="n">
        <v>10.8</v>
      </c>
      <c r="I227" s="634" t="n">
        <v>11.28</v>
      </c>
      <c r="J227" s="38" t="n">
        <v>56</v>
      </c>
      <c r="K227" s="39" t="inlineStr">
        <is>
          <t>СК1</t>
        </is>
      </c>
      <c r="L227" s="38" t="n">
        <v>55</v>
      </c>
      <c r="M227" s="775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27" s="636" t="n"/>
      <c r="O227" s="636" t="n"/>
      <c r="P227" s="636" t="n"/>
      <c r="Q227" s="602" t="n"/>
      <c r="R227" s="40" t="inlineStr"/>
      <c r="S227" s="40" t="inlineStr"/>
      <c r="T227" s="41" t="inlineStr">
        <is>
          <t>кг</t>
        </is>
      </c>
      <c r="U227" s="637" t="n">
        <v>0</v>
      </c>
      <c r="V227" s="638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205" t="inlineStr">
        <is>
          <t>КИ</t>
        </is>
      </c>
    </row>
    <row r="228" ht="27" customHeight="1">
      <c r="A228" s="64" t="inlineStr">
        <is>
          <t>SU001793</t>
        </is>
      </c>
      <c r="B228" s="64" t="inlineStr">
        <is>
          <t>P002227</t>
        </is>
      </c>
      <c r="C228" s="37" t="n">
        <v>4301011121</v>
      </c>
      <c r="D228" s="355" t="n">
        <v>4607091387421</v>
      </c>
      <c r="E228" s="602" t="n"/>
      <c r="F228" s="634" t="n">
        <v>1.35</v>
      </c>
      <c r="G228" s="38" t="n">
        <v>8</v>
      </c>
      <c r="H228" s="634" t="n">
        <v>10.8</v>
      </c>
      <c r="I228" s="634" t="n">
        <v>11.28</v>
      </c>
      <c r="J228" s="38" t="n">
        <v>48</v>
      </c>
      <c r="K228" s="39" t="inlineStr">
        <is>
          <t>ВЗ</t>
        </is>
      </c>
      <c r="L228" s="38" t="n">
        <v>55</v>
      </c>
      <c r="M228" s="776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28" s="636" t="n"/>
      <c r="O228" s="636" t="n"/>
      <c r="P228" s="636" t="n"/>
      <c r="Q228" s="602" t="n"/>
      <c r="R228" s="40" t="inlineStr"/>
      <c r="S228" s="40" t="inlineStr"/>
      <c r="T228" s="41" t="inlineStr">
        <is>
          <t>кг</t>
        </is>
      </c>
      <c r="U228" s="637" t="n">
        <v>0</v>
      </c>
      <c r="V228" s="638">
        <f>IFERROR(IF(U228="",0,CEILING((U228/$H228),1)*$H228),"")</f>
        <v/>
      </c>
      <c r="W228" s="42">
        <f>IFERROR(IF(V228=0,"",ROUNDUP(V228/H228,0)*0.02039),"")</f>
        <v/>
      </c>
      <c r="X228" s="69" t="inlineStr"/>
      <c r="Y228" s="70" t="inlineStr"/>
      <c r="AC228" s="206" t="inlineStr">
        <is>
          <t>КИ</t>
        </is>
      </c>
    </row>
    <row r="229" ht="27" customHeight="1">
      <c r="A229" s="64" t="inlineStr">
        <is>
          <t>SU001799</t>
        </is>
      </c>
      <c r="B229" s="64" t="inlineStr">
        <is>
          <t>P003076</t>
        </is>
      </c>
      <c r="C229" s="37" t="n">
        <v>4301011396</v>
      </c>
      <c r="D229" s="355" t="n">
        <v>4607091387452</v>
      </c>
      <c r="E229" s="602" t="n"/>
      <c r="F229" s="634" t="n">
        <v>1.35</v>
      </c>
      <c r="G229" s="38" t="n">
        <v>8</v>
      </c>
      <c r="H229" s="634" t="n">
        <v>10.8</v>
      </c>
      <c r="I229" s="634" t="n">
        <v>11.28</v>
      </c>
      <c r="J229" s="38" t="n">
        <v>48</v>
      </c>
      <c r="K229" s="39" t="inlineStr">
        <is>
          <t>ВЗ</t>
        </is>
      </c>
      <c r="L229" s="38" t="n">
        <v>55</v>
      </c>
      <c r="M229" s="77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29" s="636" t="n"/>
      <c r="O229" s="636" t="n"/>
      <c r="P229" s="636" t="n"/>
      <c r="Q229" s="602" t="n"/>
      <c r="R229" s="40" t="inlineStr"/>
      <c r="S229" s="40" t="inlineStr"/>
      <c r="T229" s="41" t="inlineStr">
        <is>
          <t>кг</t>
        </is>
      </c>
      <c r="U229" s="637" t="n">
        <v>0</v>
      </c>
      <c r="V229" s="638">
        <f>IFERROR(IF(U229="",0,CEILING((U229/$H229),1)*$H229),"")</f>
        <v/>
      </c>
      <c r="W229" s="42">
        <f>IFERROR(IF(V229=0,"",ROUNDUP(V229/H229,0)*0.02039),"")</f>
        <v/>
      </c>
      <c r="X229" s="69" t="inlineStr"/>
      <c r="Y229" s="70" t="inlineStr"/>
      <c r="AC229" s="207" t="inlineStr">
        <is>
          <t>КИ</t>
        </is>
      </c>
    </row>
    <row r="230" ht="27" customHeight="1">
      <c r="A230" s="64" t="inlineStr">
        <is>
          <t>SU001799</t>
        </is>
      </c>
      <c r="B230" s="64" t="inlineStr">
        <is>
          <t>P001799</t>
        </is>
      </c>
      <c r="C230" s="37" t="n">
        <v>4301011322</v>
      </c>
      <c r="D230" s="355" t="n">
        <v>4607091387452</v>
      </c>
      <c r="E230" s="602" t="n"/>
      <c r="F230" s="634" t="n">
        <v>1.35</v>
      </c>
      <c r="G230" s="38" t="n">
        <v>8</v>
      </c>
      <c r="H230" s="634" t="n">
        <v>10.8</v>
      </c>
      <c r="I230" s="634" t="n">
        <v>11.28</v>
      </c>
      <c r="J230" s="38" t="n">
        <v>56</v>
      </c>
      <c r="K230" s="39" t="inlineStr">
        <is>
          <t>СК3</t>
        </is>
      </c>
      <c r="L230" s="38" t="n">
        <v>55</v>
      </c>
      <c r="M230" s="778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0" s="636" t="n"/>
      <c r="O230" s="636" t="n"/>
      <c r="P230" s="636" t="n"/>
      <c r="Q230" s="602" t="n"/>
      <c r="R230" s="40" t="inlineStr"/>
      <c r="S230" s="40" t="inlineStr"/>
      <c r="T230" s="41" t="inlineStr">
        <is>
          <t>кг</t>
        </is>
      </c>
      <c r="U230" s="637" t="n">
        <v>0</v>
      </c>
      <c r="V230" s="638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208" t="inlineStr">
        <is>
          <t>КИ</t>
        </is>
      </c>
    </row>
    <row r="231" ht="27" customHeight="1">
      <c r="A231" s="64" t="inlineStr">
        <is>
          <t>SU001792</t>
        </is>
      </c>
      <c r="B231" s="64" t="inlineStr">
        <is>
          <t>P001792</t>
        </is>
      </c>
      <c r="C231" s="37" t="n">
        <v>4301011313</v>
      </c>
      <c r="D231" s="355" t="n">
        <v>4607091385984</v>
      </c>
      <c r="E231" s="602" t="n"/>
      <c r="F231" s="634" t="n">
        <v>1.35</v>
      </c>
      <c r="G231" s="38" t="n">
        <v>8</v>
      </c>
      <c r="H231" s="634" t="n">
        <v>10.8</v>
      </c>
      <c r="I231" s="634" t="n">
        <v>11.28</v>
      </c>
      <c r="J231" s="38" t="n">
        <v>56</v>
      </c>
      <c r="K231" s="39" t="inlineStr">
        <is>
          <t>СК1</t>
        </is>
      </c>
      <c r="L231" s="38" t="n">
        <v>55</v>
      </c>
      <c r="M231" s="779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1" s="636" t="n"/>
      <c r="O231" s="636" t="n"/>
      <c r="P231" s="636" t="n"/>
      <c r="Q231" s="602" t="n"/>
      <c r="R231" s="40" t="inlineStr"/>
      <c r="S231" s="40" t="inlineStr"/>
      <c r="T231" s="41" t="inlineStr">
        <is>
          <t>кг</t>
        </is>
      </c>
      <c r="U231" s="637" t="n">
        <v>0</v>
      </c>
      <c r="V231" s="638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209" t="inlineStr">
        <is>
          <t>КИ</t>
        </is>
      </c>
    </row>
    <row r="232" ht="27" customHeight="1">
      <c r="A232" s="64" t="inlineStr">
        <is>
          <t>SU001794</t>
        </is>
      </c>
      <c r="B232" s="64" t="inlineStr">
        <is>
          <t>P001794</t>
        </is>
      </c>
      <c r="C232" s="37" t="n">
        <v>4301011316</v>
      </c>
      <c r="D232" s="355" t="n">
        <v>4607091387438</v>
      </c>
      <c r="E232" s="602" t="n"/>
      <c r="F232" s="634" t="n">
        <v>0.5</v>
      </c>
      <c r="G232" s="38" t="n">
        <v>10</v>
      </c>
      <c r="H232" s="634" t="n">
        <v>5</v>
      </c>
      <c r="I232" s="634" t="n">
        <v>5.24</v>
      </c>
      <c r="J232" s="38" t="n">
        <v>120</v>
      </c>
      <c r="K232" s="39" t="inlineStr">
        <is>
          <t>СК1</t>
        </is>
      </c>
      <c r="L232" s="38" t="n">
        <v>55</v>
      </c>
      <c r="M232" s="780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2" s="636" t="n"/>
      <c r="O232" s="636" t="n"/>
      <c r="P232" s="636" t="n"/>
      <c r="Q232" s="602" t="n"/>
      <c r="R232" s="40" t="inlineStr"/>
      <c r="S232" s="40" t="inlineStr"/>
      <c r="T232" s="41" t="inlineStr">
        <is>
          <t>кг</t>
        </is>
      </c>
      <c r="U232" s="637" t="n">
        <v>0</v>
      </c>
      <c r="V232" s="638">
        <f>IFERROR(IF(U232="",0,CEILING((U232/$H232),1)*$H232),"")</f>
        <v/>
      </c>
      <c r="W232" s="42">
        <f>IFERROR(IF(V232=0,"",ROUNDUP(V232/H232,0)*0.00937),"")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SU001795</t>
        </is>
      </c>
      <c r="B233" s="64" t="inlineStr">
        <is>
          <t>P001795</t>
        </is>
      </c>
      <c r="C233" s="37" t="n">
        <v>4301011318</v>
      </c>
      <c r="D233" s="355" t="n">
        <v>4607091387469</v>
      </c>
      <c r="E233" s="602" t="n"/>
      <c r="F233" s="634" t="n">
        <v>0.5</v>
      </c>
      <c r="G233" s="38" t="n">
        <v>10</v>
      </c>
      <c r="H233" s="634" t="n">
        <v>5</v>
      </c>
      <c r="I233" s="634" t="n">
        <v>5.21</v>
      </c>
      <c r="J233" s="38" t="n">
        <v>120</v>
      </c>
      <c r="K233" s="39" t="inlineStr">
        <is>
          <t>СК2</t>
        </is>
      </c>
      <c r="L233" s="38" t="n">
        <v>55</v>
      </c>
      <c r="M233" s="781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3" s="636" t="n"/>
      <c r="O233" s="636" t="n"/>
      <c r="P233" s="636" t="n"/>
      <c r="Q233" s="602" t="n"/>
      <c r="R233" s="40" t="inlineStr"/>
      <c r="S233" s="40" t="inlineStr"/>
      <c r="T233" s="41" t="inlineStr">
        <is>
          <t>кг</t>
        </is>
      </c>
      <c r="U233" s="637" t="n">
        <v>0</v>
      </c>
      <c r="V233" s="638">
        <f>IFERROR(IF(U233="",0,CEILING((U233/$H233),1)*$H233),"")</f>
        <v/>
      </c>
      <c r="W233" s="42">
        <f>IFERROR(IF(V233=0,"",ROUNDUP(V233/H233,0)*0.00937),"")</f>
        <v/>
      </c>
      <c r="X233" s="69" t="inlineStr"/>
      <c r="Y233" s="70" t="inlineStr"/>
      <c r="AC233" s="211" t="inlineStr">
        <is>
          <t>КИ</t>
        </is>
      </c>
    </row>
    <row r="234">
      <c r="A234" s="363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39" t="n"/>
      <c r="M234" s="640" t="inlineStr">
        <is>
          <t>Итого</t>
        </is>
      </c>
      <c r="N234" s="610" t="n"/>
      <c r="O234" s="610" t="n"/>
      <c r="P234" s="610" t="n"/>
      <c r="Q234" s="610" t="n"/>
      <c r="R234" s="610" t="n"/>
      <c r="S234" s="611" t="n"/>
      <c r="T234" s="43" t="inlineStr">
        <is>
          <t>кор</t>
        </is>
      </c>
      <c r="U234" s="641">
        <f>IFERROR(U227/H227,"0")+IFERROR(U228/H228,"0")+IFERROR(U229/H229,"0")+IFERROR(U230/H230,"0")+IFERROR(U231/H231,"0")+IFERROR(U232/H232,"0")+IFERROR(U233/H233,"0")</f>
        <v/>
      </c>
      <c r="V234" s="641">
        <f>IFERROR(V227/H227,"0")+IFERROR(V228/H228,"0")+IFERROR(V229/H229,"0")+IFERROR(V230/H230,"0")+IFERROR(V231/H231,"0")+IFERROR(V232/H232,"0")+IFERROR(V233/H233,"0")</f>
        <v/>
      </c>
      <c r="W234" s="641">
        <f>IFERROR(IF(W227="",0,W227),"0")+IFERROR(IF(W228="",0,W228),"0")+IFERROR(IF(W229="",0,W229),"0")+IFERROR(IF(W230="",0,W230),"0")+IFERROR(IF(W231="",0,W231),"0")+IFERROR(IF(W232="",0,W232),"0")+IFERROR(IF(W233="",0,W233),"0")</f>
        <v/>
      </c>
      <c r="X234" s="642" t="n"/>
      <c r="Y234" s="642" t="n"/>
    </row>
    <row r="235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639" t="n"/>
      <c r="M235" s="640" t="inlineStr">
        <is>
          <t>Итого</t>
        </is>
      </c>
      <c r="N235" s="610" t="n"/>
      <c r="O235" s="610" t="n"/>
      <c r="P235" s="610" t="n"/>
      <c r="Q235" s="610" t="n"/>
      <c r="R235" s="610" t="n"/>
      <c r="S235" s="611" t="n"/>
      <c r="T235" s="43" t="inlineStr">
        <is>
          <t>кг</t>
        </is>
      </c>
      <c r="U235" s="641">
        <f>IFERROR(SUM(U227:U233),"0")</f>
        <v/>
      </c>
      <c r="V235" s="641">
        <f>IFERROR(SUM(V227:V233),"0")</f>
        <v/>
      </c>
      <c r="W235" s="43" t="n"/>
      <c r="X235" s="642" t="n"/>
      <c r="Y235" s="642" t="n"/>
    </row>
    <row r="236" ht="14.25" customHeight="1">
      <c r="A236" s="354" t="inlineStr">
        <is>
          <t>Копченые колбасы</t>
        </is>
      </c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354" t="n"/>
      <c r="Y236" s="354" t="n"/>
    </row>
    <row r="237" ht="27" customHeight="1">
      <c r="A237" s="64" t="inlineStr">
        <is>
          <t>SU001801</t>
        </is>
      </c>
      <c r="B237" s="64" t="inlineStr">
        <is>
          <t>P003014</t>
        </is>
      </c>
      <c r="C237" s="37" t="n">
        <v>4301031154</v>
      </c>
      <c r="D237" s="355" t="n">
        <v>4607091387292</v>
      </c>
      <c r="E237" s="602" t="n"/>
      <c r="F237" s="634" t="n">
        <v>0.63</v>
      </c>
      <c r="G237" s="38" t="n">
        <v>6</v>
      </c>
      <c r="H237" s="634" t="n">
        <v>3.78</v>
      </c>
      <c r="I237" s="634" t="n">
        <v>4.04</v>
      </c>
      <c r="J237" s="38" t="n">
        <v>156</v>
      </c>
      <c r="K237" s="39" t="inlineStr">
        <is>
          <t>СК2</t>
        </is>
      </c>
      <c r="L237" s="38" t="n">
        <v>45</v>
      </c>
      <c r="M237" s="782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37" s="636" t="n"/>
      <c r="O237" s="636" t="n"/>
      <c r="P237" s="636" t="n"/>
      <c r="Q237" s="602" t="n"/>
      <c r="R237" s="40" t="inlineStr"/>
      <c r="S237" s="40" t="inlineStr"/>
      <c r="T237" s="41" t="inlineStr">
        <is>
          <t>кг</t>
        </is>
      </c>
      <c r="U237" s="637" t="n">
        <v>0</v>
      </c>
      <c r="V237" s="638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212" t="inlineStr">
        <is>
          <t>КИ</t>
        </is>
      </c>
    </row>
    <row r="238" ht="27" customHeight="1">
      <c r="A238" s="64" t="inlineStr">
        <is>
          <t>SU000231</t>
        </is>
      </c>
      <c r="B238" s="64" t="inlineStr">
        <is>
          <t>P003015</t>
        </is>
      </c>
      <c r="C238" s="37" t="n">
        <v>4301031155</v>
      </c>
      <c r="D238" s="355" t="n">
        <v>4607091387315</v>
      </c>
      <c r="E238" s="602" t="n"/>
      <c r="F238" s="634" t="n">
        <v>0.7</v>
      </c>
      <c r="G238" s="38" t="n">
        <v>4</v>
      </c>
      <c r="H238" s="634" t="n">
        <v>2.8</v>
      </c>
      <c r="I238" s="634" t="n">
        <v>3.048</v>
      </c>
      <c r="J238" s="38" t="n">
        <v>156</v>
      </c>
      <c r="K238" s="39" t="inlineStr">
        <is>
          <t>СК2</t>
        </is>
      </c>
      <c r="L238" s="38" t="n">
        <v>45</v>
      </c>
      <c r="M238" s="783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38" s="636" t="n"/>
      <c r="O238" s="636" t="n"/>
      <c r="P238" s="636" t="n"/>
      <c r="Q238" s="602" t="n"/>
      <c r="R238" s="40" t="inlineStr"/>
      <c r="S238" s="40" t="inlineStr"/>
      <c r="T238" s="41" t="inlineStr">
        <is>
          <t>кг</t>
        </is>
      </c>
      <c r="U238" s="637" t="n">
        <v>0</v>
      </c>
      <c r="V238" s="638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213" t="inlineStr">
        <is>
          <t>КИ</t>
        </is>
      </c>
    </row>
    <row r="239">
      <c r="A239" s="36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39" t="n"/>
      <c r="M239" s="640" t="inlineStr">
        <is>
          <t>Итого</t>
        </is>
      </c>
      <c r="N239" s="610" t="n"/>
      <c r="O239" s="610" t="n"/>
      <c r="P239" s="610" t="n"/>
      <c r="Q239" s="610" t="n"/>
      <c r="R239" s="610" t="n"/>
      <c r="S239" s="611" t="n"/>
      <c r="T239" s="43" t="inlineStr">
        <is>
          <t>кор</t>
        </is>
      </c>
      <c r="U239" s="641">
        <f>IFERROR(U237/H237,"0")+IFERROR(U238/H238,"0")</f>
        <v/>
      </c>
      <c r="V239" s="641">
        <f>IFERROR(V237/H237,"0")+IFERROR(V238/H238,"0")</f>
        <v/>
      </c>
      <c r="W239" s="641">
        <f>IFERROR(IF(W237="",0,W237),"0")+IFERROR(IF(W238="",0,W238),"0")</f>
        <v/>
      </c>
      <c r="X239" s="642" t="n"/>
      <c r="Y239" s="642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39" t="n"/>
      <c r="M240" s="640" t="inlineStr">
        <is>
          <t>Итого</t>
        </is>
      </c>
      <c r="N240" s="610" t="n"/>
      <c r="O240" s="610" t="n"/>
      <c r="P240" s="610" t="n"/>
      <c r="Q240" s="610" t="n"/>
      <c r="R240" s="610" t="n"/>
      <c r="S240" s="611" t="n"/>
      <c r="T240" s="43" t="inlineStr">
        <is>
          <t>кг</t>
        </is>
      </c>
      <c r="U240" s="641">
        <f>IFERROR(SUM(U237:U238),"0")</f>
        <v/>
      </c>
      <c r="V240" s="641">
        <f>IFERROR(SUM(V237:V238),"0")</f>
        <v/>
      </c>
      <c r="W240" s="43" t="n"/>
      <c r="X240" s="642" t="n"/>
      <c r="Y240" s="642" t="n"/>
    </row>
    <row r="241" ht="16.5" customHeight="1">
      <c r="A241" s="353" t="inlineStr">
        <is>
          <t>Бавария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53" t="n"/>
      <c r="Y241" s="353" t="n"/>
    </row>
    <row r="242" ht="14.25" customHeight="1">
      <c r="A242" s="354" t="inlineStr">
        <is>
          <t>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354" t="n"/>
      <c r="Y242" s="354" t="n"/>
    </row>
    <row r="243" ht="37.5" customHeight="1">
      <c r="A243" s="64" t="inlineStr">
        <is>
          <t>SU002061</t>
        </is>
      </c>
      <c r="B243" s="64" t="inlineStr">
        <is>
          <t>P002232</t>
        </is>
      </c>
      <c r="C243" s="37" t="n">
        <v>4301030368</v>
      </c>
      <c r="D243" s="355" t="n">
        <v>4607091383232</v>
      </c>
      <c r="E243" s="602" t="n"/>
      <c r="F243" s="634" t="n">
        <v>0.28</v>
      </c>
      <c r="G243" s="38" t="n">
        <v>6</v>
      </c>
      <c r="H243" s="634" t="n">
        <v>1.68</v>
      </c>
      <c r="I243" s="634" t="n">
        <v>2.6</v>
      </c>
      <c r="J243" s="38" t="n">
        <v>156</v>
      </c>
      <c r="K243" s="39" t="inlineStr">
        <is>
          <t>СК2</t>
        </is>
      </c>
      <c r="L243" s="38" t="n">
        <v>35</v>
      </c>
      <c r="M243" s="784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3" s="636" t="n"/>
      <c r="O243" s="636" t="n"/>
      <c r="P243" s="636" t="n"/>
      <c r="Q243" s="602" t="n"/>
      <c r="R243" s="40" t="inlineStr"/>
      <c r="S243" s="40" t="inlineStr"/>
      <c r="T243" s="41" t="inlineStr">
        <is>
          <t>кг</t>
        </is>
      </c>
      <c r="U243" s="637" t="n">
        <v>0</v>
      </c>
      <c r="V243" s="638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4" t="inlineStr">
        <is>
          <t>КИ</t>
        </is>
      </c>
    </row>
    <row r="244" ht="27" customHeight="1">
      <c r="A244" s="64" t="inlineStr">
        <is>
          <t>SU002252</t>
        </is>
      </c>
      <c r="B244" s="64" t="inlineStr">
        <is>
          <t>P002461</t>
        </is>
      </c>
      <c r="C244" s="37" t="n">
        <v>4301031066</v>
      </c>
      <c r="D244" s="355" t="n">
        <v>4607091383836</v>
      </c>
      <c r="E244" s="602" t="n"/>
      <c r="F244" s="634" t="n">
        <v>0.3</v>
      </c>
      <c r="G244" s="38" t="n">
        <v>6</v>
      </c>
      <c r="H244" s="634" t="n">
        <v>1.8</v>
      </c>
      <c r="I244" s="634" t="n">
        <v>2.048</v>
      </c>
      <c r="J244" s="38" t="n">
        <v>156</v>
      </c>
      <c r="K244" s="39" t="inlineStr">
        <is>
          <t>СК2</t>
        </is>
      </c>
      <c r="L244" s="38" t="n">
        <v>40</v>
      </c>
      <c r="M244" s="785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4" s="636" t="n"/>
      <c r="O244" s="636" t="n"/>
      <c r="P244" s="636" t="n"/>
      <c r="Q244" s="602" t="n"/>
      <c r="R244" s="40" t="inlineStr"/>
      <c r="S244" s="40" t="inlineStr"/>
      <c r="T244" s="41" t="inlineStr">
        <is>
          <t>кг</t>
        </is>
      </c>
      <c r="U244" s="637" t="n">
        <v>0</v>
      </c>
      <c r="V244" s="638">
        <f>IFERROR(IF(U244="",0,CEILING((U244/$H244),1)*$H244),"")</f>
        <v/>
      </c>
      <c r="W244" s="42">
        <f>IFERROR(IF(V244=0,"",ROUNDUP(V244/H244,0)*0.00753),"")</f>
        <v/>
      </c>
      <c r="X244" s="69" t="inlineStr"/>
      <c r="Y244" s="70" t="inlineStr"/>
      <c r="AC244" s="215" t="inlineStr">
        <is>
          <t>КИ</t>
        </is>
      </c>
    </row>
    <row r="245">
      <c r="A245" s="36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39" t="n"/>
      <c r="M245" s="640" t="inlineStr">
        <is>
          <t>Итого</t>
        </is>
      </c>
      <c r="N245" s="610" t="n"/>
      <c r="O245" s="610" t="n"/>
      <c r="P245" s="610" t="n"/>
      <c r="Q245" s="610" t="n"/>
      <c r="R245" s="610" t="n"/>
      <c r="S245" s="611" t="n"/>
      <c r="T245" s="43" t="inlineStr">
        <is>
          <t>кор</t>
        </is>
      </c>
      <c r="U245" s="641">
        <f>IFERROR(U243/H243,"0")+IFERROR(U244/H244,"0")</f>
        <v/>
      </c>
      <c r="V245" s="641">
        <f>IFERROR(V243/H243,"0")+IFERROR(V244/H244,"0")</f>
        <v/>
      </c>
      <c r="W245" s="641">
        <f>IFERROR(IF(W243="",0,W243),"0")+IFERROR(IF(W244="",0,W244),"0")</f>
        <v/>
      </c>
      <c r="X245" s="642" t="n"/>
      <c r="Y245" s="642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39" t="n"/>
      <c r="M246" s="640" t="inlineStr">
        <is>
          <t>Итого</t>
        </is>
      </c>
      <c r="N246" s="610" t="n"/>
      <c r="O246" s="610" t="n"/>
      <c r="P246" s="610" t="n"/>
      <c r="Q246" s="610" t="n"/>
      <c r="R246" s="610" t="n"/>
      <c r="S246" s="611" t="n"/>
      <c r="T246" s="43" t="inlineStr">
        <is>
          <t>кг</t>
        </is>
      </c>
      <c r="U246" s="641">
        <f>IFERROR(SUM(U243:U244),"0")</f>
        <v/>
      </c>
      <c r="V246" s="641">
        <f>IFERROR(SUM(V243:V244),"0")</f>
        <v/>
      </c>
      <c r="W246" s="43" t="n"/>
      <c r="X246" s="642" t="n"/>
      <c r="Y246" s="642" t="n"/>
    </row>
    <row r="247" ht="14.25" customHeight="1">
      <c r="A247" s="354" t="inlineStr">
        <is>
          <t>Сосиски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54" t="n"/>
      <c r="Y247" s="354" t="n"/>
    </row>
    <row r="248" ht="27" customHeight="1">
      <c r="A248" s="64" t="inlineStr">
        <is>
          <t>SU001835</t>
        </is>
      </c>
      <c r="B248" s="64" t="inlineStr">
        <is>
          <t>P002202</t>
        </is>
      </c>
      <c r="C248" s="37" t="n">
        <v>4301051142</v>
      </c>
      <c r="D248" s="355" t="n">
        <v>4607091387919</v>
      </c>
      <c r="E248" s="602" t="n"/>
      <c r="F248" s="634" t="n">
        <v>1.35</v>
      </c>
      <c r="G248" s="38" t="n">
        <v>6</v>
      </c>
      <c r="H248" s="634" t="n">
        <v>8.1</v>
      </c>
      <c r="I248" s="634" t="n">
        <v>8.664</v>
      </c>
      <c r="J248" s="38" t="n">
        <v>56</v>
      </c>
      <c r="K248" s="39" t="inlineStr">
        <is>
          <t>СК2</t>
        </is>
      </c>
      <c r="L248" s="38" t="n">
        <v>45</v>
      </c>
      <c r="M248" s="786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48" s="636" t="n"/>
      <c r="O248" s="636" t="n"/>
      <c r="P248" s="636" t="n"/>
      <c r="Q248" s="602" t="n"/>
      <c r="R248" s="40" t="inlineStr"/>
      <c r="S248" s="40" t="inlineStr"/>
      <c r="T248" s="41" t="inlineStr">
        <is>
          <t>кг</t>
        </is>
      </c>
      <c r="U248" s="637" t="n">
        <v>0</v>
      </c>
      <c r="V248" s="638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216" t="inlineStr">
        <is>
          <t>КИ</t>
        </is>
      </c>
    </row>
    <row r="249" ht="27" customHeight="1">
      <c r="A249" s="64" t="inlineStr">
        <is>
          <t>SU001836</t>
        </is>
      </c>
      <c r="B249" s="64" t="inlineStr">
        <is>
          <t>P002201</t>
        </is>
      </c>
      <c r="C249" s="37" t="n">
        <v>4301051109</v>
      </c>
      <c r="D249" s="355" t="n">
        <v>4607091383942</v>
      </c>
      <c r="E249" s="602" t="n"/>
      <c r="F249" s="634" t="n">
        <v>0.42</v>
      </c>
      <c r="G249" s="38" t="n">
        <v>6</v>
      </c>
      <c r="H249" s="634" t="n">
        <v>2.52</v>
      </c>
      <c r="I249" s="634" t="n">
        <v>2.792</v>
      </c>
      <c r="J249" s="38" t="n">
        <v>156</v>
      </c>
      <c r="K249" s="39" t="inlineStr">
        <is>
          <t>СК3</t>
        </is>
      </c>
      <c r="L249" s="38" t="n">
        <v>45</v>
      </c>
      <c r="M249" s="78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49" s="636" t="n"/>
      <c r="O249" s="636" t="n"/>
      <c r="P249" s="636" t="n"/>
      <c r="Q249" s="602" t="n"/>
      <c r="R249" s="40" t="inlineStr"/>
      <c r="S249" s="40" t="inlineStr"/>
      <c r="T249" s="41" t="inlineStr">
        <is>
          <t>кг</t>
        </is>
      </c>
      <c r="U249" s="637" t="n">
        <v>0</v>
      </c>
      <c r="V249" s="638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17" t="inlineStr">
        <is>
          <t>КИ</t>
        </is>
      </c>
    </row>
    <row r="250" ht="27" customHeight="1">
      <c r="A250" s="64" t="inlineStr">
        <is>
          <t>SU001970</t>
        </is>
      </c>
      <c r="B250" s="64" t="inlineStr">
        <is>
          <t>P001837</t>
        </is>
      </c>
      <c r="C250" s="37" t="n">
        <v>4301051300</v>
      </c>
      <c r="D250" s="355" t="n">
        <v>4607091383959</v>
      </c>
      <c r="E250" s="602" t="n"/>
      <c r="F250" s="634" t="n">
        <v>0.42</v>
      </c>
      <c r="G250" s="38" t="n">
        <v>6</v>
      </c>
      <c r="H250" s="634" t="n">
        <v>2.52</v>
      </c>
      <c r="I250" s="634" t="n">
        <v>2.78</v>
      </c>
      <c r="J250" s="38" t="n">
        <v>156</v>
      </c>
      <c r="K250" s="39" t="inlineStr">
        <is>
          <t>СК2</t>
        </is>
      </c>
      <c r="L250" s="38" t="n">
        <v>35</v>
      </c>
      <c r="M250" s="788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0" s="636" t="n"/>
      <c r="O250" s="636" t="n"/>
      <c r="P250" s="636" t="n"/>
      <c r="Q250" s="602" t="n"/>
      <c r="R250" s="40" t="inlineStr"/>
      <c r="S250" s="40" t="inlineStr"/>
      <c r="T250" s="41" t="inlineStr">
        <is>
          <t>кг</t>
        </is>
      </c>
      <c r="U250" s="637" t="n">
        <v>0</v>
      </c>
      <c r="V250" s="638">
        <f>IFERROR(IF(U250="",0,CEILING((U250/$H250),1)*$H250),"")</f>
        <v/>
      </c>
      <c r="W250" s="42">
        <f>IFERROR(IF(V250=0,"",ROUNDUP(V250/H250,0)*0.00753),"")</f>
        <v/>
      </c>
      <c r="X250" s="69" t="inlineStr"/>
      <c r="Y250" s="70" t="inlineStr"/>
      <c r="AC250" s="218" t="inlineStr">
        <is>
          <t>КИ</t>
        </is>
      </c>
    </row>
    <row r="251">
      <c r="A251" s="363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39" t="n"/>
      <c r="M251" s="640" t="inlineStr">
        <is>
          <t>Итого</t>
        </is>
      </c>
      <c r="N251" s="610" t="n"/>
      <c r="O251" s="610" t="n"/>
      <c r="P251" s="610" t="n"/>
      <c r="Q251" s="610" t="n"/>
      <c r="R251" s="610" t="n"/>
      <c r="S251" s="611" t="n"/>
      <c r="T251" s="43" t="inlineStr">
        <is>
          <t>кор</t>
        </is>
      </c>
      <c r="U251" s="641">
        <f>IFERROR(U248/H248,"0")+IFERROR(U249/H249,"0")+IFERROR(U250/H250,"0")</f>
        <v/>
      </c>
      <c r="V251" s="641">
        <f>IFERROR(V248/H248,"0")+IFERROR(V249/H249,"0")+IFERROR(V250/H250,"0")</f>
        <v/>
      </c>
      <c r="W251" s="641">
        <f>IFERROR(IF(W248="",0,W248),"0")+IFERROR(IF(W249="",0,W249),"0")+IFERROR(IF(W250="",0,W250),"0")</f>
        <v/>
      </c>
      <c r="X251" s="642" t="n"/>
      <c r="Y251" s="642" t="n"/>
    </row>
    <row r="252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639" t="n"/>
      <c r="M252" s="640" t="inlineStr">
        <is>
          <t>Итого</t>
        </is>
      </c>
      <c r="N252" s="610" t="n"/>
      <c r="O252" s="610" t="n"/>
      <c r="P252" s="610" t="n"/>
      <c r="Q252" s="610" t="n"/>
      <c r="R252" s="610" t="n"/>
      <c r="S252" s="611" t="n"/>
      <c r="T252" s="43" t="inlineStr">
        <is>
          <t>кг</t>
        </is>
      </c>
      <c r="U252" s="641">
        <f>IFERROR(SUM(U248:U250),"0")</f>
        <v/>
      </c>
      <c r="V252" s="641">
        <f>IFERROR(SUM(V248:V250),"0")</f>
        <v/>
      </c>
      <c r="W252" s="43" t="n"/>
      <c r="X252" s="642" t="n"/>
      <c r="Y252" s="642" t="n"/>
    </row>
    <row r="253" ht="14.25" customHeight="1">
      <c r="A253" s="354" t="inlineStr">
        <is>
          <t>Сардельки</t>
        </is>
      </c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354" t="n"/>
      <c r="Y253" s="354" t="n"/>
    </row>
    <row r="254" ht="27" customHeight="1">
      <c r="A254" s="64" t="inlineStr">
        <is>
          <t>SU002173</t>
        </is>
      </c>
      <c r="B254" s="64" t="inlineStr">
        <is>
          <t>P002361</t>
        </is>
      </c>
      <c r="C254" s="37" t="n">
        <v>4301060324</v>
      </c>
      <c r="D254" s="355" t="n">
        <v>4607091388831</v>
      </c>
      <c r="E254" s="602" t="n"/>
      <c r="F254" s="634" t="n">
        <v>0.38</v>
      </c>
      <c r="G254" s="38" t="n">
        <v>6</v>
      </c>
      <c r="H254" s="634" t="n">
        <v>2.28</v>
      </c>
      <c r="I254" s="634" t="n">
        <v>2.552</v>
      </c>
      <c r="J254" s="38" t="n">
        <v>156</v>
      </c>
      <c r="K254" s="39" t="inlineStr">
        <is>
          <t>СК2</t>
        </is>
      </c>
      <c r="L254" s="38" t="n">
        <v>40</v>
      </c>
      <c r="M254" s="78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4" s="636" t="n"/>
      <c r="O254" s="636" t="n"/>
      <c r="P254" s="636" t="n"/>
      <c r="Q254" s="602" t="n"/>
      <c r="R254" s="40" t="inlineStr"/>
      <c r="S254" s="40" t="inlineStr"/>
      <c r="T254" s="41" t="inlineStr">
        <is>
          <t>кг</t>
        </is>
      </c>
      <c r="U254" s="637" t="n">
        <v>0</v>
      </c>
      <c r="V254" s="638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19" t="inlineStr">
        <is>
          <t>КИ</t>
        </is>
      </c>
    </row>
    <row r="255">
      <c r="A255" s="363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39" t="n"/>
      <c r="M255" s="640" t="inlineStr">
        <is>
          <t>Итого</t>
        </is>
      </c>
      <c r="N255" s="610" t="n"/>
      <c r="O255" s="610" t="n"/>
      <c r="P255" s="610" t="n"/>
      <c r="Q255" s="610" t="n"/>
      <c r="R255" s="610" t="n"/>
      <c r="S255" s="611" t="n"/>
      <c r="T255" s="43" t="inlineStr">
        <is>
          <t>кор</t>
        </is>
      </c>
      <c r="U255" s="641">
        <f>IFERROR(U254/H254,"0")</f>
        <v/>
      </c>
      <c r="V255" s="641">
        <f>IFERROR(V254/H254,"0")</f>
        <v/>
      </c>
      <c r="W255" s="641">
        <f>IFERROR(IF(W254="",0,W254),"0")</f>
        <v/>
      </c>
      <c r="X255" s="642" t="n"/>
      <c r="Y255" s="642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39" t="n"/>
      <c r="M256" s="640" t="inlineStr">
        <is>
          <t>Итого</t>
        </is>
      </c>
      <c r="N256" s="610" t="n"/>
      <c r="O256" s="610" t="n"/>
      <c r="P256" s="610" t="n"/>
      <c r="Q256" s="610" t="n"/>
      <c r="R256" s="610" t="n"/>
      <c r="S256" s="611" t="n"/>
      <c r="T256" s="43" t="inlineStr">
        <is>
          <t>кг</t>
        </is>
      </c>
      <c r="U256" s="641">
        <f>IFERROR(SUM(U254:U254),"0")</f>
        <v/>
      </c>
      <c r="V256" s="641">
        <f>IFERROR(SUM(V254:V254),"0")</f>
        <v/>
      </c>
      <c r="W256" s="43" t="n"/>
      <c r="X256" s="642" t="n"/>
      <c r="Y256" s="642" t="n"/>
    </row>
    <row r="257" ht="14.25" customHeight="1">
      <c r="A257" s="354" t="inlineStr">
        <is>
          <t>Сырокопченые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54" t="n"/>
      <c r="Y257" s="354" t="n"/>
    </row>
    <row r="258" ht="27" customHeight="1">
      <c r="A258" s="64" t="inlineStr">
        <is>
          <t>SU002092</t>
        </is>
      </c>
      <c r="B258" s="64" t="inlineStr">
        <is>
          <t>P002290</t>
        </is>
      </c>
      <c r="C258" s="37" t="n">
        <v>4301032015</v>
      </c>
      <c r="D258" s="355" t="n">
        <v>4607091383102</v>
      </c>
      <c r="E258" s="602" t="n"/>
      <c r="F258" s="634" t="n">
        <v>0.17</v>
      </c>
      <c r="G258" s="38" t="n">
        <v>15</v>
      </c>
      <c r="H258" s="634" t="n">
        <v>2.55</v>
      </c>
      <c r="I258" s="634" t="n">
        <v>2.975</v>
      </c>
      <c r="J258" s="38" t="n">
        <v>156</v>
      </c>
      <c r="K258" s="39" t="inlineStr">
        <is>
          <t>АК</t>
        </is>
      </c>
      <c r="L258" s="38" t="n">
        <v>180</v>
      </c>
      <c r="M258" s="79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58" s="636" t="n"/>
      <c r="O258" s="636" t="n"/>
      <c r="P258" s="636" t="n"/>
      <c r="Q258" s="602" t="n"/>
      <c r="R258" s="40" t="inlineStr"/>
      <c r="S258" s="40" t="inlineStr"/>
      <c r="T258" s="41" t="inlineStr">
        <is>
          <t>кг</t>
        </is>
      </c>
      <c r="U258" s="637" t="n">
        <v>0</v>
      </c>
      <c r="V258" s="638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220" t="inlineStr">
        <is>
          <t>КИ</t>
        </is>
      </c>
    </row>
    <row r="259">
      <c r="A259" s="36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39" t="n"/>
      <c r="M259" s="640" t="inlineStr">
        <is>
          <t>Итого</t>
        </is>
      </c>
      <c r="N259" s="610" t="n"/>
      <c r="O259" s="610" t="n"/>
      <c r="P259" s="610" t="n"/>
      <c r="Q259" s="610" t="n"/>
      <c r="R259" s="610" t="n"/>
      <c r="S259" s="611" t="n"/>
      <c r="T259" s="43" t="inlineStr">
        <is>
          <t>кор</t>
        </is>
      </c>
      <c r="U259" s="641">
        <f>IFERROR(U258/H258,"0")</f>
        <v/>
      </c>
      <c r="V259" s="641">
        <f>IFERROR(V258/H258,"0")</f>
        <v/>
      </c>
      <c r="W259" s="641">
        <f>IFERROR(IF(W258="",0,W258),"0")</f>
        <v/>
      </c>
      <c r="X259" s="642" t="n"/>
      <c r="Y259" s="642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39" t="n"/>
      <c r="M260" s="640" t="inlineStr">
        <is>
          <t>Итого</t>
        </is>
      </c>
      <c r="N260" s="610" t="n"/>
      <c r="O260" s="610" t="n"/>
      <c r="P260" s="610" t="n"/>
      <c r="Q260" s="610" t="n"/>
      <c r="R260" s="610" t="n"/>
      <c r="S260" s="611" t="n"/>
      <c r="T260" s="43" t="inlineStr">
        <is>
          <t>кг</t>
        </is>
      </c>
      <c r="U260" s="641">
        <f>IFERROR(SUM(U258:U258),"0")</f>
        <v/>
      </c>
      <c r="V260" s="641">
        <f>IFERROR(SUM(V258:V258),"0")</f>
        <v/>
      </c>
      <c r="W260" s="43" t="n"/>
      <c r="X260" s="642" t="n"/>
      <c r="Y260" s="642" t="n"/>
    </row>
    <row r="261" ht="27.75" customHeight="1">
      <c r="A261" s="352" t="inlineStr">
        <is>
          <t>Особый рецепт</t>
        </is>
      </c>
      <c r="B261" s="633" t="n"/>
      <c r="C261" s="633" t="n"/>
      <c r="D261" s="633" t="n"/>
      <c r="E261" s="633" t="n"/>
      <c r="F261" s="633" t="n"/>
      <c r="G261" s="633" t="n"/>
      <c r="H261" s="633" t="n"/>
      <c r="I261" s="633" t="n"/>
      <c r="J261" s="633" t="n"/>
      <c r="K261" s="633" t="n"/>
      <c r="L261" s="633" t="n"/>
      <c r="M261" s="633" t="n"/>
      <c r="N261" s="633" t="n"/>
      <c r="O261" s="633" t="n"/>
      <c r="P261" s="633" t="n"/>
      <c r="Q261" s="633" t="n"/>
      <c r="R261" s="633" t="n"/>
      <c r="S261" s="633" t="n"/>
      <c r="T261" s="633" t="n"/>
      <c r="U261" s="633" t="n"/>
      <c r="V261" s="633" t="n"/>
      <c r="W261" s="633" t="n"/>
      <c r="X261" s="55" t="n"/>
      <c r="Y261" s="55" t="n"/>
    </row>
    <row r="262" ht="16.5" customHeight="1">
      <c r="A262" s="353" t="inlineStr">
        <is>
          <t>Особая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53" t="n"/>
      <c r="Y262" s="353" t="n"/>
    </row>
    <row r="263" ht="14.25" customHeight="1">
      <c r="A263" s="354" t="inlineStr">
        <is>
          <t>Вареные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54" t="n"/>
      <c r="Y263" s="354" t="n"/>
    </row>
    <row r="264" ht="27" customHeight="1">
      <c r="A264" s="64" t="inlineStr">
        <is>
          <t>SU000251</t>
        </is>
      </c>
      <c r="B264" s="64" t="inlineStr">
        <is>
          <t>P002581</t>
        </is>
      </c>
      <c r="C264" s="37" t="n">
        <v>4301011239</v>
      </c>
      <c r="D264" s="355" t="n">
        <v>4607091383997</v>
      </c>
      <c r="E264" s="602" t="n"/>
      <c r="F264" s="634" t="n">
        <v>2.5</v>
      </c>
      <c r="G264" s="38" t="n">
        <v>6</v>
      </c>
      <c r="H264" s="634" t="n">
        <v>15</v>
      </c>
      <c r="I264" s="634" t="n">
        <v>15.48</v>
      </c>
      <c r="J264" s="38" t="n">
        <v>48</v>
      </c>
      <c r="K264" s="39" t="inlineStr">
        <is>
          <t>ВЗ</t>
        </is>
      </c>
      <c r="L264" s="38" t="n">
        <v>60</v>
      </c>
      <c r="M264" s="791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4" s="636" t="n"/>
      <c r="O264" s="636" t="n"/>
      <c r="P264" s="636" t="n"/>
      <c r="Q264" s="602" t="n"/>
      <c r="R264" s="40" t="inlineStr"/>
      <c r="S264" s="40" t="inlineStr"/>
      <c r="T264" s="41" t="inlineStr">
        <is>
          <t>кг</t>
        </is>
      </c>
      <c r="U264" s="637" t="n">
        <v>0</v>
      </c>
      <c r="V264" s="638">
        <f>IFERROR(IF(U264="",0,CEILING((U264/$H264),1)*$H264),"")</f>
        <v/>
      </c>
      <c r="W264" s="42">
        <f>IFERROR(IF(V264=0,"",ROUNDUP(V264/H264,0)*0.02039),"")</f>
        <v/>
      </c>
      <c r="X264" s="69" t="inlineStr"/>
      <c r="Y264" s="70" t="inlineStr"/>
      <c r="AC264" s="221" t="inlineStr">
        <is>
          <t>КИ</t>
        </is>
      </c>
    </row>
    <row r="265" ht="27" customHeight="1">
      <c r="A265" s="64" t="inlineStr">
        <is>
          <t>SU000251</t>
        </is>
      </c>
      <c r="B265" s="64" t="inlineStr">
        <is>
          <t>P002584</t>
        </is>
      </c>
      <c r="C265" s="37" t="n">
        <v>4301011339</v>
      </c>
      <c r="D265" s="355" t="n">
        <v>4607091383997</v>
      </c>
      <c r="E265" s="602" t="n"/>
      <c r="F265" s="634" t="n">
        <v>2.5</v>
      </c>
      <c r="G265" s="38" t="n">
        <v>6</v>
      </c>
      <c r="H265" s="634" t="n">
        <v>15</v>
      </c>
      <c r="I265" s="634" t="n">
        <v>15.48</v>
      </c>
      <c r="J265" s="38" t="n">
        <v>48</v>
      </c>
      <c r="K265" s="39" t="inlineStr">
        <is>
          <t>СК2</t>
        </is>
      </c>
      <c r="L265" s="38" t="n">
        <v>60</v>
      </c>
      <c r="M265" s="792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5" s="636" t="n"/>
      <c r="O265" s="636" t="n"/>
      <c r="P265" s="636" t="n"/>
      <c r="Q265" s="602" t="n"/>
      <c r="R265" s="40" t="inlineStr"/>
      <c r="S265" s="40" t="inlineStr"/>
      <c r="T265" s="41" t="inlineStr">
        <is>
          <t>кг</t>
        </is>
      </c>
      <c r="U265" s="637" t="n">
        <v>2000</v>
      </c>
      <c r="V265" s="638">
        <f>IFERROR(IF(U265="",0,CEILING((U265/$H265),1)*$H265),"")</f>
        <v/>
      </c>
      <c r="W265" s="42">
        <f>IFERROR(IF(V265=0,"",ROUNDUP(V265/H265,0)*0.02175),"")</f>
        <v/>
      </c>
      <c r="X265" s="69" t="inlineStr"/>
      <c r="Y265" s="70" t="inlineStr"/>
      <c r="AC265" s="222" t="inlineStr">
        <is>
          <t>КИ</t>
        </is>
      </c>
    </row>
    <row r="266" ht="27" customHeight="1">
      <c r="A266" s="64" t="inlineStr">
        <is>
          <t>SU001578</t>
        </is>
      </c>
      <c r="B266" s="64" t="inlineStr">
        <is>
          <t>P002562</t>
        </is>
      </c>
      <c r="C266" s="37" t="n">
        <v>4301011326</v>
      </c>
      <c r="D266" s="355" t="n">
        <v>4607091384130</v>
      </c>
      <c r="E266" s="602" t="n"/>
      <c r="F266" s="634" t="n">
        <v>2.5</v>
      </c>
      <c r="G266" s="38" t="n">
        <v>6</v>
      </c>
      <c r="H266" s="634" t="n">
        <v>15</v>
      </c>
      <c r="I266" s="634" t="n">
        <v>15.48</v>
      </c>
      <c r="J266" s="38" t="n">
        <v>48</v>
      </c>
      <c r="K266" s="39" t="inlineStr">
        <is>
          <t>СК2</t>
        </is>
      </c>
      <c r="L266" s="38" t="n">
        <v>60</v>
      </c>
      <c r="M266" s="79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66" s="636" t="n"/>
      <c r="O266" s="636" t="n"/>
      <c r="P266" s="636" t="n"/>
      <c r="Q266" s="602" t="n"/>
      <c r="R266" s="40" t="inlineStr"/>
      <c r="S266" s="40" t="inlineStr"/>
      <c r="T266" s="41" t="inlineStr">
        <is>
          <t>кг</t>
        </is>
      </c>
      <c r="U266" s="637" t="n">
        <v>2200</v>
      </c>
      <c r="V266" s="638">
        <f>IFERROR(IF(U266="",0,CEILING((U266/$H266),1)*$H266),"")</f>
        <v/>
      </c>
      <c r="W266" s="42">
        <f>IFERROR(IF(V266=0,"",ROUNDUP(V266/H266,0)*0.02175),"")</f>
        <v/>
      </c>
      <c r="X266" s="69" t="inlineStr"/>
      <c r="Y266" s="70" t="inlineStr"/>
      <c r="AC266" s="223" t="inlineStr">
        <is>
          <t>КИ</t>
        </is>
      </c>
    </row>
    <row r="267" ht="27" customHeight="1">
      <c r="A267" s="64" t="inlineStr">
        <is>
          <t>SU001578</t>
        </is>
      </c>
      <c r="B267" s="64" t="inlineStr">
        <is>
          <t>P002582</t>
        </is>
      </c>
      <c r="C267" s="37" t="n">
        <v>4301011240</v>
      </c>
      <c r="D267" s="355" t="n">
        <v>4607091384130</v>
      </c>
      <c r="E267" s="602" t="n"/>
      <c r="F267" s="634" t="n">
        <v>2.5</v>
      </c>
      <c r="G267" s="38" t="n">
        <v>6</v>
      </c>
      <c r="H267" s="634" t="n">
        <v>15</v>
      </c>
      <c r="I267" s="634" t="n">
        <v>15.48</v>
      </c>
      <c r="J267" s="38" t="n">
        <v>48</v>
      </c>
      <c r="K267" s="39" t="inlineStr">
        <is>
          <t>ВЗ</t>
        </is>
      </c>
      <c r="L267" s="38" t="n">
        <v>60</v>
      </c>
      <c r="M267" s="79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67" s="636" t="n"/>
      <c r="O267" s="636" t="n"/>
      <c r="P267" s="636" t="n"/>
      <c r="Q267" s="602" t="n"/>
      <c r="R267" s="40" t="inlineStr"/>
      <c r="S267" s="40" t="inlineStr"/>
      <c r="T267" s="41" t="inlineStr">
        <is>
          <t>кг</t>
        </is>
      </c>
      <c r="U267" s="637" t="n">
        <v>0</v>
      </c>
      <c r="V267" s="638">
        <f>IFERROR(IF(U267="",0,CEILING((U267/$H267),1)*$H267),"")</f>
        <v/>
      </c>
      <c r="W267" s="42">
        <f>IFERROR(IF(V267=0,"",ROUNDUP(V267/H267,0)*0.02039),"")</f>
        <v/>
      </c>
      <c r="X267" s="69" t="inlineStr"/>
      <c r="Y267" s="70" t="inlineStr"/>
      <c r="AC267" s="224" t="inlineStr">
        <is>
          <t>КИ</t>
        </is>
      </c>
    </row>
    <row r="268" ht="16.5" customHeight="1">
      <c r="A268" s="64" t="inlineStr">
        <is>
          <t>SU000102</t>
        </is>
      </c>
      <c r="B268" s="64" t="inlineStr">
        <is>
          <t>P002564</t>
        </is>
      </c>
      <c r="C268" s="37" t="n">
        <v>4301011330</v>
      </c>
      <c r="D268" s="355" t="n">
        <v>4607091384147</v>
      </c>
      <c r="E268" s="602" t="n"/>
      <c r="F268" s="634" t="n">
        <v>2.5</v>
      </c>
      <c r="G268" s="38" t="n">
        <v>6</v>
      </c>
      <c r="H268" s="634" t="n">
        <v>15</v>
      </c>
      <c r="I268" s="634" t="n">
        <v>15.48</v>
      </c>
      <c r="J268" s="38" t="n">
        <v>48</v>
      </c>
      <c r="K268" s="39" t="inlineStr">
        <is>
          <t>СК2</t>
        </is>
      </c>
      <c r="L268" s="38" t="n">
        <v>60</v>
      </c>
      <c r="M268" s="79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68" s="636" t="n"/>
      <c r="O268" s="636" t="n"/>
      <c r="P268" s="636" t="n"/>
      <c r="Q268" s="602" t="n"/>
      <c r="R268" s="40" t="inlineStr"/>
      <c r="S268" s="40" t="inlineStr"/>
      <c r="T268" s="41" t="inlineStr">
        <is>
          <t>кг</t>
        </is>
      </c>
      <c r="U268" s="637" t="n">
        <v>1500</v>
      </c>
      <c r="V268" s="638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225" t="inlineStr">
        <is>
          <t>КИ</t>
        </is>
      </c>
    </row>
    <row r="269" ht="16.5" customHeight="1">
      <c r="A269" s="64" t="inlineStr">
        <is>
          <t>SU000102</t>
        </is>
      </c>
      <c r="B269" s="64" t="inlineStr">
        <is>
          <t>P002580</t>
        </is>
      </c>
      <c r="C269" s="37" t="n">
        <v>4301011238</v>
      </c>
      <c r="D269" s="355" t="n">
        <v>4607091384147</v>
      </c>
      <c r="E269" s="602" t="n"/>
      <c r="F269" s="634" t="n">
        <v>2.5</v>
      </c>
      <c r="G269" s="38" t="n">
        <v>6</v>
      </c>
      <c r="H269" s="634" t="n">
        <v>15</v>
      </c>
      <c r="I269" s="634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796" t="inlineStr">
        <is>
          <t>Вареные колбасы Особая Особая Весовые П/а Особый рецепт</t>
        </is>
      </c>
      <c r="N269" s="636" t="n"/>
      <c r="O269" s="636" t="n"/>
      <c r="P269" s="636" t="n"/>
      <c r="Q269" s="602" t="n"/>
      <c r="R269" s="40" t="inlineStr"/>
      <c r="S269" s="40" t="inlineStr"/>
      <c r="T269" s="41" t="inlineStr">
        <is>
          <t>кг</t>
        </is>
      </c>
      <c r="U269" s="637" t="n">
        <v>0</v>
      </c>
      <c r="V269" s="638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SU001989</t>
        </is>
      </c>
      <c r="B270" s="64" t="inlineStr">
        <is>
          <t>P002560</t>
        </is>
      </c>
      <c r="C270" s="37" t="n">
        <v>4301011327</v>
      </c>
      <c r="D270" s="355" t="n">
        <v>4607091384154</v>
      </c>
      <c r="E270" s="602" t="n"/>
      <c r="F270" s="634" t="n">
        <v>0.5</v>
      </c>
      <c r="G270" s="38" t="n">
        <v>10</v>
      </c>
      <c r="H270" s="634" t="n">
        <v>5</v>
      </c>
      <c r="I270" s="634" t="n">
        <v>5.21</v>
      </c>
      <c r="J270" s="38" t="n">
        <v>120</v>
      </c>
      <c r="K270" s="39" t="inlineStr">
        <is>
          <t>СК2</t>
        </is>
      </c>
      <c r="L270" s="38" t="n">
        <v>60</v>
      </c>
      <c r="M270" s="7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0" s="636" t="n"/>
      <c r="O270" s="636" t="n"/>
      <c r="P270" s="636" t="n"/>
      <c r="Q270" s="602" t="n"/>
      <c r="R270" s="40" t="inlineStr"/>
      <c r="S270" s="40" t="inlineStr"/>
      <c r="T270" s="41" t="inlineStr">
        <is>
          <t>кг</t>
        </is>
      </c>
      <c r="U270" s="637" t="n">
        <v>0</v>
      </c>
      <c r="V270" s="638">
        <f>IFERROR(IF(U270="",0,CEILING((U270/$H270),1)*$H270),"")</f>
        <v/>
      </c>
      <c r="W270" s="42">
        <f>IFERROR(IF(V270=0,"",ROUNDUP(V270/H270,0)*0.00937),"")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SU000256</t>
        </is>
      </c>
      <c r="B271" s="64" t="inlineStr">
        <is>
          <t>P002565</t>
        </is>
      </c>
      <c r="C271" s="37" t="n">
        <v>4301011332</v>
      </c>
      <c r="D271" s="355" t="n">
        <v>4607091384161</v>
      </c>
      <c r="E271" s="602" t="n"/>
      <c r="F271" s="634" t="n">
        <v>0.5</v>
      </c>
      <c r="G271" s="38" t="n">
        <v>10</v>
      </c>
      <c r="H271" s="634" t="n">
        <v>5</v>
      </c>
      <c r="I271" s="634" t="n">
        <v>5.21</v>
      </c>
      <c r="J271" s="38" t="n">
        <v>120</v>
      </c>
      <c r="K271" s="39" t="inlineStr">
        <is>
          <t>СК2</t>
        </is>
      </c>
      <c r="L271" s="38" t="n">
        <v>60</v>
      </c>
      <c r="M271" s="79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1" s="636" t="n"/>
      <c r="O271" s="636" t="n"/>
      <c r="P271" s="636" t="n"/>
      <c r="Q271" s="602" t="n"/>
      <c r="R271" s="40" t="inlineStr"/>
      <c r="S271" s="40" t="inlineStr"/>
      <c r="T271" s="41" t="inlineStr">
        <is>
          <t>кг</t>
        </is>
      </c>
      <c r="U271" s="637" t="n">
        <v>0</v>
      </c>
      <c r="V271" s="638">
        <f>IFERROR(IF(U271="",0,CEILING((U271/$H271),1)*$H271),"")</f>
        <v/>
      </c>
      <c r="W271" s="42">
        <f>IFERROR(IF(V271=0,"",ROUNDUP(V271/H271,0)*0.00937),"")</f>
        <v/>
      </c>
      <c r="X271" s="69" t="inlineStr"/>
      <c r="Y271" s="70" t="inlineStr"/>
      <c r="AC271" s="228" t="inlineStr">
        <is>
          <t>КИ</t>
        </is>
      </c>
    </row>
    <row r="272">
      <c r="A272" s="36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39" t="n"/>
      <c r="M272" s="640" t="inlineStr">
        <is>
          <t>Итого</t>
        </is>
      </c>
      <c r="N272" s="610" t="n"/>
      <c r="O272" s="610" t="n"/>
      <c r="P272" s="610" t="n"/>
      <c r="Q272" s="610" t="n"/>
      <c r="R272" s="610" t="n"/>
      <c r="S272" s="611" t="n"/>
      <c r="T272" s="43" t="inlineStr">
        <is>
          <t>кор</t>
        </is>
      </c>
      <c r="U272" s="641">
        <f>IFERROR(U264/H264,"0")+IFERROR(U265/H265,"0")+IFERROR(U266/H266,"0")+IFERROR(U267/H267,"0")+IFERROR(U268/H268,"0")+IFERROR(U269/H269,"0")+IFERROR(U270/H270,"0")+IFERROR(U271/H271,"0")</f>
        <v/>
      </c>
      <c r="V272" s="641">
        <f>IFERROR(V264/H264,"0")+IFERROR(V265/H265,"0")+IFERROR(V266/H266,"0")+IFERROR(V267/H267,"0")+IFERROR(V268/H268,"0")+IFERROR(V269/H269,"0")+IFERROR(V270/H270,"0")+IFERROR(V271/H271,"0")</f>
        <v/>
      </c>
      <c r="W272" s="641">
        <f>IFERROR(IF(W264="",0,W264),"0")+IFERROR(IF(W265="",0,W265),"0")+IFERROR(IF(W266="",0,W266),"0")+IFERROR(IF(W267="",0,W267),"0")+IFERROR(IF(W268="",0,W268),"0")+IFERROR(IF(W269="",0,W269),"0")+IFERROR(IF(W270="",0,W270),"0")+IFERROR(IF(W271="",0,W271),"0")</f>
        <v/>
      </c>
      <c r="X272" s="642" t="n"/>
      <c r="Y272" s="642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39" t="n"/>
      <c r="M273" s="640" t="inlineStr">
        <is>
          <t>Итого</t>
        </is>
      </c>
      <c r="N273" s="610" t="n"/>
      <c r="O273" s="610" t="n"/>
      <c r="P273" s="610" t="n"/>
      <c r="Q273" s="610" t="n"/>
      <c r="R273" s="610" t="n"/>
      <c r="S273" s="611" t="n"/>
      <c r="T273" s="43" t="inlineStr">
        <is>
          <t>кг</t>
        </is>
      </c>
      <c r="U273" s="641">
        <f>IFERROR(SUM(U264:U271),"0")</f>
        <v/>
      </c>
      <c r="V273" s="641">
        <f>IFERROR(SUM(V264:V271),"0")</f>
        <v/>
      </c>
      <c r="W273" s="43" t="n"/>
      <c r="X273" s="642" t="n"/>
      <c r="Y273" s="642" t="n"/>
    </row>
    <row r="274" ht="14.25" customHeight="1">
      <c r="A274" s="354" t="inlineStr">
        <is>
          <t>Ветчины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54" t="n"/>
      <c r="Y274" s="354" t="n"/>
    </row>
    <row r="275" ht="27" customHeight="1">
      <c r="A275" s="64" t="inlineStr">
        <is>
          <t>SU000126</t>
        </is>
      </c>
      <c r="B275" s="64" t="inlineStr">
        <is>
          <t>P002555</t>
        </is>
      </c>
      <c r="C275" s="37" t="n">
        <v>4301020178</v>
      </c>
      <c r="D275" s="355" t="n">
        <v>4607091383980</v>
      </c>
      <c r="E275" s="602" t="n"/>
      <c r="F275" s="634" t="n">
        <v>2.5</v>
      </c>
      <c r="G275" s="38" t="n">
        <v>6</v>
      </c>
      <c r="H275" s="634" t="n">
        <v>15</v>
      </c>
      <c r="I275" s="634" t="n">
        <v>15.48</v>
      </c>
      <c r="J275" s="38" t="n">
        <v>48</v>
      </c>
      <c r="K275" s="39" t="inlineStr">
        <is>
          <t>СК1</t>
        </is>
      </c>
      <c r="L275" s="38" t="n">
        <v>50</v>
      </c>
      <c r="M275" s="79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5" s="636" t="n"/>
      <c r="O275" s="636" t="n"/>
      <c r="P275" s="636" t="n"/>
      <c r="Q275" s="602" t="n"/>
      <c r="R275" s="40" t="inlineStr"/>
      <c r="S275" s="40" t="inlineStr"/>
      <c r="T275" s="41" t="inlineStr">
        <is>
          <t>кг</t>
        </is>
      </c>
      <c r="U275" s="637" t="n">
        <v>3200</v>
      </c>
      <c r="V275" s="638">
        <f>IFERROR(IF(U275="",0,CEILING((U275/$H275),1)*$H275),"")</f>
        <v/>
      </c>
      <c r="W275" s="42">
        <f>IFERROR(IF(V275=0,"",ROUNDUP(V275/H275,0)*0.02175),"")</f>
        <v/>
      </c>
      <c r="X275" s="69" t="inlineStr"/>
      <c r="Y275" s="70" t="inlineStr"/>
      <c r="AC275" s="229" t="inlineStr">
        <is>
          <t>КИ</t>
        </is>
      </c>
    </row>
    <row r="276" ht="27" customHeight="1">
      <c r="A276" s="64" t="inlineStr">
        <is>
          <t>SU002027</t>
        </is>
      </c>
      <c r="B276" s="64" t="inlineStr">
        <is>
          <t>P002556</t>
        </is>
      </c>
      <c r="C276" s="37" t="n">
        <v>4301020179</v>
      </c>
      <c r="D276" s="355" t="n">
        <v>4607091384178</v>
      </c>
      <c r="E276" s="602" t="n"/>
      <c r="F276" s="634" t="n">
        <v>0.4</v>
      </c>
      <c r="G276" s="38" t="n">
        <v>10</v>
      </c>
      <c r="H276" s="634" t="n">
        <v>4</v>
      </c>
      <c r="I276" s="634" t="n">
        <v>4.24</v>
      </c>
      <c r="J276" s="38" t="n">
        <v>120</v>
      </c>
      <c r="K276" s="39" t="inlineStr">
        <is>
          <t>СК1</t>
        </is>
      </c>
      <c r="L276" s="38" t="n">
        <v>50</v>
      </c>
      <c r="M276" s="800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76" s="636" t="n"/>
      <c r="O276" s="636" t="n"/>
      <c r="P276" s="636" t="n"/>
      <c r="Q276" s="602" t="n"/>
      <c r="R276" s="40" t="inlineStr"/>
      <c r="S276" s="40" t="inlineStr"/>
      <c r="T276" s="41" t="inlineStr">
        <is>
          <t>кг</t>
        </is>
      </c>
      <c r="U276" s="637" t="n">
        <v>0</v>
      </c>
      <c r="V276" s="638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0" t="inlineStr">
        <is>
          <t>КИ</t>
        </is>
      </c>
    </row>
    <row r="277">
      <c r="A277" s="363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39" t="n"/>
      <c r="M277" s="640" t="inlineStr">
        <is>
          <t>Итого</t>
        </is>
      </c>
      <c r="N277" s="610" t="n"/>
      <c r="O277" s="610" t="n"/>
      <c r="P277" s="610" t="n"/>
      <c r="Q277" s="610" t="n"/>
      <c r="R277" s="610" t="n"/>
      <c r="S277" s="611" t="n"/>
      <c r="T277" s="43" t="inlineStr">
        <is>
          <t>кор</t>
        </is>
      </c>
      <c r="U277" s="641">
        <f>IFERROR(U275/H275,"0")+IFERROR(U276/H276,"0")</f>
        <v/>
      </c>
      <c r="V277" s="641">
        <f>IFERROR(V275/H275,"0")+IFERROR(V276/H276,"0")</f>
        <v/>
      </c>
      <c r="W277" s="641">
        <f>IFERROR(IF(W275="",0,W275),"0")+IFERROR(IF(W276="",0,W276),"0")</f>
        <v/>
      </c>
      <c r="X277" s="642" t="n"/>
      <c r="Y277" s="642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39" t="n"/>
      <c r="M278" s="640" t="inlineStr">
        <is>
          <t>Итого</t>
        </is>
      </c>
      <c r="N278" s="610" t="n"/>
      <c r="O278" s="610" t="n"/>
      <c r="P278" s="610" t="n"/>
      <c r="Q278" s="610" t="n"/>
      <c r="R278" s="610" t="n"/>
      <c r="S278" s="611" t="n"/>
      <c r="T278" s="43" t="inlineStr">
        <is>
          <t>кг</t>
        </is>
      </c>
      <c r="U278" s="641">
        <f>IFERROR(SUM(U275:U276),"0")</f>
        <v/>
      </c>
      <c r="V278" s="641">
        <f>IFERROR(SUM(V275:V276),"0")</f>
        <v/>
      </c>
      <c r="W278" s="43" t="n"/>
      <c r="X278" s="642" t="n"/>
      <c r="Y278" s="642" t="n"/>
    </row>
    <row r="279" ht="14.25" customHeight="1">
      <c r="A279" s="354" t="inlineStr">
        <is>
          <t>Копченые колбасы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54" t="n"/>
      <c r="Y279" s="354" t="n"/>
    </row>
    <row r="280" ht="27" customHeight="1">
      <c r="A280" s="64" t="inlineStr">
        <is>
          <t>SU002364</t>
        </is>
      </c>
      <c r="B280" s="64" t="inlineStr">
        <is>
          <t>P002633</t>
        </is>
      </c>
      <c r="C280" s="37" t="n">
        <v>4301031137</v>
      </c>
      <c r="D280" s="355" t="n">
        <v>4607091384857</v>
      </c>
      <c r="E280" s="602" t="n"/>
      <c r="F280" s="634" t="n">
        <v>0.73</v>
      </c>
      <c r="G280" s="38" t="n">
        <v>6</v>
      </c>
      <c r="H280" s="634" t="n">
        <v>4.38</v>
      </c>
      <c r="I280" s="634" t="n">
        <v>4.58</v>
      </c>
      <c r="J280" s="38" t="n">
        <v>156</v>
      </c>
      <c r="K280" s="39" t="inlineStr">
        <is>
          <t>СК2</t>
        </is>
      </c>
      <c r="L280" s="38" t="n">
        <v>35</v>
      </c>
      <c r="M280" s="801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0" s="636" t="n"/>
      <c r="O280" s="636" t="n"/>
      <c r="P280" s="636" t="n"/>
      <c r="Q280" s="602" t="n"/>
      <c r="R280" s="40" t="inlineStr"/>
      <c r="S280" s="40" t="inlineStr"/>
      <c r="T280" s="41" t="inlineStr">
        <is>
          <t>кг</t>
        </is>
      </c>
      <c r="U280" s="637" t="n">
        <v>0</v>
      </c>
      <c r="V280" s="638">
        <f>IFERROR(IF(U280="",0,CEILING((U280/$H280),1)*$H280),"")</f>
        <v/>
      </c>
      <c r="W280" s="42">
        <f>IFERROR(IF(V280=0,"",ROUNDUP(V280/H280,0)*0.00753),"")</f>
        <v/>
      </c>
      <c r="X280" s="69" t="inlineStr"/>
      <c r="Y280" s="70" t="inlineStr"/>
      <c r="AC280" s="231" t="inlineStr">
        <is>
          <t>КИ</t>
        </is>
      </c>
    </row>
    <row r="281">
      <c r="A281" s="363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39" t="n"/>
      <c r="M281" s="640" t="inlineStr">
        <is>
          <t>Итого</t>
        </is>
      </c>
      <c r="N281" s="610" t="n"/>
      <c r="O281" s="610" t="n"/>
      <c r="P281" s="610" t="n"/>
      <c r="Q281" s="610" t="n"/>
      <c r="R281" s="610" t="n"/>
      <c r="S281" s="611" t="n"/>
      <c r="T281" s="43" t="inlineStr">
        <is>
          <t>кор</t>
        </is>
      </c>
      <c r="U281" s="641">
        <f>IFERROR(U280/H280,"0")</f>
        <v/>
      </c>
      <c r="V281" s="641">
        <f>IFERROR(V280/H280,"0")</f>
        <v/>
      </c>
      <c r="W281" s="641">
        <f>IFERROR(IF(W280="",0,W280),"0")</f>
        <v/>
      </c>
      <c r="X281" s="642" t="n"/>
      <c r="Y281" s="642" t="n"/>
    </row>
    <row r="282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39" t="n"/>
      <c r="M282" s="640" t="inlineStr">
        <is>
          <t>Итого</t>
        </is>
      </c>
      <c r="N282" s="610" t="n"/>
      <c r="O282" s="610" t="n"/>
      <c r="P282" s="610" t="n"/>
      <c r="Q282" s="610" t="n"/>
      <c r="R282" s="610" t="n"/>
      <c r="S282" s="611" t="n"/>
      <c r="T282" s="43" t="inlineStr">
        <is>
          <t>кг</t>
        </is>
      </c>
      <c r="U282" s="641">
        <f>IFERROR(SUM(U280:U280),"0")</f>
        <v/>
      </c>
      <c r="V282" s="641">
        <f>IFERROR(SUM(V280:V280),"0")</f>
        <v/>
      </c>
      <c r="W282" s="43" t="n"/>
      <c r="X282" s="642" t="n"/>
      <c r="Y282" s="642" t="n"/>
    </row>
    <row r="283" ht="14.25" customHeight="1">
      <c r="A283" s="354" t="inlineStr">
        <is>
          <t>Сосиски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54" t="n"/>
      <c r="Y283" s="354" t="n"/>
    </row>
    <row r="284" ht="27" customHeight="1">
      <c r="A284" s="64" t="inlineStr">
        <is>
          <t>SU000246</t>
        </is>
      </c>
      <c r="B284" s="64" t="inlineStr">
        <is>
          <t>P002690</t>
        </is>
      </c>
      <c r="C284" s="37" t="n">
        <v>4301051298</v>
      </c>
      <c r="D284" s="355" t="n">
        <v>4607091384260</v>
      </c>
      <c r="E284" s="602" t="n"/>
      <c r="F284" s="634" t="n">
        <v>1.3</v>
      </c>
      <c r="G284" s="38" t="n">
        <v>6</v>
      </c>
      <c r="H284" s="634" t="n">
        <v>7.8</v>
      </c>
      <c r="I284" s="634" t="n">
        <v>8.364000000000001</v>
      </c>
      <c r="J284" s="38" t="n">
        <v>56</v>
      </c>
      <c r="K284" s="39" t="inlineStr">
        <is>
          <t>СК2</t>
        </is>
      </c>
      <c r="L284" s="38" t="n">
        <v>35</v>
      </c>
      <c r="M284" s="80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4" s="636" t="n"/>
      <c r="O284" s="636" t="n"/>
      <c r="P284" s="636" t="n"/>
      <c r="Q284" s="602" t="n"/>
      <c r="R284" s="40" t="inlineStr"/>
      <c r="S284" s="40" t="inlineStr"/>
      <c r="T284" s="41" t="inlineStr">
        <is>
          <t>кг</t>
        </is>
      </c>
      <c r="U284" s="637" t="n">
        <v>270</v>
      </c>
      <c r="V284" s="638">
        <f>IFERROR(IF(U284="",0,CEILING((U284/$H284),1)*$H284),"")</f>
        <v/>
      </c>
      <c r="W284" s="42">
        <f>IFERROR(IF(V284=0,"",ROUNDUP(V284/H284,0)*0.02175),"")</f>
        <v/>
      </c>
      <c r="X284" s="69" t="inlineStr"/>
      <c r="Y284" s="70" t="inlineStr"/>
      <c r="AC284" s="232" t="inlineStr">
        <is>
          <t>КИ</t>
        </is>
      </c>
    </row>
    <row r="285">
      <c r="A285" s="363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639" t="n"/>
      <c r="M285" s="640" t="inlineStr">
        <is>
          <t>Итого</t>
        </is>
      </c>
      <c r="N285" s="610" t="n"/>
      <c r="O285" s="610" t="n"/>
      <c r="P285" s="610" t="n"/>
      <c r="Q285" s="610" t="n"/>
      <c r="R285" s="610" t="n"/>
      <c r="S285" s="611" t="n"/>
      <c r="T285" s="43" t="inlineStr">
        <is>
          <t>кор</t>
        </is>
      </c>
      <c r="U285" s="641">
        <f>IFERROR(U284/H284,"0")</f>
        <v/>
      </c>
      <c r="V285" s="641">
        <f>IFERROR(V284/H284,"0")</f>
        <v/>
      </c>
      <c r="W285" s="641">
        <f>IFERROR(IF(W284="",0,W284),"0")</f>
        <v/>
      </c>
      <c r="X285" s="642" t="n"/>
      <c r="Y285" s="642" t="n"/>
    </row>
    <row r="286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39" t="n"/>
      <c r="M286" s="640" t="inlineStr">
        <is>
          <t>Итого</t>
        </is>
      </c>
      <c r="N286" s="610" t="n"/>
      <c r="O286" s="610" t="n"/>
      <c r="P286" s="610" t="n"/>
      <c r="Q286" s="610" t="n"/>
      <c r="R286" s="610" t="n"/>
      <c r="S286" s="611" t="n"/>
      <c r="T286" s="43" t="inlineStr">
        <is>
          <t>кг</t>
        </is>
      </c>
      <c r="U286" s="641">
        <f>IFERROR(SUM(U284:U284),"0")</f>
        <v/>
      </c>
      <c r="V286" s="641">
        <f>IFERROR(SUM(V284:V284),"0")</f>
        <v/>
      </c>
      <c r="W286" s="43" t="n"/>
      <c r="X286" s="642" t="n"/>
      <c r="Y286" s="642" t="n"/>
    </row>
    <row r="287" ht="14.25" customHeight="1">
      <c r="A287" s="354" t="inlineStr">
        <is>
          <t>Сардельки</t>
        </is>
      </c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354" t="n"/>
      <c r="Y287" s="354" t="n"/>
    </row>
    <row r="288" ht="16.5" customHeight="1">
      <c r="A288" s="64" t="inlineStr">
        <is>
          <t>SU002287</t>
        </is>
      </c>
      <c r="B288" s="64" t="inlineStr">
        <is>
          <t>P002490</t>
        </is>
      </c>
      <c r="C288" s="37" t="n">
        <v>4301060314</v>
      </c>
      <c r="D288" s="355" t="n">
        <v>4607091384673</v>
      </c>
      <c r="E288" s="602" t="n"/>
      <c r="F288" s="634" t="n">
        <v>1.3</v>
      </c>
      <c r="G288" s="38" t="n">
        <v>6</v>
      </c>
      <c r="H288" s="634" t="n">
        <v>7.8</v>
      </c>
      <c r="I288" s="634" t="n">
        <v>8.364000000000001</v>
      </c>
      <c r="J288" s="38" t="n">
        <v>56</v>
      </c>
      <c r="K288" s="39" t="inlineStr">
        <is>
          <t>СК2</t>
        </is>
      </c>
      <c r="L288" s="38" t="n">
        <v>30</v>
      </c>
      <c r="M288" s="80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88" s="636" t="n"/>
      <c r="O288" s="636" t="n"/>
      <c r="P288" s="636" t="n"/>
      <c r="Q288" s="602" t="n"/>
      <c r="R288" s="40" t="inlineStr"/>
      <c r="S288" s="40" t="inlineStr"/>
      <c r="T288" s="41" t="inlineStr">
        <is>
          <t>кг</t>
        </is>
      </c>
      <c r="U288" s="637" t="n">
        <v>140</v>
      </c>
      <c r="V288" s="638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233" t="inlineStr">
        <is>
          <t>КИ</t>
        </is>
      </c>
    </row>
    <row r="289">
      <c r="A289" s="363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639" t="n"/>
      <c r="M289" s="640" t="inlineStr">
        <is>
          <t>Итого</t>
        </is>
      </c>
      <c r="N289" s="610" t="n"/>
      <c r="O289" s="610" t="n"/>
      <c r="P289" s="610" t="n"/>
      <c r="Q289" s="610" t="n"/>
      <c r="R289" s="610" t="n"/>
      <c r="S289" s="611" t="n"/>
      <c r="T289" s="43" t="inlineStr">
        <is>
          <t>кор</t>
        </is>
      </c>
      <c r="U289" s="641">
        <f>IFERROR(U288/H288,"0")</f>
        <v/>
      </c>
      <c r="V289" s="641">
        <f>IFERROR(V288/H288,"0")</f>
        <v/>
      </c>
      <c r="W289" s="641">
        <f>IFERROR(IF(W288="",0,W288),"0")</f>
        <v/>
      </c>
      <c r="X289" s="642" t="n"/>
      <c r="Y289" s="642" t="n"/>
    </row>
    <row r="290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39" t="n"/>
      <c r="M290" s="640" t="inlineStr">
        <is>
          <t>Итого</t>
        </is>
      </c>
      <c r="N290" s="610" t="n"/>
      <c r="O290" s="610" t="n"/>
      <c r="P290" s="610" t="n"/>
      <c r="Q290" s="610" t="n"/>
      <c r="R290" s="610" t="n"/>
      <c r="S290" s="611" t="n"/>
      <c r="T290" s="43" t="inlineStr">
        <is>
          <t>кг</t>
        </is>
      </c>
      <c r="U290" s="641">
        <f>IFERROR(SUM(U288:U288),"0")</f>
        <v/>
      </c>
      <c r="V290" s="641">
        <f>IFERROR(SUM(V288:V288),"0")</f>
        <v/>
      </c>
      <c r="W290" s="43" t="n"/>
      <c r="X290" s="642" t="n"/>
      <c r="Y290" s="642" t="n"/>
    </row>
    <row r="291" ht="16.5" customHeight="1">
      <c r="A291" s="353" t="inlineStr">
        <is>
          <t>Особая Без свинины</t>
        </is>
      </c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353" t="n"/>
      <c r="Y291" s="353" t="n"/>
    </row>
    <row r="292" ht="14.25" customHeight="1">
      <c r="A292" s="354" t="inlineStr">
        <is>
          <t>Вареные колбасы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54" t="n"/>
      <c r="Y292" s="354" t="n"/>
    </row>
    <row r="293" ht="27" customHeight="1">
      <c r="A293" s="64" t="inlineStr">
        <is>
          <t>SU002073</t>
        </is>
      </c>
      <c r="B293" s="64" t="inlineStr">
        <is>
          <t>P002563</t>
        </is>
      </c>
      <c r="C293" s="37" t="n">
        <v>4301011324</v>
      </c>
      <c r="D293" s="355" t="n">
        <v>4607091384185</v>
      </c>
      <c r="E293" s="602" t="n"/>
      <c r="F293" s="634" t="n">
        <v>0.8</v>
      </c>
      <c r="G293" s="38" t="n">
        <v>15</v>
      </c>
      <c r="H293" s="634" t="n">
        <v>12</v>
      </c>
      <c r="I293" s="634" t="n">
        <v>12.48</v>
      </c>
      <c r="J293" s="38" t="n">
        <v>56</v>
      </c>
      <c r="K293" s="39" t="inlineStr">
        <is>
          <t>СК2</t>
        </is>
      </c>
      <c r="L293" s="38" t="n">
        <v>60</v>
      </c>
      <c r="M293" s="80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3" s="636" t="n"/>
      <c r="O293" s="636" t="n"/>
      <c r="P293" s="636" t="n"/>
      <c r="Q293" s="602" t="n"/>
      <c r="R293" s="40" t="inlineStr"/>
      <c r="S293" s="40" t="inlineStr"/>
      <c r="T293" s="41" t="inlineStr">
        <is>
          <t>кг</t>
        </is>
      </c>
      <c r="U293" s="637" t="n">
        <v>0</v>
      </c>
      <c r="V293" s="638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4" t="inlineStr">
        <is>
          <t>КИ</t>
        </is>
      </c>
    </row>
    <row r="294" ht="27" customHeight="1">
      <c r="A294" s="64" t="inlineStr">
        <is>
          <t>SU002187</t>
        </is>
      </c>
      <c r="B294" s="64" t="inlineStr">
        <is>
          <t>P002559</t>
        </is>
      </c>
      <c r="C294" s="37" t="n">
        <v>4301011312</v>
      </c>
      <c r="D294" s="355" t="n">
        <v>4607091384192</v>
      </c>
      <c r="E294" s="602" t="n"/>
      <c r="F294" s="634" t="n">
        <v>1.8</v>
      </c>
      <c r="G294" s="38" t="n">
        <v>6</v>
      </c>
      <c r="H294" s="634" t="n">
        <v>10.8</v>
      </c>
      <c r="I294" s="634" t="n">
        <v>11.28</v>
      </c>
      <c r="J294" s="38" t="n">
        <v>56</v>
      </c>
      <c r="K294" s="39" t="inlineStr">
        <is>
          <t>СК1</t>
        </is>
      </c>
      <c r="L294" s="38" t="n">
        <v>60</v>
      </c>
      <c r="M294" s="80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4" s="636" t="n"/>
      <c r="O294" s="636" t="n"/>
      <c r="P294" s="636" t="n"/>
      <c r="Q294" s="602" t="n"/>
      <c r="R294" s="40" t="inlineStr"/>
      <c r="S294" s="40" t="inlineStr"/>
      <c r="T294" s="41" t="inlineStr">
        <is>
          <t>кг</t>
        </is>
      </c>
      <c r="U294" s="637" t="n">
        <v>0</v>
      </c>
      <c r="V294" s="638">
        <f>IFERROR(IF(U294="",0,CEILING((U294/$H294),1)*$H294),"")</f>
        <v/>
      </c>
      <c r="W294" s="42">
        <f>IFERROR(IF(V294=0,"",ROUNDUP(V294/H294,0)*0.02175),"")</f>
        <v/>
      </c>
      <c r="X294" s="69" t="inlineStr"/>
      <c r="Y294" s="70" t="inlineStr"/>
      <c r="AC294" s="235" t="inlineStr">
        <is>
          <t>КИ</t>
        </is>
      </c>
    </row>
    <row r="295" ht="27" customHeight="1">
      <c r="A295" s="64" t="inlineStr">
        <is>
          <t>SU002899</t>
        </is>
      </c>
      <c r="B295" s="64" t="inlineStr">
        <is>
          <t>P003323</t>
        </is>
      </c>
      <c r="C295" s="37" t="n">
        <v>4301011483</v>
      </c>
      <c r="D295" s="355" t="n">
        <v>4680115881907</v>
      </c>
      <c r="E295" s="602" t="n"/>
      <c r="F295" s="634" t="n">
        <v>1.8</v>
      </c>
      <c r="G295" s="38" t="n">
        <v>6</v>
      </c>
      <c r="H295" s="634" t="n">
        <v>10.8</v>
      </c>
      <c r="I295" s="634" t="n">
        <v>11.28</v>
      </c>
      <c r="J295" s="38" t="n">
        <v>56</v>
      </c>
      <c r="K295" s="39" t="inlineStr">
        <is>
          <t>СК2</t>
        </is>
      </c>
      <c r="L295" s="38" t="n">
        <v>60</v>
      </c>
      <c r="M295" s="806" t="inlineStr">
        <is>
          <t>Вареные колбасы "Молочная оригинальная" Вес П/а ТМ "Особый рецепт" большой батон</t>
        </is>
      </c>
      <c r="N295" s="636" t="n"/>
      <c r="O295" s="636" t="n"/>
      <c r="P295" s="636" t="n"/>
      <c r="Q295" s="602" t="n"/>
      <c r="R295" s="40" t="inlineStr"/>
      <c r="S295" s="40" t="inlineStr"/>
      <c r="T295" s="41" t="inlineStr">
        <is>
          <t>кг</t>
        </is>
      </c>
      <c r="U295" s="637" t="n">
        <v>0</v>
      </c>
      <c r="V295" s="638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236" t="inlineStr">
        <is>
          <t>КИ</t>
        </is>
      </c>
    </row>
    <row r="296" ht="27" customHeight="1">
      <c r="A296" s="64" t="inlineStr">
        <is>
          <t>SU002462</t>
        </is>
      </c>
      <c r="B296" s="64" t="inlineStr">
        <is>
          <t>P002768</t>
        </is>
      </c>
      <c r="C296" s="37" t="n">
        <v>4301011303</v>
      </c>
      <c r="D296" s="355" t="n">
        <v>4607091384680</v>
      </c>
      <c r="E296" s="602" t="n"/>
      <c r="F296" s="634" t="n">
        <v>0.4</v>
      </c>
      <c r="G296" s="38" t="n">
        <v>10</v>
      </c>
      <c r="H296" s="634" t="n">
        <v>4</v>
      </c>
      <c r="I296" s="634" t="n">
        <v>4.21</v>
      </c>
      <c r="J296" s="38" t="n">
        <v>120</v>
      </c>
      <c r="K296" s="39" t="inlineStr">
        <is>
          <t>СК2</t>
        </is>
      </c>
      <c r="L296" s="38" t="n">
        <v>60</v>
      </c>
      <c r="M296" s="80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96" s="636" t="n"/>
      <c r="O296" s="636" t="n"/>
      <c r="P296" s="636" t="n"/>
      <c r="Q296" s="602" t="n"/>
      <c r="R296" s="40" t="inlineStr"/>
      <c r="S296" s="40" t="inlineStr"/>
      <c r="T296" s="41" t="inlineStr">
        <is>
          <t>кг</t>
        </is>
      </c>
      <c r="U296" s="637" t="n">
        <v>0</v>
      </c>
      <c r="V296" s="638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237" t="inlineStr">
        <is>
          <t>КИ</t>
        </is>
      </c>
    </row>
    <row r="297">
      <c r="A297" s="36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39" t="n"/>
      <c r="M297" s="640" t="inlineStr">
        <is>
          <t>Итого</t>
        </is>
      </c>
      <c r="N297" s="610" t="n"/>
      <c r="O297" s="610" t="n"/>
      <c r="P297" s="610" t="n"/>
      <c r="Q297" s="610" t="n"/>
      <c r="R297" s="610" t="n"/>
      <c r="S297" s="611" t="n"/>
      <c r="T297" s="43" t="inlineStr">
        <is>
          <t>кор</t>
        </is>
      </c>
      <c r="U297" s="641">
        <f>IFERROR(U293/H293,"0")+IFERROR(U294/H294,"0")+IFERROR(U295/H295,"0")+IFERROR(U296/H296,"0")</f>
        <v/>
      </c>
      <c r="V297" s="641">
        <f>IFERROR(V293/H293,"0")+IFERROR(V294/H294,"0")+IFERROR(V295/H295,"0")+IFERROR(V296/H296,"0")</f>
        <v/>
      </c>
      <c r="W297" s="641">
        <f>IFERROR(IF(W293="",0,W293),"0")+IFERROR(IF(W294="",0,W294),"0")+IFERROR(IF(W295="",0,W295),"0")+IFERROR(IF(W296="",0,W296),"0")</f>
        <v/>
      </c>
      <c r="X297" s="642" t="n"/>
      <c r="Y297" s="642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39" t="n"/>
      <c r="M298" s="640" t="inlineStr">
        <is>
          <t>Итого</t>
        </is>
      </c>
      <c r="N298" s="610" t="n"/>
      <c r="O298" s="610" t="n"/>
      <c r="P298" s="610" t="n"/>
      <c r="Q298" s="610" t="n"/>
      <c r="R298" s="610" t="n"/>
      <c r="S298" s="611" t="n"/>
      <c r="T298" s="43" t="inlineStr">
        <is>
          <t>кг</t>
        </is>
      </c>
      <c r="U298" s="641">
        <f>IFERROR(SUM(U293:U296),"0")</f>
        <v/>
      </c>
      <c r="V298" s="641">
        <f>IFERROR(SUM(V293:V296),"0")</f>
        <v/>
      </c>
      <c r="W298" s="43" t="n"/>
      <c r="X298" s="642" t="n"/>
      <c r="Y298" s="642" t="n"/>
    </row>
    <row r="299" ht="14.25" customHeight="1">
      <c r="A299" s="354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54" t="n"/>
      <c r="Y299" s="354" t="n"/>
    </row>
    <row r="300" ht="27" customHeight="1">
      <c r="A300" s="64" t="inlineStr">
        <is>
          <t>SU002360</t>
        </is>
      </c>
      <c r="B300" s="64" t="inlineStr">
        <is>
          <t>P002629</t>
        </is>
      </c>
      <c r="C300" s="37" t="n">
        <v>4301031139</v>
      </c>
      <c r="D300" s="355" t="n">
        <v>4607091384802</v>
      </c>
      <c r="E300" s="602" t="n"/>
      <c r="F300" s="634" t="n">
        <v>0.73</v>
      </c>
      <c r="G300" s="38" t="n">
        <v>6</v>
      </c>
      <c r="H300" s="634" t="n">
        <v>4.38</v>
      </c>
      <c r="I300" s="634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0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0" s="636" t="n"/>
      <c r="O300" s="636" t="n"/>
      <c r="P300" s="636" t="n"/>
      <c r="Q300" s="602" t="n"/>
      <c r="R300" s="40" t="inlineStr"/>
      <c r="S300" s="40" t="inlineStr"/>
      <c r="T300" s="41" t="inlineStr">
        <is>
          <t>кг</t>
        </is>
      </c>
      <c r="U300" s="637" t="n">
        <v>0</v>
      </c>
      <c r="V300" s="638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238" t="inlineStr">
        <is>
          <t>КИ</t>
        </is>
      </c>
    </row>
    <row r="301" ht="27" customHeight="1">
      <c r="A301" s="64" t="inlineStr">
        <is>
          <t>SU002361</t>
        </is>
      </c>
      <c r="B301" s="64" t="inlineStr">
        <is>
          <t>P002630</t>
        </is>
      </c>
      <c r="C301" s="37" t="n">
        <v>4301031140</v>
      </c>
      <c r="D301" s="355" t="n">
        <v>4607091384826</v>
      </c>
      <c r="E301" s="602" t="n"/>
      <c r="F301" s="634" t="n">
        <v>0.35</v>
      </c>
      <c r="G301" s="38" t="n">
        <v>8</v>
      </c>
      <c r="H301" s="634" t="n">
        <v>2.8</v>
      </c>
      <c r="I301" s="634" t="n">
        <v>2.9</v>
      </c>
      <c r="J301" s="38" t="n">
        <v>234</v>
      </c>
      <c r="K301" s="39" t="inlineStr">
        <is>
          <t>СК2</t>
        </is>
      </c>
      <c r="L301" s="38" t="n">
        <v>35</v>
      </c>
      <c r="M301" s="80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1" s="636" t="n"/>
      <c r="O301" s="636" t="n"/>
      <c r="P301" s="636" t="n"/>
      <c r="Q301" s="602" t="n"/>
      <c r="R301" s="40" t="inlineStr"/>
      <c r="S301" s="40" t="inlineStr"/>
      <c r="T301" s="41" t="inlineStr">
        <is>
          <t>кг</t>
        </is>
      </c>
      <c r="U301" s="637" t="n">
        <v>0</v>
      </c>
      <c r="V301" s="638">
        <f>IFERROR(IF(U301="",0,CEILING((U301/$H301),1)*$H301),"")</f>
        <v/>
      </c>
      <c r="W301" s="42">
        <f>IFERROR(IF(V301=0,"",ROUNDUP(V301/H301,0)*0.00502),"")</f>
        <v/>
      </c>
      <c r="X301" s="69" t="inlineStr"/>
      <c r="Y301" s="70" t="inlineStr"/>
      <c r="AC301" s="239" t="inlineStr">
        <is>
          <t>КИ</t>
        </is>
      </c>
    </row>
    <row r="302">
      <c r="A302" s="36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39" t="n"/>
      <c r="M302" s="640" t="inlineStr">
        <is>
          <t>Итого</t>
        </is>
      </c>
      <c r="N302" s="610" t="n"/>
      <c r="O302" s="610" t="n"/>
      <c r="P302" s="610" t="n"/>
      <c r="Q302" s="610" t="n"/>
      <c r="R302" s="610" t="n"/>
      <c r="S302" s="611" t="n"/>
      <c r="T302" s="43" t="inlineStr">
        <is>
          <t>кор</t>
        </is>
      </c>
      <c r="U302" s="641">
        <f>IFERROR(U300/H300,"0")+IFERROR(U301/H301,"0")</f>
        <v/>
      </c>
      <c r="V302" s="641">
        <f>IFERROR(V300/H300,"0")+IFERROR(V301/H301,"0")</f>
        <v/>
      </c>
      <c r="W302" s="641">
        <f>IFERROR(IF(W300="",0,W300),"0")+IFERROR(IF(W301="",0,W301),"0")</f>
        <v/>
      </c>
      <c r="X302" s="642" t="n"/>
      <c r="Y302" s="642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39" t="n"/>
      <c r="M303" s="640" t="inlineStr">
        <is>
          <t>Итого</t>
        </is>
      </c>
      <c r="N303" s="610" t="n"/>
      <c r="O303" s="610" t="n"/>
      <c r="P303" s="610" t="n"/>
      <c r="Q303" s="610" t="n"/>
      <c r="R303" s="610" t="n"/>
      <c r="S303" s="611" t="n"/>
      <c r="T303" s="43" t="inlineStr">
        <is>
          <t>кг</t>
        </is>
      </c>
      <c r="U303" s="641">
        <f>IFERROR(SUM(U300:U301),"0")</f>
        <v/>
      </c>
      <c r="V303" s="641">
        <f>IFERROR(SUM(V300:V301),"0")</f>
        <v/>
      </c>
      <c r="W303" s="43" t="n"/>
      <c r="X303" s="642" t="n"/>
      <c r="Y303" s="642" t="n"/>
    </row>
    <row r="304" ht="14.25" customHeight="1">
      <c r="A304" s="354" t="inlineStr">
        <is>
          <t>Сосиски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54" t="n"/>
      <c r="Y304" s="354" t="n"/>
    </row>
    <row r="305" ht="27" customHeight="1">
      <c r="A305" s="64" t="inlineStr">
        <is>
          <t>SU002896</t>
        </is>
      </c>
      <c r="B305" s="64" t="inlineStr">
        <is>
          <t>P003330</t>
        </is>
      </c>
      <c r="C305" s="37" t="n">
        <v>4301051445</v>
      </c>
      <c r="D305" s="355" t="n">
        <v>4680115881976</v>
      </c>
      <c r="E305" s="602" t="n"/>
      <c r="F305" s="634" t="n">
        <v>1.3</v>
      </c>
      <c r="G305" s="38" t="n">
        <v>6</v>
      </c>
      <c r="H305" s="634" t="n">
        <v>7.8</v>
      </c>
      <c r="I305" s="634" t="n">
        <v>8.279999999999999</v>
      </c>
      <c r="J305" s="38" t="n">
        <v>56</v>
      </c>
      <c r="K305" s="39" t="inlineStr">
        <is>
          <t>СК2</t>
        </is>
      </c>
      <c r="L305" s="38" t="n">
        <v>40</v>
      </c>
      <c r="M305" s="810" t="inlineStr">
        <is>
          <t>Сосиски "Сочные без свинины" Весовые ТМ "Особый рецепт" 1,3 кг</t>
        </is>
      </c>
      <c r="N305" s="636" t="n"/>
      <c r="O305" s="636" t="n"/>
      <c r="P305" s="636" t="n"/>
      <c r="Q305" s="602" t="n"/>
      <c r="R305" s="40" t="inlineStr"/>
      <c r="S305" s="40" t="inlineStr"/>
      <c r="T305" s="41" t="inlineStr">
        <is>
          <t>кг</t>
        </is>
      </c>
      <c r="U305" s="637" t="n">
        <v>0</v>
      </c>
      <c r="V305" s="638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>
        <is>
          <t>Новинка</t>
        </is>
      </c>
      <c r="AC305" s="240" t="inlineStr">
        <is>
          <t>КИ</t>
        </is>
      </c>
    </row>
    <row r="306" ht="27" customHeight="1">
      <c r="A306" s="64" t="inlineStr">
        <is>
          <t>SU002895</t>
        </is>
      </c>
      <c r="B306" s="64" t="inlineStr">
        <is>
          <t>P003329</t>
        </is>
      </c>
      <c r="C306" s="37" t="n">
        <v>4301051444</v>
      </c>
      <c r="D306" s="355" t="n">
        <v>4680115881969</v>
      </c>
      <c r="E306" s="602" t="n"/>
      <c r="F306" s="634" t="n">
        <v>0.4</v>
      </c>
      <c r="G306" s="38" t="n">
        <v>6</v>
      </c>
      <c r="H306" s="634" t="n">
        <v>2.4</v>
      </c>
      <c r="I306" s="634" t="n">
        <v>2.6</v>
      </c>
      <c r="J306" s="38" t="n">
        <v>156</v>
      </c>
      <c r="K306" s="39" t="inlineStr">
        <is>
          <t>СК2</t>
        </is>
      </c>
      <c r="L306" s="38" t="n">
        <v>40</v>
      </c>
      <c r="M306" s="811" t="inlineStr">
        <is>
          <t>Сосиски "Сочные без свинины" ф/в 0,4 кг ТМ "Особый рецепт"</t>
        </is>
      </c>
      <c r="N306" s="636" t="n"/>
      <c r="O306" s="636" t="n"/>
      <c r="P306" s="636" t="n"/>
      <c r="Q306" s="602" t="n"/>
      <c r="R306" s="40" t="inlineStr"/>
      <c r="S306" s="40" t="inlineStr"/>
      <c r="T306" s="41" t="inlineStr">
        <is>
          <t>кг</t>
        </is>
      </c>
      <c r="U306" s="637" t="n">
        <v>0</v>
      </c>
      <c r="V306" s="638">
        <f>IFERROR(IF(U306="",0,CEILING((U306/$H306),1)*$H306),"")</f>
        <v/>
      </c>
      <c r="W306" s="42">
        <f>IFERROR(IF(V306=0,"",ROUNDUP(V306/H306,0)*0.00753),"")</f>
        <v/>
      </c>
      <c r="X306" s="69" t="inlineStr"/>
      <c r="Y306" s="70" t="inlineStr">
        <is>
          <t>Новинка</t>
        </is>
      </c>
      <c r="AC306" s="241" t="inlineStr">
        <is>
          <t>КИ</t>
        </is>
      </c>
    </row>
    <row r="307" ht="27" customHeight="1">
      <c r="A307" s="64" t="inlineStr">
        <is>
          <t>SU002074</t>
        </is>
      </c>
      <c r="B307" s="64" t="inlineStr">
        <is>
          <t>P002693</t>
        </is>
      </c>
      <c r="C307" s="37" t="n">
        <v>4301051303</v>
      </c>
      <c r="D307" s="355" t="n">
        <v>4607091384246</v>
      </c>
      <c r="E307" s="602" t="n"/>
      <c r="F307" s="634" t="n">
        <v>1.3</v>
      </c>
      <c r="G307" s="38" t="n">
        <v>6</v>
      </c>
      <c r="H307" s="634" t="n">
        <v>7.8</v>
      </c>
      <c r="I307" s="634" t="n">
        <v>8.364000000000001</v>
      </c>
      <c r="J307" s="38" t="n">
        <v>56</v>
      </c>
      <c r="K307" s="39" t="inlineStr">
        <is>
          <t>СК2</t>
        </is>
      </c>
      <c r="L307" s="38" t="n">
        <v>40</v>
      </c>
      <c r="M307" s="81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7" s="636" t="n"/>
      <c r="O307" s="636" t="n"/>
      <c r="P307" s="636" t="n"/>
      <c r="Q307" s="602" t="n"/>
      <c r="R307" s="40" t="inlineStr"/>
      <c r="S307" s="40" t="inlineStr"/>
      <c r="T307" s="41" t="inlineStr">
        <is>
          <t>кг</t>
        </is>
      </c>
      <c r="U307" s="637" t="n">
        <v>70</v>
      </c>
      <c r="V307" s="638">
        <f>IFERROR(IF(U307="",0,CEILING((U307/$H307),1)*$H307),"")</f>
        <v/>
      </c>
      <c r="W307" s="42">
        <f>IFERROR(IF(V307=0,"",ROUNDUP(V307/H307,0)*0.02175),"")</f>
        <v/>
      </c>
      <c r="X307" s="69" t="inlineStr"/>
      <c r="Y307" s="70" t="inlineStr"/>
      <c r="AC307" s="242" t="inlineStr">
        <is>
          <t>КИ</t>
        </is>
      </c>
    </row>
    <row r="308" ht="27" customHeight="1">
      <c r="A308" s="64" t="inlineStr">
        <is>
          <t>SU002205</t>
        </is>
      </c>
      <c r="B308" s="64" t="inlineStr">
        <is>
          <t>P002694</t>
        </is>
      </c>
      <c r="C308" s="37" t="n">
        <v>4301051297</v>
      </c>
      <c r="D308" s="355" t="n">
        <v>4607091384253</v>
      </c>
      <c r="E308" s="602" t="n"/>
      <c r="F308" s="634" t="n">
        <v>0.4</v>
      </c>
      <c r="G308" s="38" t="n">
        <v>6</v>
      </c>
      <c r="H308" s="634" t="n">
        <v>2.4</v>
      </c>
      <c r="I308" s="634" t="n">
        <v>2.684</v>
      </c>
      <c r="J308" s="38" t="n">
        <v>156</v>
      </c>
      <c r="K308" s="39" t="inlineStr">
        <is>
          <t>СК2</t>
        </is>
      </c>
      <c r="L308" s="38" t="n">
        <v>40</v>
      </c>
      <c r="M308" s="813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08" s="636" t="n"/>
      <c r="O308" s="636" t="n"/>
      <c r="P308" s="636" t="n"/>
      <c r="Q308" s="602" t="n"/>
      <c r="R308" s="40" t="inlineStr"/>
      <c r="S308" s="40" t="inlineStr"/>
      <c r="T308" s="41" t="inlineStr">
        <is>
          <t>кг</t>
        </is>
      </c>
      <c r="U308" s="637" t="n">
        <v>0</v>
      </c>
      <c r="V308" s="638">
        <f>IFERROR(IF(U308="",0,CEILING((U308/$H308),1)*$H308),"")</f>
        <v/>
      </c>
      <c r="W308" s="42">
        <f>IFERROR(IF(V308=0,"",ROUNDUP(V308/H308,0)*0.00753),"")</f>
        <v/>
      </c>
      <c r="X308" s="69" t="inlineStr"/>
      <c r="Y308" s="70" t="inlineStr"/>
      <c r="AC308" s="243" t="inlineStr">
        <is>
          <t>КИ</t>
        </is>
      </c>
    </row>
    <row r="309">
      <c r="A309" s="36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39" t="n"/>
      <c r="M309" s="640" t="inlineStr">
        <is>
          <t>Итого</t>
        </is>
      </c>
      <c r="N309" s="610" t="n"/>
      <c r="O309" s="610" t="n"/>
      <c r="P309" s="610" t="n"/>
      <c r="Q309" s="610" t="n"/>
      <c r="R309" s="610" t="n"/>
      <c r="S309" s="611" t="n"/>
      <c r="T309" s="43" t="inlineStr">
        <is>
          <t>кор</t>
        </is>
      </c>
      <c r="U309" s="641">
        <f>IFERROR(U305/H305,"0")+IFERROR(U306/H306,"0")+IFERROR(U307/H307,"0")+IFERROR(U308/H308,"0")</f>
        <v/>
      </c>
      <c r="V309" s="641">
        <f>IFERROR(V305/H305,"0")+IFERROR(V306/H306,"0")+IFERROR(V307/H307,"0")+IFERROR(V308/H308,"0")</f>
        <v/>
      </c>
      <c r="W309" s="641">
        <f>IFERROR(IF(W305="",0,W305),"0")+IFERROR(IF(W306="",0,W306),"0")+IFERROR(IF(W307="",0,W307),"0")+IFERROR(IF(W308="",0,W308),"0")</f>
        <v/>
      </c>
      <c r="X309" s="642" t="n"/>
      <c r="Y309" s="642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39" t="n"/>
      <c r="M310" s="640" t="inlineStr">
        <is>
          <t>Итого</t>
        </is>
      </c>
      <c r="N310" s="610" t="n"/>
      <c r="O310" s="610" t="n"/>
      <c r="P310" s="610" t="n"/>
      <c r="Q310" s="610" t="n"/>
      <c r="R310" s="610" t="n"/>
      <c r="S310" s="611" t="n"/>
      <c r="T310" s="43" t="inlineStr">
        <is>
          <t>кг</t>
        </is>
      </c>
      <c r="U310" s="641">
        <f>IFERROR(SUM(U305:U308),"0")</f>
        <v/>
      </c>
      <c r="V310" s="641">
        <f>IFERROR(SUM(V305:V308),"0")</f>
        <v/>
      </c>
      <c r="W310" s="43" t="n"/>
      <c r="X310" s="642" t="n"/>
      <c r="Y310" s="642" t="n"/>
    </row>
    <row r="311" ht="14.25" customHeight="1">
      <c r="A311" s="354" t="inlineStr">
        <is>
          <t>Сардельки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54" t="n"/>
      <c r="Y311" s="354" t="n"/>
    </row>
    <row r="312" ht="27" customHeight="1">
      <c r="A312" s="64" t="inlineStr">
        <is>
          <t>SU002472</t>
        </is>
      </c>
      <c r="B312" s="64" t="inlineStr">
        <is>
          <t>P002973</t>
        </is>
      </c>
      <c r="C312" s="37" t="n">
        <v>4301060322</v>
      </c>
      <c r="D312" s="355" t="n">
        <v>4607091389357</v>
      </c>
      <c r="E312" s="602" t="n"/>
      <c r="F312" s="634" t="n">
        <v>1.3</v>
      </c>
      <c r="G312" s="38" t="n">
        <v>6</v>
      </c>
      <c r="H312" s="634" t="n">
        <v>7.8</v>
      </c>
      <c r="I312" s="634" t="n">
        <v>8.279999999999999</v>
      </c>
      <c r="J312" s="38" t="n">
        <v>56</v>
      </c>
      <c r="K312" s="39" t="inlineStr">
        <is>
          <t>СК2</t>
        </is>
      </c>
      <c r="L312" s="38" t="n">
        <v>40</v>
      </c>
      <c r="M312" s="814" t="inlineStr">
        <is>
          <t>Сардельки Левантские Особая Без свинины Весовые NDX мгс Особый рецепт</t>
        </is>
      </c>
      <c r="N312" s="636" t="n"/>
      <c r="O312" s="636" t="n"/>
      <c r="P312" s="636" t="n"/>
      <c r="Q312" s="602" t="n"/>
      <c r="R312" s="40" t="inlineStr"/>
      <c r="S312" s="40" t="inlineStr"/>
      <c r="T312" s="41" t="inlineStr">
        <is>
          <t>кг</t>
        </is>
      </c>
      <c r="U312" s="637" t="n">
        <v>0</v>
      </c>
      <c r="V312" s="638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244" t="inlineStr">
        <is>
          <t>КИ</t>
        </is>
      </c>
    </row>
    <row r="313">
      <c r="A313" s="363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39" t="n"/>
      <c r="M313" s="640" t="inlineStr">
        <is>
          <t>Итого</t>
        </is>
      </c>
      <c r="N313" s="610" t="n"/>
      <c r="O313" s="610" t="n"/>
      <c r="P313" s="610" t="n"/>
      <c r="Q313" s="610" t="n"/>
      <c r="R313" s="610" t="n"/>
      <c r="S313" s="611" t="n"/>
      <c r="T313" s="43" t="inlineStr">
        <is>
          <t>кор</t>
        </is>
      </c>
      <c r="U313" s="641">
        <f>IFERROR(U312/H312,"0")</f>
        <v/>
      </c>
      <c r="V313" s="641">
        <f>IFERROR(V312/H312,"0")</f>
        <v/>
      </c>
      <c r="W313" s="641">
        <f>IFERROR(IF(W312="",0,W312),"0")</f>
        <v/>
      </c>
      <c r="X313" s="642" t="n"/>
      <c r="Y313" s="642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39" t="n"/>
      <c r="M314" s="640" t="inlineStr">
        <is>
          <t>Итого</t>
        </is>
      </c>
      <c r="N314" s="610" t="n"/>
      <c r="O314" s="610" t="n"/>
      <c r="P314" s="610" t="n"/>
      <c r="Q314" s="610" t="n"/>
      <c r="R314" s="610" t="n"/>
      <c r="S314" s="611" t="n"/>
      <c r="T314" s="43" t="inlineStr">
        <is>
          <t>кг</t>
        </is>
      </c>
      <c r="U314" s="641">
        <f>IFERROR(SUM(U312:U312),"0")</f>
        <v/>
      </c>
      <c r="V314" s="641">
        <f>IFERROR(SUM(V312:V312),"0")</f>
        <v/>
      </c>
      <c r="W314" s="43" t="n"/>
      <c r="X314" s="642" t="n"/>
      <c r="Y314" s="642" t="n"/>
    </row>
    <row r="315" ht="27.75" customHeight="1">
      <c r="A315" s="352" t="inlineStr">
        <is>
          <t>Баварушка</t>
        </is>
      </c>
      <c r="B315" s="633" t="n"/>
      <c r="C315" s="633" t="n"/>
      <c r="D315" s="633" t="n"/>
      <c r="E315" s="633" t="n"/>
      <c r="F315" s="633" t="n"/>
      <c r="G315" s="633" t="n"/>
      <c r="H315" s="633" t="n"/>
      <c r="I315" s="633" t="n"/>
      <c r="J315" s="633" t="n"/>
      <c r="K315" s="633" t="n"/>
      <c r="L315" s="633" t="n"/>
      <c r="M315" s="633" t="n"/>
      <c r="N315" s="633" t="n"/>
      <c r="O315" s="633" t="n"/>
      <c r="P315" s="633" t="n"/>
      <c r="Q315" s="633" t="n"/>
      <c r="R315" s="633" t="n"/>
      <c r="S315" s="633" t="n"/>
      <c r="T315" s="633" t="n"/>
      <c r="U315" s="633" t="n"/>
      <c r="V315" s="633" t="n"/>
      <c r="W315" s="633" t="n"/>
      <c r="X315" s="55" t="n"/>
      <c r="Y315" s="55" t="n"/>
    </row>
    <row r="316" ht="16.5" customHeight="1">
      <c r="A316" s="353" t="inlineStr">
        <is>
          <t>Филейбургская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53" t="n"/>
      <c r="Y316" s="353" t="n"/>
    </row>
    <row r="317" ht="14.25" customHeight="1">
      <c r="A317" s="354" t="inlineStr">
        <is>
          <t>Вареные колбасы</t>
        </is>
      </c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354" t="n"/>
      <c r="Y317" s="354" t="n"/>
    </row>
    <row r="318" ht="27" customHeight="1">
      <c r="A318" s="64" t="inlineStr">
        <is>
          <t>SU002477</t>
        </is>
      </c>
      <c r="B318" s="64" t="inlineStr">
        <is>
          <t>P003148</t>
        </is>
      </c>
      <c r="C318" s="37" t="n">
        <v>4301011428</v>
      </c>
      <c r="D318" s="355" t="n">
        <v>4607091389708</v>
      </c>
      <c r="E318" s="602" t="n"/>
      <c r="F318" s="634" t="n">
        <v>0.45</v>
      </c>
      <c r="G318" s="38" t="n">
        <v>6</v>
      </c>
      <c r="H318" s="634" t="n">
        <v>2.7</v>
      </c>
      <c r="I318" s="634" t="n">
        <v>2.9</v>
      </c>
      <c r="J318" s="38" t="n">
        <v>156</v>
      </c>
      <c r="K318" s="39" t="inlineStr">
        <is>
          <t>СК1</t>
        </is>
      </c>
      <c r="L318" s="38" t="n">
        <v>50</v>
      </c>
      <c r="M318" s="81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18" s="636" t="n"/>
      <c r="O318" s="636" t="n"/>
      <c r="P318" s="636" t="n"/>
      <c r="Q318" s="602" t="n"/>
      <c r="R318" s="40" t="inlineStr"/>
      <c r="S318" s="40" t="inlineStr"/>
      <c r="T318" s="41" t="inlineStr">
        <is>
          <t>кг</t>
        </is>
      </c>
      <c r="U318" s="637" t="n">
        <v>0</v>
      </c>
      <c r="V318" s="638">
        <f>IFERROR(IF(U318="",0,CEILING((U318/$H318),1)*$H318),"")</f>
        <v/>
      </c>
      <c r="W318" s="42">
        <f>IFERROR(IF(V318=0,"",ROUNDUP(V318/H318,0)*0.00753),"")</f>
        <v/>
      </c>
      <c r="X318" s="69" t="inlineStr"/>
      <c r="Y318" s="70" t="inlineStr"/>
      <c r="AC318" s="245" t="inlineStr">
        <is>
          <t>КИ</t>
        </is>
      </c>
    </row>
    <row r="319" ht="27" customHeight="1">
      <c r="A319" s="64" t="inlineStr">
        <is>
          <t>SU002476</t>
        </is>
      </c>
      <c r="B319" s="64" t="inlineStr">
        <is>
          <t>P003147</t>
        </is>
      </c>
      <c r="C319" s="37" t="n">
        <v>4301011427</v>
      </c>
      <c r="D319" s="355" t="n">
        <v>4607091389692</v>
      </c>
      <c r="E319" s="602" t="n"/>
      <c r="F319" s="634" t="n">
        <v>0.45</v>
      </c>
      <c r="G319" s="38" t="n">
        <v>6</v>
      </c>
      <c r="H319" s="634" t="n">
        <v>2.7</v>
      </c>
      <c r="I319" s="634" t="n">
        <v>2.9</v>
      </c>
      <c r="J319" s="38" t="n">
        <v>156</v>
      </c>
      <c r="K319" s="39" t="inlineStr">
        <is>
          <t>СК1</t>
        </is>
      </c>
      <c r="L319" s="38" t="n">
        <v>50</v>
      </c>
      <c r="M319" s="816" t="inlineStr">
        <is>
          <t>Вареные колбасы Филейбургская Филейбургская Фикс.Вес 0,45 П/а Баварушка</t>
        </is>
      </c>
      <c r="N319" s="636" t="n"/>
      <c r="O319" s="636" t="n"/>
      <c r="P319" s="636" t="n"/>
      <c r="Q319" s="602" t="n"/>
      <c r="R319" s="40" t="inlineStr"/>
      <c r="S319" s="40" t="inlineStr"/>
      <c r="T319" s="41" t="inlineStr">
        <is>
          <t>кг</t>
        </is>
      </c>
      <c r="U319" s="637" t="n">
        <v>0</v>
      </c>
      <c r="V319" s="638">
        <f>IFERROR(IF(U319="",0,CEILING((U319/$H319),1)*$H319),"")</f>
        <v/>
      </c>
      <c r="W319" s="42">
        <f>IFERROR(IF(V319=0,"",ROUNDUP(V319/H319,0)*0.00753),"")</f>
        <v/>
      </c>
      <c r="X319" s="69" t="inlineStr"/>
      <c r="Y319" s="70" t="inlineStr"/>
      <c r="AC319" s="246" t="inlineStr">
        <is>
          <t>КИ</t>
        </is>
      </c>
    </row>
    <row r="320">
      <c r="A320" s="363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39" t="n"/>
      <c r="M320" s="640" t="inlineStr">
        <is>
          <t>Итого</t>
        </is>
      </c>
      <c r="N320" s="610" t="n"/>
      <c r="O320" s="610" t="n"/>
      <c r="P320" s="610" t="n"/>
      <c r="Q320" s="610" t="n"/>
      <c r="R320" s="610" t="n"/>
      <c r="S320" s="611" t="n"/>
      <c r="T320" s="43" t="inlineStr">
        <is>
          <t>кор</t>
        </is>
      </c>
      <c r="U320" s="641">
        <f>IFERROR(U318/H318,"0")+IFERROR(U319/H319,"0")</f>
        <v/>
      </c>
      <c r="V320" s="641">
        <f>IFERROR(V318/H318,"0")+IFERROR(V319/H319,"0")</f>
        <v/>
      </c>
      <c r="W320" s="641">
        <f>IFERROR(IF(W318="",0,W318),"0")+IFERROR(IF(W319="",0,W319),"0")</f>
        <v/>
      </c>
      <c r="X320" s="642" t="n"/>
      <c r="Y320" s="642" t="n"/>
    </row>
    <row r="321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639" t="n"/>
      <c r="M321" s="640" t="inlineStr">
        <is>
          <t>Итого</t>
        </is>
      </c>
      <c r="N321" s="610" t="n"/>
      <c r="O321" s="610" t="n"/>
      <c r="P321" s="610" t="n"/>
      <c r="Q321" s="610" t="n"/>
      <c r="R321" s="610" t="n"/>
      <c r="S321" s="611" t="n"/>
      <c r="T321" s="43" t="inlineStr">
        <is>
          <t>кг</t>
        </is>
      </c>
      <c r="U321" s="641">
        <f>IFERROR(SUM(U318:U319),"0")</f>
        <v/>
      </c>
      <c r="V321" s="641">
        <f>IFERROR(SUM(V318:V319),"0")</f>
        <v/>
      </c>
      <c r="W321" s="43" t="n"/>
      <c r="X321" s="642" t="n"/>
      <c r="Y321" s="642" t="n"/>
    </row>
    <row r="322" ht="14.25" customHeight="1">
      <c r="A322" s="354" t="inlineStr">
        <is>
          <t>Копченые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54" t="n"/>
      <c r="Y322" s="354" t="n"/>
    </row>
    <row r="323" ht="27" customHeight="1">
      <c r="A323" s="64" t="inlineStr">
        <is>
          <t>SU002614</t>
        </is>
      </c>
      <c r="B323" s="64" t="inlineStr">
        <is>
          <t>P003138</t>
        </is>
      </c>
      <c r="C323" s="37" t="n">
        <v>4301031177</v>
      </c>
      <c r="D323" s="355" t="n">
        <v>4607091389753</v>
      </c>
      <c r="E323" s="602" t="n"/>
      <c r="F323" s="634" t="n">
        <v>0.7</v>
      </c>
      <c r="G323" s="38" t="n">
        <v>6</v>
      </c>
      <c r="H323" s="634" t="n">
        <v>4.2</v>
      </c>
      <c r="I323" s="634" t="n">
        <v>4.43</v>
      </c>
      <c r="J323" s="38" t="n">
        <v>156</v>
      </c>
      <c r="K323" s="39" t="inlineStr">
        <is>
          <t>СК2</t>
        </is>
      </c>
      <c r="L323" s="38" t="n">
        <v>45</v>
      </c>
      <c r="M323" s="81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3" s="636" t="n"/>
      <c r="O323" s="636" t="n"/>
      <c r="P323" s="636" t="n"/>
      <c r="Q323" s="602" t="n"/>
      <c r="R323" s="40" t="inlineStr"/>
      <c r="S323" s="40" t="inlineStr"/>
      <c r="T323" s="41" t="inlineStr">
        <is>
          <t>кг</t>
        </is>
      </c>
      <c r="U323" s="637" t="n">
        <v>0</v>
      </c>
      <c r="V323" s="638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47" t="inlineStr">
        <is>
          <t>КИ</t>
        </is>
      </c>
    </row>
    <row r="324" ht="27" customHeight="1">
      <c r="A324" s="64" t="inlineStr">
        <is>
          <t>SU002615</t>
        </is>
      </c>
      <c r="B324" s="64" t="inlineStr">
        <is>
          <t>P003136</t>
        </is>
      </c>
      <c r="C324" s="37" t="n">
        <v>4301031174</v>
      </c>
      <c r="D324" s="355" t="n">
        <v>4607091389760</v>
      </c>
      <c r="E324" s="602" t="n"/>
      <c r="F324" s="634" t="n">
        <v>0.7</v>
      </c>
      <c r="G324" s="38" t="n">
        <v>6</v>
      </c>
      <c r="H324" s="634" t="n">
        <v>4.2</v>
      </c>
      <c r="I324" s="634" t="n">
        <v>4.43</v>
      </c>
      <c r="J324" s="38" t="n">
        <v>156</v>
      </c>
      <c r="K324" s="39" t="inlineStr">
        <is>
          <t>СК2</t>
        </is>
      </c>
      <c r="L324" s="38" t="n">
        <v>45</v>
      </c>
      <c r="M324" s="81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24" s="636" t="n"/>
      <c r="O324" s="636" t="n"/>
      <c r="P324" s="636" t="n"/>
      <c r="Q324" s="602" t="n"/>
      <c r="R324" s="40" t="inlineStr"/>
      <c r="S324" s="40" t="inlineStr"/>
      <c r="T324" s="41" t="inlineStr">
        <is>
          <t>кг</t>
        </is>
      </c>
      <c r="U324" s="637" t="n">
        <v>0</v>
      </c>
      <c r="V324" s="638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48" t="inlineStr">
        <is>
          <t>КИ</t>
        </is>
      </c>
    </row>
    <row r="325" ht="27" customHeight="1">
      <c r="A325" s="64" t="inlineStr">
        <is>
          <t>SU002613</t>
        </is>
      </c>
      <c r="B325" s="64" t="inlineStr">
        <is>
          <t>P003133</t>
        </is>
      </c>
      <c r="C325" s="37" t="n">
        <v>4301031175</v>
      </c>
      <c r="D325" s="355" t="n">
        <v>4607091389746</v>
      </c>
      <c r="E325" s="602" t="n"/>
      <c r="F325" s="634" t="n">
        <v>0.7</v>
      </c>
      <c r="G325" s="38" t="n">
        <v>6</v>
      </c>
      <c r="H325" s="634" t="n">
        <v>4.2</v>
      </c>
      <c r="I325" s="634" t="n">
        <v>4.43</v>
      </c>
      <c r="J325" s="38" t="n">
        <v>156</v>
      </c>
      <c r="K325" s="39" t="inlineStr">
        <is>
          <t>СК2</t>
        </is>
      </c>
      <c r="L325" s="38" t="n">
        <v>45</v>
      </c>
      <c r="M325" s="81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25" s="636" t="n"/>
      <c r="O325" s="636" t="n"/>
      <c r="P325" s="636" t="n"/>
      <c r="Q325" s="602" t="n"/>
      <c r="R325" s="40" t="inlineStr"/>
      <c r="S325" s="40" t="inlineStr"/>
      <c r="T325" s="41" t="inlineStr">
        <is>
          <t>кг</t>
        </is>
      </c>
      <c r="U325" s="637" t="n">
        <v>655</v>
      </c>
      <c r="V325" s="638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249" t="inlineStr">
        <is>
          <t>КИ</t>
        </is>
      </c>
    </row>
    <row r="326" ht="27" customHeight="1">
      <c r="A326" s="64" t="inlineStr">
        <is>
          <t>SU002538</t>
        </is>
      </c>
      <c r="B326" s="64" t="inlineStr">
        <is>
          <t>P003139</t>
        </is>
      </c>
      <c r="C326" s="37" t="n">
        <v>4301031178</v>
      </c>
      <c r="D326" s="355" t="n">
        <v>4607091384338</v>
      </c>
      <c r="E326" s="602" t="n"/>
      <c r="F326" s="634" t="n">
        <v>0.35</v>
      </c>
      <c r="G326" s="38" t="n">
        <v>6</v>
      </c>
      <c r="H326" s="634" t="n">
        <v>2.1</v>
      </c>
      <c r="I326" s="634" t="n">
        <v>2.23</v>
      </c>
      <c r="J326" s="38" t="n">
        <v>234</v>
      </c>
      <c r="K326" s="39" t="inlineStr">
        <is>
          <t>СК2</t>
        </is>
      </c>
      <c r="L326" s="38" t="n">
        <v>45</v>
      </c>
      <c r="M326" s="820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26" s="636" t="n"/>
      <c r="O326" s="636" t="n"/>
      <c r="P326" s="636" t="n"/>
      <c r="Q326" s="602" t="n"/>
      <c r="R326" s="40" t="inlineStr"/>
      <c r="S326" s="40" t="inlineStr"/>
      <c r="T326" s="41" t="inlineStr">
        <is>
          <t>кг</t>
        </is>
      </c>
      <c r="U326" s="637" t="n">
        <v>0</v>
      </c>
      <c r="V326" s="638">
        <f>IFERROR(IF(U326="",0,CEILING((U326/$H326),1)*$H326),"")</f>
        <v/>
      </c>
      <c r="W326" s="42">
        <f>IFERROR(IF(V326=0,"",ROUNDUP(V326/H326,0)*0.00502),"")</f>
        <v/>
      </c>
      <c r="X326" s="69" t="inlineStr"/>
      <c r="Y326" s="70" t="inlineStr"/>
      <c r="AC326" s="250" t="inlineStr">
        <is>
          <t>КИ</t>
        </is>
      </c>
    </row>
    <row r="327" ht="37.5" customHeight="1">
      <c r="A327" s="64" t="inlineStr">
        <is>
          <t>SU002602</t>
        </is>
      </c>
      <c r="B327" s="64" t="inlineStr">
        <is>
          <t>P003132</t>
        </is>
      </c>
      <c r="C327" s="37" t="n">
        <v>4301031171</v>
      </c>
      <c r="D327" s="355" t="n">
        <v>4607091389524</v>
      </c>
      <c r="E327" s="602" t="n"/>
      <c r="F327" s="634" t="n">
        <v>0.35</v>
      </c>
      <c r="G327" s="38" t="n">
        <v>6</v>
      </c>
      <c r="H327" s="634" t="n">
        <v>2.1</v>
      </c>
      <c r="I327" s="634" t="n">
        <v>2.23</v>
      </c>
      <c r="J327" s="38" t="n">
        <v>234</v>
      </c>
      <c r="K327" s="39" t="inlineStr">
        <is>
          <t>СК2</t>
        </is>
      </c>
      <c r="L327" s="38" t="n">
        <v>45</v>
      </c>
      <c r="M327" s="82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27" s="636" t="n"/>
      <c r="O327" s="636" t="n"/>
      <c r="P327" s="636" t="n"/>
      <c r="Q327" s="602" t="n"/>
      <c r="R327" s="40" t="inlineStr"/>
      <c r="S327" s="40" t="inlineStr"/>
      <c r="T327" s="41" t="inlineStr">
        <is>
          <t>кг</t>
        </is>
      </c>
      <c r="U327" s="637" t="n">
        <v>0</v>
      </c>
      <c r="V327" s="638">
        <f>IFERROR(IF(U327="",0,CEILING((U327/$H327),1)*$H327),"")</f>
        <v/>
      </c>
      <c r="W327" s="42">
        <f>IFERROR(IF(V327=0,"",ROUNDUP(V327/H327,0)*0.00502),"")</f>
        <v/>
      </c>
      <c r="X327" s="69" t="inlineStr"/>
      <c r="Y327" s="70" t="inlineStr"/>
      <c r="AC327" s="251" t="inlineStr">
        <is>
          <t>КИ</t>
        </is>
      </c>
    </row>
    <row r="328" ht="27" customHeight="1">
      <c r="A328" s="64" t="inlineStr">
        <is>
          <t>SU002603</t>
        </is>
      </c>
      <c r="B328" s="64" t="inlineStr">
        <is>
          <t>P003131</t>
        </is>
      </c>
      <c r="C328" s="37" t="n">
        <v>4301031170</v>
      </c>
      <c r="D328" s="355" t="n">
        <v>4607091384345</v>
      </c>
      <c r="E328" s="602" t="n"/>
      <c r="F328" s="634" t="n">
        <v>0.35</v>
      </c>
      <c r="G328" s="38" t="n">
        <v>6</v>
      </c>
      <c r="H328" s="634" t="n">
        <v>2.1</v>
      </c>
      <c r="I328" s="634" t="n">
        <v>2.23</v>
      </c>
      <c r="J328" s="38" t="n">
        <v>234</v>
      </c>
      <c r="K328" s="39" t="inlineStr">
        <is>
          <t>СК2</t>
        </is>
      </c>
      <c r="L328" s="38" t="n">
        <v>45</v>
      </c>
      <c r="M328" s="822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28" s="636" t="n"/>
      <c r="O328" s="636" t="n"/>
      <c r="P328" s="636" t="n"/>
      <c r="Q328" s="602" t="n"/>
      <c r="R328" s="40" t="inlineStr"/>
      <c r="S328" s="40" t="inlineStr"/>
      <c r="T328" s="41" t="inlineStr">
        <is>
          <t>кг</t>
        </is>
      </c>
      <c r="U328" s="637" t="n">
        <v>0</v>
      </c>
      <c r="V328" s="638">
        <f>IFERROR(IF(U328="",0,CEILING((U328/$H328),1)*$H328),"")</f>
        <v/>
      </c>
      <c r="W328" s="42">
        <f>IFERROR(IF(V328=0,"",ROUNDUP(V328/H328,0)*0.00502),"")</f>
        <v/>
      </c>
      <c r="X328" s="69" t="inlineStr"/>
      <c r="Y328" s="70" t="inlineStr"/>
      <c r="AC328" s="252" t="inlineStr">
        <is>
          <t>КИ</t>
        </is>
      </c>
    </row>
    <row r="329" ht="27" customHeight="1">
      <c r="A329" s="64" t="inlineStr">
        <is>
          <t>SU002606</t>
        </is>
      </c>
      <c r="B329" s="64" t="inlineStr">
        <is>
          <t>P003134</t>
        </is>
      </c>
      <c r="C329" s="37" t="n">
        <v>4301031172</v>
      </c>
      <c r="D329" s="355" t="n">
        <v>4607091389531</v>
      </c>
      <c r="E329" s="602" t="n"/>
      <c r="F329" s="634" t="n">
        <v>0.35</v>
      </c>
      <c r="G329" s="38" t="n">
        <v>6</v>
      </c>
      <c r="H329" s="634" t="n">
        <v>2.1</v>
      </c>
      <c r="I329" s="634" t="n">
        <v>2.23</v>
      </c>
      <c r="J329" s="38" t="n">
        <v>234</v>
      </c>
      <c r="K329" s="39" t="inlineStr">
        <is>
          <t>СК2</t>
        </is>
      </c>
      <c r="L329" s="38" t="n">
        <v>45</v>
      </c>
      <c r="M329" s="82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9" s="636" t="n"/>
      <c r="O329" s="636" t="n"/>
      <c r="P329" s="636" t="n"/>
      <c r="Q329" s="602" t="n"/>
      <c r="R329" s="40" t="inlineStr"/>
      <c r="S329" s="40" t="inlineStr"/>
      <c r="T329" s="41" t="inlineStr">
        <is>
          <t>кг</t>
        </is>
      </c>
      <c r="U329" s="637" t="n">
        <v>0</v>
      </c>
      <c r="V329" s="638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/>
      <c r="AC329" s="253" t="inlineStr">
        <is>
          <t>КИ</t>
        </is>
      </c>
    </row>
    <row r="330">
      <c r="A330" s="36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39" t="n"/>
      <c r="M330" s="640" t="inlineStr">
        <is>
          <t>Итого</t>
        </is>
      </c>
      <c r="N330" s="610" t="n"/>
      <c r="O330" s="610" t="n"/>
      <c r="P330" s="610" t="n"/>
      <c r="Q330" s="610" t="n"/>
      <c r="R330" s="610" t="n"/>
      <c r="S330" s="611" t="n"/>
      <c r="T330" s="43" t="inlineStr">
        <is>
          <t>кор</t>
        </is>
      </c>
      <c r="U330" s="641">
        <f>IFERROR(U323/H323,"0")+IFERROR(U324/H324,"0")+IFERROR(U325/H325,"0")+IFERROR(U326/H326,"0")+IFERROR(U327/H327,"0")+IFERROR(U328/H328,"0")+IFERROR(U329/H329,"0")</f>
        <v/>
      </c>
      <c r="V330" s="641">
        <f>IFERROR(V323/H323,"0")+IFERROR(V324/H324,"0")+IFERROR(V325/H325,"0")+IFERROR(V326/H326,"0")+IFERROR(V327/H327,"0")+IFERROR(V328/H328,"0")+IFERROR(V329/H329,"0")</f>
        <v/>
      </c>
      <c r="W330" s="641">
        <f>IFERROR(IF(W323="",0,W323),"0")+IFERROR(IF(W324="",0,W324),"0")+IFERROR(IF(W325="",0,W325),"0")+IFERROR(IF(W326="",0,W326),"0")+IFERROR(IF(W327="",0,W327),"0")+IFERROR(IF(W328="",0,W328),"0")+IFERROR(IF(W329="",0,W329),"0")</f>
        <v/>
      </c>
      <c r="X330" s="642" t="n"/>
      <c r="Y330" s="642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39" t="n"/>
      <c r="M331" s="640" t="inlineStr">
        <is>
          <t>Итого</t>
        </is>
      </c>
      <c r="N331" s="610" t="n"/>
      <c r="O331" s="610" t="n"/>
      <c r="P331" s="610" t="n"/>
      <c r="Q331" s="610" t="n"/>
      <c r="R331" s="610" t="n"/>
      <c r="S331" s="611" t="n"/>
      <c r="T331" s="43" t="inlineStr">
        <is>
          <t>кг</t>
        </is>
      </c>
      <c r="U331" s="641">
        <f>IFERROR(SUM(U323:U329),"0")</f>
        <v/>
      </c>
      <c r="V331" s="641">
        <f>IFERROR(SUM(V323:V329),"0")</f>
        <v/>
      </c>
      <c r="W331" s="43" t="n"/>
      <c r="X331" s="642" t="n"/>
      <c r="Y331" s="642" t="n"/>
    </row>
    <row r="332" ht="14.25" customHeight="1">
      <c r="A332" s="354" t="inlineStr">
        <is>
          <t>Сосиски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54" t="n"/>
      <c r="Y332" s="354" t="n"/>
    </row>
    <row r="333" ht="27" customHeight="1">
      <c r="A333" s="64" t="inlineStr">
        <is>
          <t>SU002448</t>
        </is>
      </c>
      <c r="B333" s="64" t="inlineStr">
        <is>
          <t>P002914</t>
        </is>
      </c>
      <c r="C333" s="37" t="n">
        <v>4301051258</v>
      </c>
      <c r="D333" s="355" t="n">
        <v>4607091389685</v>
      </c>
      <c r="E333" s="602" t="n"/>
      <c r="F333" s="634" t="n">
        <v>1.3</v>
      </c>
      <c r="G333" s="38" t="n">
        <v>6</v>
      </c>
      <c r="H333" s="634" t="n">
        <v>7.8</v>
      </c>
      <c r="I333" s="634" t="n">
        <v>8.346</v>
      </c>
      <c r="J333" s="38" t="n">
        <v>56</v>
      </c>
      <c r="K333" s="39" t="inlineStr">
        <is>
          <t>СК3</t>
        </is>
      </c>
      <c r="L333" s="38" t="n">
        <v>45</v>
      </c>
      <c r="M333" s="82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33" s="636" t="n"/>
      <c r="O333" s="636" t="n"/>
      <c r="P333" s="636" t="n"/>
      <c r="Q333" s="602" t="n"/>
      <c r="R333" s="40" t="inlineStr"/>
      <c r="S333" s="40" t="inlineStr"/>
      <c r="T333" s="41" t="inlineStr">
        <is>
          <t>кг</t>
        </is>
      </c>
      <c r="U333" s="637" t="n">
        <v>0</v>
      </c>
      <c r="V333" s="638">
        <f>IFERROR(IF(U333="",0,CEILING((U333/$H333),1)*$H333),"")</f>
        <v/>
      </c>
      <c r="W333" s="42">
        <f>IFERROR(IF(V333=0,"",ROUNDUP(V333/H333,0)*0.02175),"")</f>
        <v/>
      </c>
      <c r="X333" s="69" t="inlineStr"/>
      <c r="Y333" s="70" t="inlineStr"/>
      <c r="AC333" s="254" t="inlineStr">
        <is>
          <t>КИ</t>
        </is>
      </c>
    </row>
    <row r="334" ht="27" customHeight="1">
      <c r="A334" s="64" t="inlineStr">
        <is>
          <t>SU002557</t>
        </is>
      </c>
      <c r="B334" s="64" t="inlineStr">
        <is>
          <t>P003318</t>
        </is>
      </c>
      <c r="C334" s="37" t="n">
        <v>4301051431</v>
      </c>
      <c r="D334" s="355" t="n">
        <v>4607091389654</v>
      </c>
      <c r="E334" s="602" t="n"/>
      <c r="F334" s="634" t="n">
        <v>0.33</v>
      </c>
      <c r="G334" s="38" t="n">
        <v>6</v>
      </c>
      <c r="H334" s="634" t="n">
        <v>1.98</v>
      </c>
      <c r="I334" s="634" t="n">
        <v>2.258</v>
      </c>
      <c r="J334" s="38" t="n">
        <v>156</v>
      </c>
      <c r="K334" s="39" t="inlineStr">
        <is>
          <t>СК3</t>
        </is>
      </c>
      <c r="L334" s="38" t="n">
        <v>45</v>
      </c>
      <c r="M334" s="825" t="inlineStr">
        <is>
          <t>Сосиски Баварушки (с грудкой ГОСТ 31962-2013) Филейбургская Фикс.вес 0,33 П/а мгс Баварушка</t>
        </is>
      </c>
      <c r="N334" s="636" t="n"/>
      <c r="O334" s="636" t="n"/>
      <c r="P334" s="636" t="n"/>
      <c r="Q334" s="602" t="n"/>
      <c r="R334" s="40" t="inlineStr"/>
      <c r="S334" s="40" t="inlineStr"/>
      <c r="T334" s="41" t="inlineStr">
        <is>
          <t>кг</t>
        </is>
      </c>
      <c r="U334" s="637" t="n">
        <v>0</v>
      </c>
      <c r="V334" s="638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5" t="inlineStr">
        <is>
          <t>КИ</t>
        </is>
      </c>
    </row>
    <row r="335" ht="27" customHeight="1">
      <c r="A335" s="64" t="inlineStr">
        <is>
          <t>SU002285</t>
        </is>
      </c>
      <c r="B335" s="64" t="inlineStr">
        <is>
          <t>P002969</t>
        </is>
      </c>
      <c r="C335" s="37" t="n">
        <v>4301051284</v>
      </c>
      <c r="D335" s="355" t="n">
        <v>4607091384352</v>
      </c>
      <c r="E335" s="602" t="n"/>
      <c r="F335" s="634" t="n">
        <v>0.6</v>
      </c>
      <c r="G335" s="38" t="n">
        <v>4</v>
      </c>
      <c r="H335" s="634" t="n">
        <v>2.4</v>
      </c>
      <c r="I335" s="634" t="n">
        <v>2.646</v>
      </c>
      <c r="J335" s="38" t="n">
        <v>120</v>
      </c>
      <c r="K335" s="39" t="inlineStr">
        <is>
          <t>СК3</t>
        </is>
      </c>
      <c r="L335" s="38" t="n">
        <v>45</v>
      </c>
      <c r="M335" s="82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35" s="636" t="n"/>
      <c r="O335" s="636" t="n"/>
      <c r="P335" s="636" t="n"/>
      <c r="Q335" s="602" t="n"/>
      <c r="R335" s="40" t="inlineStr"/>
      <c r="S335" s="40" t="inlineStr"/>
      <c r="T335" s="41" t="inlineStr">
        <is>
          <t>кг</t>
        </is>
      </c>
      <c r="U335" s="637" t="n">
        <v>0</v>
      </c>
      <c r="V335" s="638">
        <f>IFERROR(IF(U335="",0,CEILING((U335/$H335),1)*$H335),"")</f>
        <v/>
      </c>
      <c r="W335" s="42">
        <f>IFERROR(IF(V335=0,"",ROUNDUP(V335/H335,0)*0.00937),"")</f>
        <v/>
      </c>
      <c r="X335" s="69" t="inlineStr"/>
      <c r="Y335" s="70" t="inlineStr"/>
      <c r="AC335" s="256" t="inlineStr">
        <is>
          <t>КИ</t>
        </is>
      </c>
    </row>
    <row r="336" ht="27" customHeight="1">
      <c r="A336" s="64" t="inlineStr">
        <is>
          <t>SU002419</t>
        </is>
      </c>
      <c r="B336" s="64" t="inlineStr">
        <is>
          <t>P002913</t>
        </is>
      </c>
      <c r="C336" s="37" t="n">
        <v>4301051257</v>
      </c>
      <c r="D336" s="355" t="n">
        <v>4607091389661</v>
      </c>
      <c r="E336" s="602" t="n"/>
      <c r="F336" s="634" t="n">
        <v>0.55</v>
      </c>
      <c r="G336" s="38" t="n">
        <v>4</v>
      </c>
      <c r="H336" s="634" t="n">
        <v>2.2</v>
      </c>
      <c r="I336" s="634" t="n">
        <v>2.492</v>
      </c>
      <c r="J336" s="38" t="n">
        <v>120</v>
      </c>
      <c r="K336" s="39" t="inlineStr">
        <is>
          <t>СК3</t>
        </is>
      </c>
      <c r="L336" s="38" t="n">
        <v>45</v>
      </c>
      <c r="M336" s="82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36" s="636" t="n"/>
      <c r="O336" s="636" t="n"/>
      <c r="P336" s="636" t="n"/>
      <c r="Q336" s="602" t="n"/>
      <c r="R336" s="40" t="inlineStr"/>
      <c r="S336" s="40" t="inlineStr"/>
      <c r="T336" s="41" t="inlineStr">
        <is>
          <t>кг</t>
        </is>
      </c>
      <c r="U336" s="637" t="n">
        <v>0</v>
      </c>
      <c r="V336" s="638">
        <f>IFERROR(IF(U336="",0,CEILING((U336/$H336),1)*$H336),"")</f>
        <v/>
      </c>
      <c r="W336" s="42">
        <f>IFERROR(IF(V336=0,"",ROUNDUP(V336/H336,0)*0.00937),"")</f>
        <v/>
      </c>
      <c r="X336" s="69" t="inlineStr"/>
      <c r="Y336" s="70" t="inlineStr"/>
      <c r="AC336" s="257" t="inlineStr">
        <is>
          <t>КИ</t>
        </is>
      </c>
    </row>
    <row r="337">
      <c r="A337" s="36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39" t="n"/>
      <c r="M337" s="640" t="inlineStr">
        <is>
          <t>Итого</t>
        </is>
      </c>
      <c r="N337" s="610" t="n"/>
      <c r="O337" s="610" t="n"/>
      <c r="P337" s="610" t="n"/>
      <c r="Q337" s="610" t="n"/>
      <c r="R337" s="610" t="n"/>
      <c r="S337" s="611" t="n"/>
      <c r="T337" s="43" t="inlineStr">
        <is>
          <t>кор</t>
        </is>
      </c>
      <c r="U337" s="641">
        <f>IFERROR(U333/H333,"0")+IFERROR(U334/H334,"0")+IFERROR(U335/H335,"0")+IFERROR(U336/H336,"0")</f>
        <v/>
      </c>
      <c r="V337" s="641">
        <f>IFERROR(V333/H333,"0")+IFERROR(V334/H334,"0")+IFERROR(V335/H335,"0")+IFERROR(V336/H336,"0")</f>
        <v/>
      </c>
      <c r="W337" s="641">
        <f>IFERROR(IF(W333="",0,W333),"0")+IFERROR(IF(W334="",0,W334),"0")+IFERROR(IF(W335="",0,W335),"0")+IFERROR(IF(W336="",0,W336),"0")</f>
        <v/>
      </c>
      <c r="X337" s="642" t="n"/>
      <c r="Y337" s="642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39" t="n"/>
      <c r="M338" s="640" t="inlineStr">
        <is>
          <t>Итого</t>
        </is>
      </c>
      <c r="N338" s="610" t="n"/>
      <c r="O338" s="610" t="n"/>
      <c r="P338" s="610" t="n"/>
      <c r="Q338" s="610" t="n"/>
      <c r="R338" s="610" t="n"/>
      <c r="S338" s="611" t="n"/>
      <c r="T338" s="43" t="inlineStr">
        <is>
          <t>кг</t>
        </is>
      </c>
      <c r="U338" s="641">
        <f>IFERROR(SUM(U333:U336),"0")</f>
        <v/>
      </c>
      <c r="V338" s="641">
        <f>IFERROR(SUM(V333:V336),"0")</f>
        <v/>
      </c>
      <c r="W338" s="43" t="n"/>
      <c r="X338" s="642" t="n"/>
      <c r="Y338" s="642" t="n"/>
    </row>
    <row r="339" ht="14.25" customHeight="1">
      <c r="A339" s="354" t="inlineStr">
        <is>
          <t>Сардельки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54" t="n"/>
      <c r="Y339" s="354" t="n"/>
    </row>
    <row r="340" ht="27" customHeight="1">
      <c r="A340" s="64" t="inlineStr">
        <is>
          <t>SU002846</t>
        </is>
      </c>
      <c r="B340" s="64" t="inlineStr">
        <is>
          <t>P003254</t>
        </is>
      </c>
      <c r="C340" s="37" t="n">
        <v>4301060352</v>
      </c>
      <c r="D340" s="355" t="n">
        <v>4680115881648</v>
      </c>
      <c r="E340" s="602" t="n"/>
      <c r="F340" s="634" t="n">
        <v>1</v>
      </c>
      <c r="G340" s="38" t="n">
        <v>4</v>
      </c>
      <c r="H340" s="634" t="n">
        <v>4</v>
      </c>
      <c r="I340" s="634" t="n">
        <v>4.404</v>
      </c>
      <c r="J340" s="38" t="n">
        <v>104</v>
      </c>
      <c r="K340" s="39" t="inlineStr">
        <is>
          <t>СК2</t>
        </is>
      </c>
      <c r="L340" s="38" t="n">
        <v>35</v>
      </c>
      <c r="M340" s="828" t="inlineStr">
        <is>
          <t>Сардельки "Шпикачки Филейбургские" весовые н/о ТМ "Баварушка"</t>
        </is>
      </c>
      <c r="N340" s="636" t="n"/>
      <c r="O340" s="636" t="n"/>
      <c r="P340" s="636" t="n"/>
      <c r="Q340" s="602" t="n"/>
      <c r="R340" s="40" t="inlineStr"/>
      <c r="S340" s="40" t="inlineStr"/>
      <c r="T340" s="41" t="inlineStr">
        <is>
          <t>кг</t>
        </is>
      </c>
      <c r="U340" s="637" t="n">
        <v>0</v>
      </c>
      <c r="V340" s="638">
        <f>IFERROR(IF(U340="",0,CEILING((U340/$H340),1)*$H340),"")</f>
        <v/>
      </c>
      <c r="W340" s="42">
        <f>IFERROR(IF(V340=0,"",ROUNDUP(V340/H340,0)*0.01196),"")</f>
        <v/>
      </c>
      <c r="X340" s="69" t="inlineStr"/>
      <c r="Y340" s="70" t="inlineStr"/>
      <c r="AC340" s="258" t="inlineStr">
        <is>
          <t>КИ</t>
        </is>
      </c>
    </row>
    <row r="341">
      <c r="A341" s="363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39" t="n"/>
      <c r="M341" s="640" t="inlineStr">
        <is>
          <t>Итого</t>
        </is>
      </c>
      <c r="N341" s="610" t="n"/>
      <c r="O341" s="610" t="n"/>
      <c r="P341" s="610" t="n"/>
      <c r="Q341" s="610" t="n"/>
      <c r="R341" s="610" t="n"/>
      <c r="S341" s="611" t="n"/>
      <c r="T341" s="43" t="inlineStr">
        <is>
          <t>кор</t>
        </is>
      </c>
      <c r="U341" s="641">
        <f>IFERROR(U340/H340,"0")</f>
        <v/>
      </c>
      <c r="V341" s="641">
        <f>IFERROR(V340/H340,"0")</f>
        <v/>
      </c>
      <c r="W341" s="641">
        <f>IFERROR(IF(W340="",0,W340),"0")</f>
        <v/>
      </c>
      <c r="X341" s="642" t="n"/>
      <c r="Y341" s="642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39" t="n"/>
      <c r="M342" s="640" t="inlineStr">
        <is>
          <t>Итого</t>
        </is>
      </c>
      <c r="N342" s="610" t="n"/>
      <c r="O342" s="610" t="n"/>
      <c r="P342" s="610" t="n"/>
      <c r="Q342" s="610" t="n"/>
      <c r="R342" s="610" t="n"/>
      <c r="S342" s="611" t="n"/>
      <c r="T342" s="43" t="inlineStr">
        <is>
          <t>кг</t>
        </is>
      </c>
      <c r="U342" s="641">
        <f>IFERROR(SUM(U340:U340),"0")</f>
        <v/>
      </c>
      <c r="V342" s="641">
        <f>IFERROR(SUM(V340:V340),"0")</f>
        <v/>
      </c>
      <c r="W342" s="43" t="n"/>
      <c r="X342" s="642" t="n"/>
      <c r="Y342" s="642" t="n"/>
    </row>
    <row r="343" ht="16.5" customHeight="1">
      <c r="A343" s="353" t="inlineStr">
        <is>
          <t>Балыкбургская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53" t="n"/>
      <c r="Y343" s="353" t="n"/>
    </row>
    <row r="344" ht="14.25" customHeight="1">
      <c r="A344" s="354" t="inlineStr">
        <is>
          <t>Ветчины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354" t="n"/>
      <c r="Y344" s="354" t="n"/>
    </row>
    <row r="345" ht="27" customHeight="1">
      <c r="A345" s="64" t="inlineStr">
        <is>
          <t>SU002542</t>
        </is>
      </c>
      <c r="B345" s="64" t="inlineStr">
        <is>
          <t>P002847</t>
        </is>
      </c>
      <c r="C345" s="37" t="n">
        <v>4301020196</v>
      </c>
      <c r="D345" s="355" t="n">
        <v>4607091389388</v>
      </c>
      <c r="E345" s="602" t="n"/>
      <c r="F345" s="634" t="n">
        <v>1.3</v>
      </c>
      <c r="G345" s="38" t="n">
        <v>4</v>
      </c>
      <c r="H345" s="634" t="n">
        <v>5.2</v>
      </c>
      <c r="I345" s="634" t="n">
        <v>5.608</v>
      </c>
      <c r="J345" s="38" t="n">
        <v>104</v>
      </c>
      <c r="K345" s="39" t="inlineStr">
        <is>
          <t>СК3</t>
        </is>
      </c>
      <c r="L345" s="38" t="n">
        <v>35</v>
      </c>
      <c r="M345" s="829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5" s="636" t="n"/>
      <c r="O345" s="636" t="n"/>
      <c r="P345" s="636" t="n"/>
      <c r="Q345" s="602" t="n"/>
      <c r="R345" s="40" t="inlineStr"/>
      <c r="S345" s="40" t="inlineStr"/>
      <c r="T345" s="41" t="inlineStr">
        <is>
          <t>кг</t>
        </is>
      </c>
      <c r="U345" s="637" t="n">
        <v>0</v>
      </c>
      <c r="V345" s="638">
        <f>IFERROR(IF(U345="",0,CEILING((U345/$H345),1)*$H345),"")</f>
        <v/>
      </c>
      <c r="W345" s="42">
        <f>IFERROR(IF(V345=0,"",ROUNDUP(V345/H345,0)*0.01196),"")</f>
        <v/>
      </c>
      <c r="X345" s="69" t="inlineStr"/>
      <c r="Y345" s="70" t="inlineStr"/>
      <c r="AC345" s="259" t="inlineStr">
        <is>
          <t>КИ</t>
        </is>
      </c>
    </row>
    <row r="346" ht="27" customHeight="1">
      <c r="A346" s="64" t="inlineStr">
        <is>
          <t>SU002319</t>
        </is>
      </c>
      <c r="B346" s="64" t="inlineStr">
        <is>
          <t>P002597</t>
        </is>
      </c>
      <c r="C346" s="37" t="n">
        <v>4301020185</v>
      </c>
      <c r="D346" s="355" t="n">
        <v>4607091389364</v>
      </c>
      <c r="E346" s="602" t="n"/>
      <c r="F346" s="634" t="n">
        <v>0.42</v>
      </c>
      <c r="G346" s="38" t="n">
        <v>6</v>
      </c>
      <c r="H346" s="634" t="n">
        <v>2.52</v>
      </c>
      <c r="I346" s="634" t="n">
        <v>2.75</v>
      </c>
      <c r="J346" s="38" t="n">
        <v>156</v>
      </c>
      <c r="K346" s="39" t="inlineStr">
        <is>
          <t>СК3</t>
        </is>
      </c>
      <c r="L346" s="38" t="n">
        <v>35</v>
      </c>
      <c r="M346" s="830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6" s="636" t="n"/>
      <c r="O346" s="636" t="n"/>
      <c r="P346" s="636" t="n"/>
      <c r="Q346" s="602" t="n"/>
      <c r="R346" s="40" t="inlineStr"/>
      <c r="S346" s="40" t="inlineStr"/>
      <c r="T346" s="41" t="inlineStr">
        <is>
          <t>кг</t>
        </is>
      </c>
      <c r="U346" s="637" t="n">
        <v>0</v>
      </c>
      <c r="V346" s="638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260" t="inlineStr">
        <is>
          <t>КИ</t>
        </is>
      </c>
    </row>
    <row r="347">
      <c r="A347" s="363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639" t="n"/>
      <c r="M347" s="640" t="inlineStr">
        <is>
          <t>Итого</t>
        </is>
      </c>
      <c r="N347" s="610" t="n"/>
      <c r="O347" s="610" t="n"/>
      <c r="P347" s="610" t="n"/>
      <c r="Q347" s="610" t="n"/>
      <c r="R347" s="610" t="n"/>
      <c r="S347" s="611" t="n"/>
      <c r="T347" s="43" t="inlineStr">
        <is>
          <t>кор</t>
        </is>
      </c>
      <c r="U347" s="641">
        <f>IFERROR(U345/H345,"0")+IFERROR(U346/H346,"0")</f>
        <v/>
      </c>
      <c r="V347" s="641">
        <f>IFERROR(V345/H345,"0")+IFERROR(V346/H346,"0")</f>
        <v/>
      </c>
      <c r="W347" s="641">
        <f>IFERROR(IF(W345="",0,W345),"0")+IFERROR(IF(W346="",0,W346),"0")</f>
        <v/>
      </c>
      <c r="X347" s="642" t="n"/>
      <c r="Y347" s="642" t="n"/>
    </row>
    <row r="34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39" t="n"/>
      <c r="M348" s="640" t="inlineStr">
        <is>
          <t>Итого</t>
        </is>
      </c>
      <c r="N348" s="610" t="n"/>
      <c r="O348" s="610" t="n"/>
      <c r="P348" s="610" t="n"/>
      <c r="Q348" s="610" t="n"/>
      <c r="R348" s="610" t="n"/>
      <c r="S348" s="611" t="n"/>
      <c r="T348" s="43" t="inlineStr">
        <is>
          <t>кг</t>
        </is>
      </c>
      <c r="U348" s="641">
        <f>IFERROR(SUM(U345:U346),"0")</f>
        <v/>
      </c>
      <c r="V348" s="641">
        <f>IFERROR(SUM(V345:V346),"0")</f>
        <v/>
      </c>
      <c r="W348" s="43" t="n"/>
      <c r="X348" s="642" t="n"/>
      <c r="Y348" s="642" t="n"/>
    </row>
    <row r="349" ht="14.25" customHeight="1">
      <c r="A349" s="354" t="inlineStr">
        <is>
          <t>Копченые колбасы</t>
        </is>
      </c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354" t="n"/>
      <c r="Y349" s="354" t="n"/>
    </row>
    <row r="350" ht="27" customHeight="1">
      <c r="A350" s="64" t="inlineStr">
        <is>
          <t>SU002612</t>
        </is>
      </c>
      <c r="B350" s="64" t="inlineStr">
        <is>
          <t>P003140</t>
        </is>
      </c>
      <c r="C350" s="37" t="n">
        <v>4301031195</v>
      </c>
      <c r="D350" s="355" t="n">
        <v>4607091389739</v>
      </c>
      <c r="E350" s="602" t="n"/>
      <c r="F350" s="634" t="n">
        <v>0.7</v>
      </c>
      <c r="G350" s="38" t="n">
        <v>6</v>
      </c>
      <c r="H350" s="634" t="n">
        <v>4.2</v>
      </c>
      <c r="I350" s="634" t="n">
        <v>4.43</v>
      </c>
      <c r="J350" s="38" t="n">
        <v>156</v>
      </c>
      <c r="K350" s="39" t="inlineStr">
        <is>
          <t>СК2</t>
        </is>
      </c>
      <c r="L350" s="38" t="n">
        <v>45</v>
      </c>
      <c r="M350" s="831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0" s="636" t="n"/>
      <c r="O350" s="636" t="n"/>
      <c r="P350" s="636" t="n"/>
      <c r="Q350" s="602" t="n"/>
      <c r="R350" s="40" t="inlineStr"/>
      <c r="S350" s="40" t="inlineStr"/>
      <c r="T350" s="41" t="inlineStr">
        <is>
          <t>кг</t>
        </is>
      </c>
      <c r="U350" s="637" t="n">
        <v>750</v>
      </c>
      <c r="V350" s="638">
        <f>IFERROR(IF(U350="",0,CEILING((U350/$H350),1)*$H350),"")</f>
        <v/>
      </c>
      <c r="W350" s="42">
        <f>IFERROR(IF(V350=0,"",ROUNDUP(V350/H350,0)*0.00753),"")</f>
        <v/>
      </c>
      <c r="X350" s="69" t="inlineStr"/>
      <c r="Y350" s="70" t="inlineStr"/>
      <c r="AC350" s="261" t="inlineStr">
        <is>
          <t>КИ</t>
        </is>
      </c>
    </row>
    <row r="351" ht="27" customHeight="1">
      <c r="A351" s="64" t="inlineStr">
        <is>
          <t>SU002545</t>
        </is>
      </c>
      <c r="B351" s="64" t="inlineStr">
        <is>
          <t>P003137</t>
        </is>
      </c>
      <c r="C351" s="37" t="n">
        <v>4301031176</v>
      </c>
      <c r="D351" s="355" t="n">
        <v>4607091389425</v>
      </c>
      <c r="E351" s="602" t="n"/>
      <c r="F351" s="634" t="n">
        <v>0.35</v>
      </c>
      <c r="G351" s="38" t="n">
        <v>6</v>
      </c>
      <c r="H351" s="634" t="n">
        <v>2.1</v>
      </c>
      <c r="I351" s="634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32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1" s="636" t="n"/>
      <c r="O351" s="636" t="n"/>
      <c r="P351" s="636" t="n"/>
      <c r="Q351" s="602" t="n"/>
      <c r="R351" s="40" t="inlineStr"/>
      <c r="S351" s="40" t="inlineStr"/>
      <c r="T351" s="41" t="inlineStr">
        <is>
          <t>кг</t>
        </is>
      </c>
      <c r="U351" s="637" t="n">
        <v>0</v>
      </c>
      <c r="V351" s="638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262" t="inlineStr">
        <is>
          <t>КИ</t>
        </is>
      </c>
    </row>
    <row r="352" ht="27" customHeight="1">
      <c r="A352" s="64" t="inlineStr">
        <is>
          <t>SU002726</t>
        </is>
      </c>
      <c r="B352" s="64" t="inlineStr">
        <is>
          <t>P003095</t>
        </is>
      </c>
      <c r="C352" s="37" t="n">
        <v>4301031167</v>
      </c>
      <c r="D352" s="355" t="n">
        <v>4680115880771</v>
      </c>
      <c r="E352" s="602" t="n"/>
      <c r="F352" s="634" t="n">
        <v>0.28</v>
      </c>
      <c r="G352" s="38" t="n">
        <v>6</v>
      </c>
      <c r="H352" s="634" t="n">
        <v>1.68</v>
      </c>
      <c r="I352" s="634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33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2" s="636" t="n"/>
      <c r="O352" s="636" t="n"/>
      <c r="P352" s="636" t="n"/>
      <c r="Q352" s="602" t="n"/>
      <c r="R352" s="40" t="inlineStr"/>
      <c r="S352" s="40" t="inlineStr"/>
      <c r="T352" s="41" t="inlineStr">
        <is>
          <t>кг</t>
        </is>
      </c>
      <c r="U352" s="637" t="n">
        <v>0</v>
      </c>
      <c r="V352" s="638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263" t="inlineStr">
        <is>
          <t>КИ</t>
        </is>
      </c>
    </row>
    <row r="353" ht="27" customHeight="1">
      <c r="A353" s="64" t="inlineStr">
        <is>
          <t>SU002604</t>
        </is>
      </c>
      <c r="B353" s="64" t="inlineStr">
        <is>
          <t>P003135</t>
        </is>
      </c>
      <c r="C353" s="37" t="n">
        <v>4301031173</v>
      </c>
      <c r="D353" s="355" t="n">
        <v>4607091389500</v>
      </c>
      <c r="E353" s="602" t="n"/>
      <c r="F353" s="634" t="n">
        <v>0.35</v>
      </c>
      <c r="G353" s="38" t="n">
        <v>6</v>
      </c>
      <c r="H353" s="634" t="n">
        <v>2.1</v>
      </c>
      <c r="I353" s="634" t="n">
        <v>2.23</v>
      </c>
      <c r="J353" s="38" t="n">
        <v>234</v>
      </c>
      <c r="K353" s="39" t="inlineStr">
        <is>
          <t>СК2</t>
        </is>
      </c>
      <c r="L353" s="38" t="n">
        <v>45</v>
      </c>
      <c r="M353" s="834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3" s="636" t="n"/>
      <c r="O353" s="636" t="n"/>
      <c r="P353" s="636" t="n"/>
      <c r="Q353" s="602" t="n"/>
      <c r="R353" s="40" t="inlineStr"/>
      <c r="S353" s="40" t="inlineStr"/>
      <c r="T353" s="41" t="inlineStr">
        <is>
          <t>кг</t>
        </is>
      </c>
      <c r="U353" s="637" t="n">
        <v>0</v>
      </c>
      <c r="V353" s="638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264" t="inlineStr">
        <is>
          <t>КИ</t>
        </is>
      </c>
    </row>
    <row r="354" ht="27" customHeight="1">
      <c r="A354" s="64" t="inlineStr">
        <is>
          <t>SU002358</t>
        </is>
      </c>
      <c r="B354" s="64" t="inlineStr">
        <is>
          <t>P002642</t>
        </is>
      </c>
      <c r="C354" s="37" t="n">
        <v>4301031103</v>
      </c>
      <c r="D354" s="355" t="n">
        <v>4680115881983</v>
      </c>
      <c r="E354" s="602" t="n"/>
      <c r="F354" s="634" t="n">
        <v>0.28</v>
      </c>
      <c r="G354" s="38" t="n">
        <v>4</v>
      </c>
      <c r="H354" s="634" t="n">
        <v>1.12</v>
      </c>
      <c r="I354" s="634" t="n">
        <v>1.252</v>
      </c>
      <c r="J354" s="38" t="n">
        <v>234</v>
      </c>
      <c r="K354" s="39" t="inlineStr">
        <is>
          <t>СК2</t>
        </is>
      </c>
      <c r="L354" s="38" t="n">
        <v>40</v>
      </c>
      <c r="M354" s="835" t="inlineStr">
        <is>
          <t>Колбаса Балыкбургская по-краковски с копченым балыком в натуральной оболочке 0,28 кг</t>
        </is>
      </c>
      <c r="N354" s="636" t="n"/>
      <c r="O354" s="636" t="n"/>
      <c r="P354" s="636" t="n"/>
      <c r="Q354" s="602" t="n"/>
      <c r="R354" s="40" t="inlineStr"/>
      <c r="S354" s="40" t="inlineStr"/>
      <c r="T354" s="41" t="inlineStr">
        <is>
          <t>кг</t>
        </is>
      </c>
      <c r="U354" s="637" t="n">
        <v>0</v>
      </c>
      <c r="V354" s="638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265" t="inlineStr">
        <is>
          <t>КИ</t>
        </is>
      </c>
    </row>
    <row r="355">
      <c r="A355" s="363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639" t="n"/>
      <c r="M355" s="640" t="inlineStr">
        <is>
          <t>Итого</t>
        </is>
      </c>
      <c r="N355" s="610" t="n"/>
      <c r="O355" s="610" t="n"/>
      <c r="P355" s="610" t="n"/>
      <c r="Q355" s="610" t="n"/>
      <c r="R355" s="610" t="n"/>
      <c r="S355" s="611" t="n"/>
      <c r="T355" s="43" t="inlineStr">
        <is>
          <t>кор</t>
        </is>
      </c>
      <c r="U355" s="641">
        <f>IFERROR(U350/H350,"0")+IFERROR(U351/H351,"0")+IFERROR(U352/H352,"0")+IFERROR(U353/H353,"0")+IFERROR(U354/H354,"0")</f>
        <v/>
      </c>
      <c r="V355" s="641">
        <f>IFERROR(V350/H350,"0")+IFERROR(V351/H351,"0")+IFERROR(V352/H352,"0")+IFERROR(V353/H353,"0")+IFERROR(V354/H354,"0")</f>
        <v/>
      </c>
      <c r="W355" s="641">
        <f>IFERROR(IF(W350="",0,W350),"0")+IFERROR(IF(W351="",0,W351),"0")+IFERROR(IF(W352="",0,W352),"0")+IFERROR(IF(W353="",0,W353),"0")+IFERROR(IF(W354="",0,W354),"0")</f>
        <v/>
      </c>
      <c r="X355" s="642" t="n"/>
      <c r="Y355" s="642" t="n"/>
    </row>
    <row r="356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39" t="n"/>
      <c r="M356" s="640" t="inlineStr">
        <is>
          <t>Итого</t>
        </is>
      </c>
      <c r="N356" s="610" t="n"/>
      <c r="O356" s="610" t="n"/>
      <c r="P356" s="610" t="n"/>
      <c r="Q356" s="610" t="n"/>
      <c r="R356" s="610" t="n"/>
      <c r="S356" s="611" t="n"/>
      <c r="T356" s="43" t="inlineStr">
        <is>
          <t>кг</t>
        </is>
      </c>
      <c r="U356" s="641">
        <f>IFERROR(SUM(U350:U354),"0")</f>
        <v/>
      </c>
      <c r="V356" s="641">
        <f>IFERROR(SUM(V350:V354),"0")</f>
        <v/>
      </c>
      <c r="W356" s="43" t="n"/>
      <c r="X356" s="642" t="n"/>
      <c r="Y356" s="642" t="n"/>
    </row>
    <row r="357" ht="27.75" customHeight="1">
      <c r="A357" s="352" t="inlineStr">
        <is>
          <t>Дугушка</t>
        </is>
      </c>
      <c r="B357" s="633" t="n"/>
      <c r="C357" s="633" t="n"/>
      <c r="D357" s="633" t="n"/>
      <c r="E357" s="633" t="n"/>
      <c r="F357" s="633" t="n"/>
      <c r="G357" s="633" t="n"/>
      <c r="H357" s="633" t="n"/>
      <c r="I357" s="633" t="n"/>
      <c r="J357" s="633" t="n"/>
      <c r="K357" s="633" t="n"/>
      <c r="L357" s="633" t="n"/>
      <c r="M357" s="633" t="n"/>
      <c r="N357" s="633" t="n"/>
      <c r="O357" s="633" t="n"/>
      <c r="P357" s="633" t="n"/>
      <c r="Q357" s="633" t="n"/>
      <c r="R357" s="633" t="n"/>
      <c r="S357" s="633" t="n"/>
      <c r="T357" s="633" t="n"/>
      <c r="U357" s="633" t="n"/>
      <c r="V357" s="633" t="n"/>
      <c r="W357" s="633" t="n"/>
      <c r="X357" s="55" t="n"/>
      <c r="Y357" s="55" t="n"/>
    </row>
    <row r="358" ht="16.5" customHeight="1">
      <c r="A358" s="353" t="inlineStr">
        <is>
          <t>Дугушка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53" t="n"/>
      <c r="Y358" s="353" t="n"/>
    </row>
    <row r="359" ht="14.25" customHeight="1">
      <c r="A359" s="354" t="inlineStr">
        <is>
          <t>Вареные колбасы</t>
        </is>
      </c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354" t="n"/>
      <c r="Y359" s="354" t="n"/>
    </row>
    <row r="360" ht="27" customHeight="1">
      <c r="A360" s="64" t="inlineStr">
        <is>
          <t>SU002011</t>
        </is>
      </c>
      <c r="B360" s="64" t="inlineStr">
        <is>
          <t>P002991</t>
        </is>
      </c>
      <c r="C360" s="37" t="n">
        <v>4301011371</v>
      </c>
      <c r="D360" s="355" t="n">
        <v>4607091389067</v>
      </c>
      <c r="E360" s="602" t="n"/>
      <c r="F360" s="634" t="n">
        <v>0.88</v>
      </c>
      <c r="G360" s="38" t="n">
        <v>6</v>
      </c>
      <c r="H360" s="634" t="n">
        <v>5.28</v>
      </c>
      <c r="I360" s="634" t="n">
        <v>5.64</v>
      </c>
      <c r="J360" s="38" t="n">
        <v>104</v>
      </c>
      <c r="K360" s="39" t="inlineStr">
        <is>
          <t>СК3</t>
        </is>
      </c>
      <c r="L360" s="38" t="n">
        <v>55</v>
      </c>
      <c r="M360" s="836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0" s="636" t="n"/>
      <c r="O360" s="636" t="n"/>
      <c r="P360" s="636" t="n"/>
      <c r="Q360" s="602" t="n"/>
      <c r="R360" s="40" t="inlineStr"/>
      <c r="S360" s="40" t="inlineStr"/>
      <c r="T360" s="41" t="inlineStr">
        <is>
          <t>кг</t>
        </is>
      </c>
      <c r="U360" s="637" t="n">
        <v>0</v>
      </c>
      <c r="V360" s="638">
        <f>IFERROR(IF(U360="",0,CEILING((U360/$H360),1)*$H360),"")</f>
        <v/>
      </c>
      <c r="W360" s="42">
        <f>IFERROR(IF(V360=0,"",ROUNDUP(V360/H360,0)*0.01196),"")</f>
        <v/>
      </c>
      <c r="X360" s="69" t="inlineStr"/>
      <c r="Y360" s="70" t="inlineStr"/>
      <c r="AC360" s="266" t="inlineStr">
        <is>
          <t>КИ</t>
        </is>
      </c>
    </row>
    <row r="361" ht="27" customHeight="1">
      <c r="A361" s="64" t="inlineStr">
        <is>
          <t>SU002094</t>
        </is>
      </c>
      <c r="B361" s="64" t="inlineStr">
        <is>
          <t>P002975</t>
        </is>
      </c>
      <c r="C361" s="37" t="n">
        <v>4301011363</v>
      </c>
      <c r="D361" s="355" t="n">
        <v>4607091383522</v>
      </c>
      <c r="E361" s="602" t="n"/>
      <c r="F361" s="634" t="n">
        <v>0.88</v>
      </c>
      <c r="G361" s="38" t="n">
        <v>6</v>
      </c>
      <c r="H361" s="634" t="n">
        <v>5.28</v>
      </c>
      <c r="I361" s="634" t="n">
        <v>5.64</v>
      </c>
      <c r="J361" s="38" t="n">
        <v>104</v>
      </c>
      <c r="K361" s="39" t="inlineStr">
        <is>
          <t>СК1</t>
        </is>
      </c>
      <c r="L361" s="38" t="n">
        <v>55</v>
      </c>
      <c r="M361" s="83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61" s="636" t="n"/>
      <c r="O361" s="636" t="n"/>
      <c r="P361" s="636" t="n"/>
      <c r="Q361" s="602" t="n"/>
      <c r="R361" s="40" t="inlineStr"/>
      <c r="S361" s="40" t="inlineStr"/>
      <c r="T361" s="41" t="inlineStr">
        <is>
          <t>кг</t>
        </is>
      </c>
      <c r="U361" s="637" t="n">
        <v>0</v>
      </c>
      <c r="V361" s="638">
        <f>IFERROR(IF(U361="",0,CEILING((U361/$H361),1)*$H361),"")</f>
        <v/>
      </c>
      <c r="W361" s="42">
        <f>IFERROR(IF(V361=0,"",ROUNDUP(V361/H361,0)*0.01196),"")</f>
        <v/>
      </c>
      <c r="X361" s="69" t="inlineStr"/>
      <c r="Y361" s="70" t="inlineStr"/>
      <c r="AC361" s="267" t="inlineStr">
        <is>
          <t>КИ</t>
        </is>
      </c>
    </row>
    <row r="362" ht="27" customHeight="1">
      <c r="A362" s="64" t="inlineStr">
        <is>
          <t>SU002182</t>
        </is>
      </c>
      <c r="B362" s="64" t="inlineStr">
        <is>
          <t>P002990</t>
        </is>
      </c>
      <c r="C362" s="37" t="n">
        <v>4301011431</v>
      </c>
      <c r="D362" s="355" t="n">
        <v>4607091384437</v>
      </c>
      <c r="E362" s="602" t="n"/>
      <c r="F362" s="634" t="n">
        <v>0.88</v>
      </c>
      <c r="G362" s="38" t="n">
        <v>6</v>
      </c>
      <c r="H362" s="634" t="n">
        <v>5.28</v>
      </c>
      <c r="I362" s="634" t="n">
        <v>5.64</v>
      </c>
      <c r="J362" s="38" t="n">
        <v>104</v>
      </c>
      <c r="K362" s="39" t="inlineStr">
        <is>
          <t>СК1</t>
        </is>
      </c>
      <c r="L362" s="38" t="n">
        <v>50</v>
      </c>
      <c r="M362" s="838" t="inlineStr">
        <is>
          <t>Вареные колбасы Дугушка со шпиком Дугушка Весовые Вектор Дугушка</t>
        </is>
      </c>
      <c r="N362" s="636" t="n"/>
      <c r="O362" s="636" t="n"/>
      <c r="P362" s="636" t="n"/>
      <c r="Q362" s="602" t="n"/>
      <c r="R362" s="40" t="inlineStr"/>
      <c r="S362" s="40" t="inlineStr"/>
      <c r="T362" s="41" t="inlineStr">
        <is>
          <t>кг</t>
        </is>
      </c>
      <c r="U362" s="637" t="n">
        <v>0</v>
      </c>
      <c r="V362" s="638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268" t="inlineStr">
        <is>
          <t>КИ</t>
        </is>
      </c>
    </row>
    <row r="363" ht="27" customHeight="1">
      <c r="A363" s="64" t="inlineStr">
        <is>
          <t>SU002010</t>
        </is>
      </c>
      <c r="B363" s="64" t="inlineStr">
        <is>
          <t>P002979</t>
        </is>
      </c>
      <c r="C363" s="37" t="n">
        <v>4301011365</v>
      </c>
      <c r="D363" s="355" t="n">
        <v>4607091389104</v>
      </c>
      <c r="E363" s="602" t="n"/>
      <c r="F363" s="634" t="n">
        <v>0.88</v>
      </c>
      <c r="G363" s="38" t="n">
        <v>6</v>
      </c>
      <c r="H363" s="634" t="n">
        <v>5.28</v>
      </c>
      <c r="I363" s="634" t="n">
        <v>5.64</v>
      </c>
      <c r="J363" s="38" t="n">
        <v>104</v>
      </c>
      <c r="K363" s="39" t="inlineStr">
        <is>
          <t>СК1</t>
        </is>
      </c>
      <c r="L363" s="38" t="n">
        <v>55</v>
      </c>
      <c r="M363" s="839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63" s="636" t="n"/>
      <c r="O363" s="636" t="n"/>
      <c r="P363" s="636" t="n"/>
      <c r="Q363" s="602" t="n"/>
      <c r="R363" s="40" t="inlineStr"/>
      <c r="S363" s="40" t="inlineStr"/>
      <c r="T363" s="41" t="inlineStr">
        <is>
          <t>кг</t>
        </is>
      </c>
      <c r="U363" s="637" t="n">
        <v>30</v>
      </c>
      <c r="V363" s="638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269" t="inlineStr">
        <is>
          <t>КИ</t>
        </is>
      </c>
    </row>
    <row r="364" ht="27" customHeight="1">
      <c r="A364" s="64" t="inlineStr">
        <is>
          <t>SU002019</t>
        </is>
      </c>
      <c r="B364" s="64" t="inlineStr">
        <is>
          <t>P002306</t>
        </is>
      </c>
      <c r="C364" s="37" t="n">
        <v>4301011142</v>
      </c>
      <c r="D364" s="355" t="n">
        <v>4607091389036</v>
      </c>
      <c r="E364" s="602" t="n"/>
      <c r="F364" s="634" t="n">
        <v>0.4</v>
      </c>
      <c r="G364" s="38" t="n">
        <v>6</v>
      </c>
      <c r="H364" s="634" t="n">
        <v>2.4</v>
      </c>
      <c r="I364" s="634" t="n">
        <v>2.6</v>
      </c>
      <c r="J364" s="38" t="n">
        <v>156</v>
      </c>
      <c r="K364" s="39" t="inlineStr">
        <is>
          <t>СК3</t>
        </is>
      </c>
      <c r="L364" s="38" t="n">
        <v>50</v>
      </c>
      <c r="M364" s="840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64" s="636" t="n"/>
      <c r="O364" s="636" t="n"/>
      <c r="P364" s="636" t="n"/>
      <c r="Q364" s="602" t="n"/>
      <c r="R364" s="40" t="inlineStr"/>
      <c r="S364" s="40" t="inlineStr"/>
      <c r="T364" s="41" t="inlineStr">
        <is>
          <t>кг</t>
        </is>
      </c>
      <c r="U364" s="637" t="n">
        <v>0</v>
      </c>
      <c r="V364" s="638">
        <f>IFERROR(IF(U364="",0,CEILING((U364/$H364),1)*$H364),"")</f>
        <v/>
      </c>
      <c r="W364" s="42">
        <f>IFERROR(IF(V364=0,"",ROUNDUP(V364/H364,0)*0.00753),"")</f>
        <v/>
      </c>
      <c r="X364" s="69" t="inlineStr"/>
      <c r="Y364" s="70" t="inlineStr"/>
      <c r="AC364" s="270" t="inlineStr">
        <is>
          <t>КИ</t>
        </is>
      </c>
    </row>
    <row r="365" ht="27" customHeight="1">
      <c r="A365" s="64" t="inlineStr">
        <is>
          <t>SU002632</t>
        </is>
      </c>
      <c r="B365" s="64" t="inlineStr">
        <is>
          <t>P002982</t>
        </is>
      </c>
      <c r="C365" s="37" t="n">
        <v>4301011367</v>
      </c>
      <c r="D365" s="355" t="n">
        <v>4680115880603</v>
      </c>
      <c r="E365" s="602" t="n"/>
      <c r="F365" s="634" t="n">
        <v>0.6</v>
      </c>
      <c r="G365" s="38" t="n">
        <v>6</v>
      </c>
      <c r="H365" s="634" t="n">
        <v>3.6</v>
      </c>
      <c r="I365" s="634" t="n">
        <v>3.84</v>
      </c>
      <c r="J365" s="38" t="n">
        <v>120</v>
      </c>
      <c r="K365" s="39" t="inlineStr">
        <is>
          <t>СК1</t>
        </is>
      </c>
      <c r="L365" s="38" t="n">
        <v>55</v>
      </c>
      <c r="M365" s="841" t="inlineStr">
        <is>
          <t>Вареные колбасы "Докторская ГОСТ" Фикс.вес 0,6 Вектор ТМ "Дугушка"</t>
        </is>
      </c>
      <c r="N365" s="636" t="n"/>
      <c r="O365" s="636" t="n"/>
      <c r="P365" s="636" t="n"/>
      <c r="Q365" s="602" t="n"/>
      <c r="R365" s="40" t="inlineStr"/>
      <c r="S365" s="40" t="inlineStr"/>
      <c r="T365" s="41" t="inlineStr">
        <is>
          <t>кг</t>
        </is>
      </c>
      <c r="U365" s="637" t="n">
        <v>0</v>
      </c>
      <c r="V365" s="638">
        <f>IFERROR(IF(U365="",0,CEILING((U365/$H365),1)*$H365),"")</f>
        <v/>
      </c>
      <c r="W365" s="42">
        <f>IFERROR(IF(V365=0,"",ROUNDUP(V365/H365,0)*0.00937),"")</f>
        <v/>
      </c>
      <c r="X365" s="69" t="inlineStr"/>
      <c r="Y365" s="70" t="inlineStr"/>
      <c r="AC365" s="271" t="inlineStr">
        <is>
          <t>КИ</t>
        </is>
      </c>
    </row>
    <row r="366" ht="27" customHeight="1">
      <c r="A366" s="64" t="inlineStr">
        <is>
          <t>SU002220</t>
        </is>
      </c>
      <c r="B366" s="64" t="inlineStr">
        <is>
          <t>P002404</t>
        </is>
      </c>
      <c r="C366" s="37" t="n">
        <v>4301011168</v>
      </c>
      <c r="D366" s="355" t="n">
        <v>4607091389999</v>
      </c>
      <c r="E366" s="602" t="n"/>
      <c r="F366" s="634" t="n">
        <v>0.6</v>
      </c>
      <c r="G366" s="38" t="n">
        <v>6</v>
      </c>
      <c r="H366" s="634" t="n">
        <v>3.6</v>
      </c>
      <c r="I366" s="634" t="n">
        <v>3.84</v>
      </c>
      <c r="J366" s="38" t="n">
        <v>120</v>
      </c>
      <c r="K366" s="39" t="inlineStr">
        <is>
          <t>СК1</t>
        </is>
      </c>
      <c r="L366" s="38" t="n">
        <v>55</v>
      </c>
      <c r="M366" s="842" t="inlineStr">
        <is>
          <t>Вареные колбасы "Докторская Дугушка" Фикс.вес 0,6 П/а ТМ "Дугушка"</t>
        </is>
      </c>
      <c r="N366" s="636" t="n"/>
      <c r="O366" s="636" t="n"/>
      <c r="P366" s="636" t="n"/>
      <c r="Q366" s="602" t="n"/>
      <c r="R366" s="40" t="inlineStr"/>
      <c r="S366" s="40" t="inlineStr"/>
      <c r="T366" s="41" t="inlineStr">
        <is>
          <t>кг</t>
        </is>
      </c>
      <c r="U366" s="637" t="n">
        <v>0</v>
      </c>
      <c r="V366" s="638">
        <f>IFERROR(IF(U366="",0,CEILING((U366/$H366),1)*$H366),"")</f>
        <v/>
      </c>
      <c r="W366" s="42">
        <f>IFERROR(IF(V366=0,"",ROUNDUP(V366/H366,0)*0.00937),"")</f>
        <v/>
      </c>
      <c r="X366" s="69" t="inlineStr"/>
      <c r="Y366" s="70" t="inlineStr"/>
      <c r="AC366" s="272" t="inlineStr">
        <is>
          <t>КИ</t>
        </is>
      </c>
    </row>
    <row r="367" ht="27" customHeight="1">
      <c r="A367" s="64" t="inlineStr">
        <is>
          <t>SU002635</t>
        </is>
      </c>
      <c r="B367" s="64" t="inlineStr">
        <is>
          <t>P002992</t>
        </is>
      </c>
      <c r="C367" s="37" t="n">
        <v>4301011372</v>
      </c>
      <c r="D367" s="355" t="n">
        <v>4680115882782</v>
      </c>
      <c r="E367" s="602" t="n"/>
      <c r="F367" s="634" t="n">
        <v>0.6</v>
      </c>
      <c r="G367" s="38" t="n">
        <v>6</v>
      </c>
      <c r="H367" s="634" t="n">
        <v>3.6</v>
      </c>
      <c r="I367" s="634" t="n">
        <v>3.84</v>
      </c>
      <c r="J367" s="38" t="n">
        <v>120</v>
      </c>
      <c r="K367" s="39" t="inlineStr">
        <is>
          <t>СК1</t>
        </is>
      </c>
      <c r="L367" s="38" t="n">
        <v>50</v>
      </c>
      <c r="M367" s="843" t="inlineStr">
        <is>
          <t>Вареные колбасы "Дугушка со шпиком" Фикс.вес 0,6 П/а ТМ "Дугушка"</t>
        </is>
      </c>
      <c r="N367" s="636" t="n"/>
      <c r="O367" s="636" t="n"/>
      <c r="P367" s="636" t="n"/>
      <c r="Q367" s="602" t="n"/>
      <c r="R367" s="40" t="inlineStr"/>
      <c r="S367" s="40" t="inlineStr"/>
      <c r="T367" s="41" t="inlineStr">
        <is>
          <t>кг</t>
        </is>
      </c>
      <c r="U367" s="637" t="n">
        <v>0</v>
      </c>
      <c r="V367" s="638">
        <f>IFERROR(IF(U367="",0,CEILING((U367/$H367),1)*$H367),"")</f>
        <v/>
      </c>
      <c r="W367" s="42">
        <f>IFERROR(IF(V367=0,"",ROUNDUP(V367/H367,0)*0.00937),"")</f>
        <v/>
      </c>
      <c r="X367" s="69" t="inlineStr"/>
      <c r="Y367" s="70" t="inlineStr"/>
      <c r="AC367" s="273" t="inlineStr">
        <is>
          <t>КИ</t>
        </is>
      </c>
    </row>
    <row r="368" ht="27" customHeight="1">
      <c r="A368" s="64" t="inlineStr">
        <is>
          <t>SU002020</t>
        </is>
      </c>
      <c r="B368" s="64" t="inlineStr">
        <is>
          <t>P002308</t>
        </is>
      </c>
      <c r="C368" s="37" t="n">
        <v>4301011190</v>
      </c>
      <c r="D368" s="355" t="n">
        <v>4607091389098</v>
      </c>
      <c r="E368" s="602" t="n"/>
      <c r="F368" s="634" t="n">
        <v>0.4</v>
      </c>
      <c r="G368" s="38" t="n">
        <v>6</v>
      </c>
      <c r="H368" s="634" t="n">
        <v>2.4</v>
      </c>
      <c r="I368" s="634" t="n">
        <v>2.6</v>
      </c>
      <c r="J368" s="38" t="n">
        <v>156</v>
      </c>
      <c r="K368" s="39" t="inlineStr">
        <is>
          <t>СК3</t>
        </is>
      </c>
      <c r="L368" s="38" t="n">
        <v>50</v>
      </c>
      <c r="M368" s="84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68" s="636" t="n"/>
      <c r="O368" s="636" t="n"/>
      <c r="P368" s="636" t="n"/>
      <c r="Q368" s="602" t="n"/>
      <c r="R368" s="40" t="inlineStr"/>
      <c r="S368" s="40" t="inlineStr"/>
      <c r="T368" s="41" t="inlineStr">
        <is>
          <t>кг</t>
        </is>
      </c>
      <c r="U368" s="637" t="n">
        <v>0</v>
      </c>
      <c r="V368" s="638">
        <f>IFERROR(IF(U368="",0,CEILING((U368/$H368),1)*$H368),"")</f>
        <v/>
      </c>
      <c r="W368" s="42">
        <f>IFERROR(IF(V368=0,"",ROUNDUP(V368/H368,0)*0.00753),"")</f>
        <v/>
      </c>
      <c r="X368" s="69" t="inlineStr"/>
      <c r="Y368" s="70" t="inlineStr"/>
      <c r="AC368" s="274" t="inlineStr">
        <is>
          <t>КИ</t>
        </is>
      </c>
    </row>
    <row r="369" ht="27" customHeight="1">
      <c r="A369" s="64" t="inlineStr">
        <is>
          <t>SU002631</t>
        </is>
      </c>
      <c r="B369" s="64" t="inlineStr">
        <is>
          <t>P002981</t>
        </is>
      </c>
      <c r="C369" s="37" t="n">
        <v>4301011366</v>
      </c>
      <c r="D369" s="355" t="n">
        <v>4607091389982</v>
      </c>
      <c r="E369" s="602" t="n"/>
      <c r="F369" s="634" t="n">
        <v>0.6</v>
      </c>
      <c r="G369" s="38" t="n">
        <v>6</v>
      </c>
      <c r="H369" s="634" t="n">
        <v>3.6</v>
      </c>
      <c r="I369" s="634" t="n">
        <v>3.84</v>
      </c>
      <c r="J369" s="38" t="n">
        <v>120</v>
      </c>
      <c r="K369" s="39" t="inlineStr">
        <is>
          <t>СК1</t>
        </is>
      </c>
      <c r="L369" s="38" t="n">
        <v>55</v>
      </c>
      <c r="M369" s="845" t="inlineStr">
        <is>
          <t>Вареные колбасы "Молочная Дугушка" Фикс.вес 0,6 П/а ТМ "Дугушка"</t>
        </is>
      </c>
      <c r="N369" s="636" t="n"/>
      <c r="O369" s="636" t="n"/>
      <c r="P369" s="636" t="n"/>
      <c r="Q369" s="602" t="n"/>
      <c r="R369" s="40" t="inlineStr"/>
      <c r="S369" s="40" t="inlineStr"/>
      <c r="T369" s="41" t="inlineStr">
        <is>
          <t>кг</t>
        </is>
      </c>
      <c r="U369" s="637" t="n">
        <v>0</v>
      </c>
      <c r="V369" s="638">
        <f>IFERROR(IF(U369="",0,CEILING((U369/$H369),1)*$H369),"")</f>
        <v/>
      </c>
      <c r="W369" s="42">
        <f>IFERROR(IF(V369=0,"",ROUNDUP(V369/H369,0)*0.00937),"")</f>
        <v/>
      </c>
      <c r="X369" s="69" t="inlineStr"/>
      <c r="Y369" s="70" t="inlineStr"/>
      <c r="AC369" s="275" t="inlineStr">
        <is>
          <t>КИ</t>
        </is>
      </c>
    </row>
    <row r="370">
      <c r="A370" s="36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39" t="n"/>
      <c r="M370" s="640" t="inlineStr">
        <is>
          <t>Итого</t>
        </is>
      </c>
      <c r="N370" s="610" t="n"/>
      <c r="O370" s="610" t="n"/>
      <c r="P370" s="610" t="n"/>
      <c r="Q370" s="610" t="n"/>
      <c r="R370" s="610" t="n"/>
      <c r="S370" s="611" t="n"/>
      <c r="T370" s="43" t="inlineStr">
        <is>
          <t>кор</t>
        </is>
      </c>
      <c r="U370" s="641">
        <f>IFERROR(U360/H360,"0")+IFERROR(U361/H361,"0")+IFERROR(U362/H362,"0")+IFERROR(U363/H363,"0")+IFERROR(U364/H364,"0")+IFERROR(U365/H365,"0")+IFERROR(U366/H366,"0")+IFERROR(U367/H367,"0")+IFERROR(U368/H368,"0")+IFERROR(U369/H369,"0")</f>
        <v/>
      </c>
      <c r="V370" s="641">
        <f>IFERROR(V360/H360,"0")+IFERROR(V361/H361,"0")+IFERROR(V362/H362,"0")+IFERROR(V363/H363,"0")+IFERROR(V364/H364,"0")+IFERROR(V365/H365,"0")+IFERROR(V366/H366,"0")+IFERROR(V367/H367,"0")+IFERROR(V368/H368,"0")+IFERROR(V369/H369,"0")</f>
        <v/>
      </c>
      <c r="W370" s="641">
        <f>IFERROR(IF(W360="",0,W360),"0")+IFERROR(IF(W361="",0,W361),"0")+IFERROR(IF(W362="",0,W362),"0")+IFERROR(IF(W363="",0,W363),"0")+IFERROR(IF(W364="",0,W364),"0")+IFERROR(IF(W365="",0,W365),"0")+IFERROR(IF(W366="",0,W366),"0")+IFERROR(IF(W367="",0,W367),"0")+IFERROR(IF(W368="",0,W368),"0")+IFERROR(IF(W369="",0,W369),"0")</f>
        <v/>
      </c>
      <c r="X370" s="642" t="n"/>
      <c r="Y370" s="642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39" t="n"/>
      <c r="M371" s="640" t="inlineStr">
        <is>
          <t>Итого</t>
        </is>
      </c>
      <c r="N371" s="610" t="n"/>
      <c r="O371" s="610" t="n"/>
      <c r="P371" s="610" t="n"/>
      <c r="Q371" s="610" t="n"/>
      <c r="R371" s="610" t="n"/>
      <c r="S371" s="611" t="n"/>
      <c r="T371" s="43" t="inlineStr">
        <is>
          <t>кг</t>
        </is>
      </c>
      <c r="U371" s="641">
        <f>IFERROR(SUM(U360:U369),"0")</f>
        <v/>
      </c>
      <c r="V371" s="641">
        <f>IFERROR(SUM(V360:V369),"0")</f>
        <v/>
      </c>
      <c r="W371" s="43" t="n"/>
      <c r="X371" s="642" t="n"/>
      <c r="Y371" s="642" t="n"/>
    </row>
    <row r="372" ht="14.25" customHeight="1">
      <c r="A372" s="354" t="inlineStr">
        <is>
          <t>Ветчины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54" t="n"/>
      <c r="Y372" s="354" t="n"/>
    </row>
    <row r="373" ht="16.5" customHeight="1">
      <c r="A373" s="64" t="inlineStr">
        <is>
          <t>SU002035</t>
        </is>
      </c>
      <c r="B373" s="64" t="inlineStr">
        <is>
          <t>P003146</t>
        </is>
      </c>
      <c r="C373" s="37" t="n">
        <v>4301020222</v>
      </c>
      <c r="D373" s="355" t="n">
        <v>4607091388930</v>
      </c>
      <c r="E373" s="602" t="n"/>
      <c r="F373" s="634" t="n">
        <v>0.88</v>
      </c>
      <c r="G373" s="38" t="n">
        <v>6</v>
      </c>
      <c r="H373" s="634" t="n">
        <v>5.28</v>
      </c>
      <c r="I373" s="634" t="n">
        <v>5.64</v>
      </c>
      <c r="J373" s="38" t="n">
        <v>104</v>
      </c>
      <c r="K373" s="39" t="inlineStr">
        <is>
          <t>СК1</t>
        </is>
      </c>
      <c r="L373" s="38" t="n">
        <v>55</v>
      </c>
      <c r="M373" s="846">
        <f>HYPERLINK("https://abi.ru/products/Охлажденные/Дугушка/Дугушка/Ветчины/P003146/","Ветчины Дугушка Дугушка Вес б/о Дугушка")</f>
        <v/>
      </c>
      <c r="N373" s="636" t="n"/>
      <c r="O373" s="636" t="n"/>
      <c r="P373" s="636" t="n"/>
      <c r="Q373" s="602" t="n"/>
      <c r="R373" s="40" t="inlineStr"/>
      <c r="S373" s="40" t="inlineStr"/>
      <c r="T373" s="41" t="inlineStr">
        <is>
          <t>кг</t>
        </is>
      </c>
      <c r="U373" s="637" t="n">
        <v>0</v>
      </c>
      <c r="V373" s="638">
        <f>IFERROR(IF(U373="",0,CEILING((U373/$H373),1)*$H373),"")</f>
        <v/>
      </c>
      <c r="W373" s="42">
        <f>IFERROR(IF(V373=0,"",ROUNDUP(V373/H373,0)*0.01196),"")</f>
        <v/>
      </c>
      <c r="X373" s="69" t="inlineStr"/>
      <c r="Y373" s="70" t="inlineStr"/>
      <c r="AC373" s="276" t="inlineStr">
        <is>
          <t>КИ</t>
        </is>
      </c>
    </row>
    <row r="374" ht="16.5" customHeight="1">
      <c r="A374" s="64" t="inlineStr">
        <is>
          <t>SU002643</t>
        </is>
      </c>
      <c r="B374" s="64" t="inlineStr">
        <is>
          <t>P002993</t>
        </is>
      </c>
      <c r="C374" s="37" t="n">
        <v>4301020206</v>
      </c>
      <c r="D374" s="355" t="n">
        <v>4680115880054</v>
      </c>
      <c r="E374" s="602" t="n"/>
      <c r="F374" s="634" t="n">
        <v>0.6</v>
      </c>
      <c r="G374" s="38" t="n">
        <v>6</v>
      </c>
      <c r="H374" s="634" t="n">
        <v>3.6</v>
      </c>
      <c r="I374" s="634" t="n">
        <v>3.84</v>
      </c>
      <c r="J374" s="38" t="n">
        <v>120</v>
      </c>
      <c r="K374" s="39" t="inlineStr">
        <is>
          <t>СК1</t>
        </is>
      </c>
      <c r="L374" s="38" t="n">
        <v>55</v>
      </c>
      <c r="M374" s="847" t="inlineStr">
        <is>
          <t>Ветчины "Дугушка" Фикс.вес 0,6 П/а ТМ "Дугушка"</t>
        </is>
      </c>
      <c r="N374" s="636" t="n"/>
      <c r="O374" s="636" t="n"/>
      <c r="P374" s="636" t="n"/>
      <c r="Q374" s="602" t="n"/>
      <c r="R374" s="40" t="inlineStr"/>
      <c r="S374" s="40" t="inlineStr"/>
      <c r="T374" s="41" t="inlineStr">
        <is>
          <t>кг</t>
        </is>
      </c>
      <c r="U374" s="637" t="n">
        <v>0</v>
      </c>
      <c r="V374" s="638">
        <f>IFERROR(IF(U374="",0,CEILING((U374/$H374),1)*$H374),"")</f>
        <v/>
      </c>
      <c r="W374" s="42">
        <f>IFERROR(IF(V374=0,"",ROUNDUP(V374/H374,0)*0.00937),"")</f>
        <v/>
      </c>
      <c r="X374" s="69" t="inlineStr"/>
      <c r="Y374" s="70" t="inlineStr"/>
      <c r="AC374" s="277" t="inlineStr">
        <is>
          <t>КИ</t>
        </is>
      </c>
    </row>
    <row r="375">
      <c r="A375" s="363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39" t="n"/>
      <c r="M375" s="640" t="inlineStr">
        <is>
          <t>Итого</t>
        </is>
      </c>
      <c r="N375" s="610" t="n"/>
      <c r="O375" s="610" t="n"/>
      <c r="P375" s="610" t="n"/>
      <c r="Q375" s="610" t="n"/>
      <c r="R375" s="610" t="n"/>
      <c r="S375" s="611" t="n"/>
      <c r="T375" s="43" t="inlineStr">
        <is>
          <t>кор</t>
        </is>
      </c>
      <c r="U375" s="641">
        <f>IFERROR(U373/H373,"0")+IFERROR(U374/H374,"0")</f>
        <v/>
      </c>
      <c r="V375" s="641">
        <f>IFERROR(V373/H373,"0")+IFERROR(V374/H374,"0")</f>
        <v/>
      </c>
      <c r="W375" s="641">
        <f>IFERROR(IF(W373="",0,W373),"0")+IFERROR(IF(W374="",0,W374),"0")</f>
        <v/>
      </c>
      <c r="X375" s="642" t="n"/>
      <c r="Y375" s="642" t="n"/>
    </row>
    <row r="376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39" t="n"/>
      <c r="M376" s="640" t="inlineStr">
        <is>
          <t>Итого</t>
        </is>
      </c>
      <c r="N376" s="610" t="n"/>
      <c r="O376" s="610" t="n"/>
      <c r="P376" s="610" t="n"/>
      <c r="Q376" s="610" t="n"/>
      <c r="R376" s="610" t="n"/>
      <c r="S376" s="611" t="n"/>
      <c r="T376" s="43" t="inlineStr">
        <is>
          <t>кг</t>
        </is>
      </c>
      <c r="U376" s="641">
        <f>IFERROR(SUM(U373:U374),"0")</f>
        <v/>
      </c>
      <c r="V376" s="641">
        <f>IFERROR(SUM(V373:V374),"0")</f>
        <v/>
      </c>
      <c r="W376" s="43" t="n"/>
      <c r="X376" s="642" t="n"/>
      <c r="Y376" s="642" t="n"/>
    </row>
    <row r="377" ht="14.25" customHeight="1">
      <c r="A377" s="354" t="inlineStr">
        <is>
          <t>Копченые колбасы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54" t="n"/>
      <c r="Y377" s="354" t="n"/>
    </row>
    <row r="378" ht="27" customHeight="1">
      <c r="A378" s="64" t="inlineStr">
        <is>
          <t>SU002150</t>
        </is>
      </c>
      <c r="B378" s="64" t="inlineStr">
        <is>
          <t>P003249</t>
        </is>
      </c>
      <c r="C378" s="37" t="n">
        <v>4301031198</v>
      </c>
      <c r="D378" s="355" t="n">
        <v>4607091383348</v>
      </c>
      <c r="E378" s="602" t="n"/>
      <c r="F378" s="634" t="n">
        <v>0.88</v>
      </c>
      <c r="G378" s="38" t="n">
        <v>6</v>
      </c>
      <c r="H378" s="634" t="n">
        <v>5.28</v>
      </c>
      <c r="I378" s="634" t="n">
        <v>5.64</v>
      </c>
      <c r="J378" s="38" t="n">
        <v>104</v>
      </c>
      <c r="K378" s="39" t="inlineStr">
        <is>
          <t>СК1</t>
        </is>
      </c>
      <c r="L378" s="38" t="n">
        <v>55</v>
      </c>
      <c r="M378" s="848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78" s="636" t="n"/>
      <c r="O378" s="636" t="n"/>
      <c r="P378" s="636" t="n"/>
      <c r="Q378" s="602" t="n"/>
      <c r="R378" s="40" t="inlineStr"/>
      <c r="S378" s="40" t="inlineStr"/>
      <c r="T378" s="41" t="inlineStr">
        <is>
          <t>кг</t>
        </is>
      </c>
      <c r="U378" s="637" t="n">
        <v>100</v>
      </c>
      <c r="V378" s="638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278" t="inlineStr">
        <is>
          <t>КИ</t>
        </is>
      </c>
    </row>
    <row r="379" ht="27" customHeight="1">
      <c r="A379" s="64" t="inlineStr">
        <is>
          <t>SU002158</t>
        </is>
      </c>
      <c r="B379" s="64" t="inlineStr">
        <is>
          <t>P003152</t>
        </is>
      </c>
      <c r="C379" s="37" t="n">
        <v>4301031188</v>
      </c>
      <c r="D379" s="355" t="n">
        <v>4607091383386</v>
      </c>
      <c r="E379" s="602" t="n"/>
      <c r="F379" s="634" t="n">
        <v>0.88</v>
      </c>
      <c r="G379" s="38" t="n">
        <v>6</v>
      </c>
      <c r="H379" s="634" t="n">
        <v>5.28</v>
      </c>
      <c r="I379" s="634" t="n">
        <v>5.64</v>
      </c>
      <c r="J379" s="38" t="n">
        <v>104</v>
      </c>
      <c r="K379" s="39" t="inlineStr">
        <is>
          <t>СК2</t>
        </is>
      </c>
      <c r="L379" s="38" t="n">
        <v>55</v>
      </c>
      <c r="M379" s="849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79" s="636" t="n"/>
      <c r="O379" s="636" t="n"/>
      <c r="P379" s="636" t="n"/>
      <c r="Q379" s="602" t="n"/>
      <c r="R379" s="40" t="inlineStr"/>
      <c r="S379" s="40" t="inlineStr"/>
      <c r="T379" s="41" t="inlineStr">
        <is>
          <t>кг</t>
        </is>
      </c>
      <c r="U379" s="637" t="n">
        <v>170</v>
      </c>
      <c r="V379" s="638">
        <f>IFERROR(IF(U379="",0,CEILING((U379/$H379),1)*$H379),"")</f>
        <v/>
      </c>
      <c r="W379" s="42">
        <f>IFERROR(IF(V379=0,"",ROUNDUP(V379/H379,0)*0.01196),"")</f>
        <v/>
      </c>
      <c r="X379" s="69" t="inlineStr"/>
      <c r="Y379" s="70" t="inlineStr"/>
      <c r="AC379" s="279" t="inlineStr">
        <is>
          <t>КИ</t>
        </is>
      </c>
    </row>
    <row r="380" ht="27" customHeight="1">
      <c r="A380" s="64" t="inlineStr">
        <is>
          <t>SU002151</t>
        </is>
      </c>
      <c r="B380" s="64" t="inlineStr">
        <is>
          <t>P003153</t>
        </is>
      </c>
      <c r="C380" s="37" t="n">
        <v>4301031189</v>
      </c>
      <c r="D380" s="355" t="n">
        <v>4607091383355</v>
      </c>
      <c r="E380" s="602" t="n"/>
      <c r="F380" s="634" t="n">
        <v>0.88</v>
      </c>
      <c r="G380" s="38" t="n">
        <v>6</v>
      </c>
      <c r="H380" s="634" t="n">
        <v>5.28</v>
      </c>
      <c r="I380" s="634" t="n">
        <v>5.64</v>
      </c>
      <c r="J380" s="38" t="n">
        <v>104</v>
      </c>
      <c r="K380" s="39" t="inlineStr">
        <is>
          <t>СК2</t>
        </is>
      </c>
      <c r="L380" s="38" t="n">
        <v>55</v>
      </c>
      <c r="M380" s="850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0" s="636" t="n"/>
      <c r="O380" s="636" t="n"/>
      <c r="P380" s="636" t="n"/>
      <c r="Q380" s="602" t="n"/>
      <c r="R380" s="40" t="inlineStr"/>
      <c r="S380" s="40" t="inlineStr"/>
      <c r="T380" s="41" t="inlineStr">
        <is>
          <t>кг</t>
        </is>
      </c>
      <c r="U380" s="637" t="n">
        <v>0</v>
      </c>
      <c r="V380" s="638">
        <f>IFERROR(IF(U380="",0,CEILING((U380/$H380),1)*$H380),"")</f>
        <v/>
      </c>
      <c r="W380" s="42">
        <f>IFERROR(IF(V380=0,"",ROUNDUP(V380/H380,0)*0.01196),"")</f>
        <v/>
      </c>
      <c r="X380" s="69" t="inlineStr"/>
      <c r="Y380" s="70" t="inlineStr"/>
      <c r="AC380" s="280" t="inlineStr">
        <is>
          <t>КИ</t>
        </is>
      </c>
    </row>
    <row r="381" ht="27" customHeight="1">
      <c r="A381" s="64" t="inlineStr">
        <is>
          <t>SU002916</t>
        </is>
      </c>
      <c r="B381" s="64" t="inlineStr">
        <is>
          <t>P003342</t>
        </is>
      </c>
      <c r="C381" s="37" t="n">
        <v>4301031214</v>
      </c>
      <c r="D381" s="355" t="n">
        <v>4680115882072</v>
      </c>
      <c r="E381" s="602" t="n"/>
      <c r="F381" s="634" t="n">
        <v>0.6</v>
      </c>
      <c r="G381" s="38" t="n">
        <v>6</v>
      </c>
      <c r="H381" s="634" t="n">
        <v>3.6</v>
      </c>
      <c r="I381" s="634" t="n">
        <v>3.84</v>
      </c>
      <c r="J381" s="38" t="n">
        <v>120</v>
      </c>
      <c r="K381" s="39" t="inlineStr">
        <is>
          <t>СК1</t>
        </is>
      </c>
      <c r="L381" s="38" t="n">
        <v>55</v>
      </c>
      <c r="M381" s="851" t="inlineStr">
        <is>
          <t>В/к колбасы "Рубленая Запеченная" Фикс.вес 0,6 Вектор ТМ "Дугушка"</t>
        </is>
      </c>
      <c r="N381" s="636" t="n"/>
      <c r="O381" s="636" t="n"/>
      <c r="P381" s="636" t="n"/>
      <c r="Q381" s="602" t="n"/>
      <c r="R381" s="40" t="inlineStr"/>
      <c r="S381" s="40" t="inlineStr"/>
      <c r="T381" s="41" t="inlineStr">
        <is>
          <t>кг</t>
        </is>
      </c>
      <c r="U381" s="637" t="n">
        <v>0</v>
      </c>
      <c r="V381" s="638">
        <f>IFERROR(IF(U381="",0,CEILING((U381/$H381),1)*$H381),"")</f>
        <v/>
      </c>
      <c r="W381" s="42">
        <f>IFERROR(IF(V381=0,"",ROUNDUP(V381/H381,0)*0.00937),"")</f>
        <v/>
      </c>
      <c r="X381" s="69" t="inlineStr"/>
      <c r="Y381" s="70" t="inlineStr"/>
      <c r="AC381" s="281" t="inlineStr">
        <is>
          <t>КИ</t>
        </is>
      </c>
    </row>
    <row r="382" ht="27" customHeight="1">
      <c r="A382" s="64" t="inlineStr">
        <is>
          <t>SU002919</t>
        </is>
      </c>
      <c r="B382" s="64" t="inlineStr">
        <is>
          <t>P003345</t>
        </is>
      </c>
      <c r="C382" s="37" t="n">
        <v>4301031217</v>
      </c>
      <c r="D382" s="355" t="n">
        <v>4680115882102</v>
      </c>
      <c r="E382" s="602" t="n"/>
      <c r="F382" s="634" t="n">
        <v>0.6</v>
      </c>
      <c r="G382" s="38" t="n">
        <v>6</v>
      </c>
      <c r="H382" s="634" t="n">
        <v>3.6</v>
      </c>
      <c r="I382" s="634" t="n">
        <v>3.81</v>
      </c>
      <c r="J382" s="38" t="n">
        <v>120</v>
      </c>
      <c r="K382" s="39" t="inlineStr">
        <is>
          <t>СК2</t>
        </is>
      </c>
      <c r="L382" s="38" t="n">
        <v>55</v>
      </c>
      <c r="M382" s="852" t="inlineStr">
        <is>
          <t>В/к колбасы "Салями Запеченая" Фикс.вес 0,6 Вектор ТМ "Дугушка"</t>
        </is>
      </c>
      <c r="N382" s="636" t="n"/>
      <c r="O382" s="636" t="n"/>
      <c r="P382" s="636" t="n"/>
      <c r="Q382" s="602" t="n"/>
      <c r="R382" s="40" t="inlineStr"/>
      <c r="S382" s="40" t="inlineStr"/>
      <c r="T382" s="41" t="inlineStr">
        <is>
          <t>кг</t>
        </is>
      </c>
      <c r="U382" s="637" t="n">
        <v>0</v>
      </c>
      <c r="V382" s="638">
        <f>IFERROR(IF(U382="",0,CEILING((U382/$H382),1)*$H382),"")</f>
        <v/>
      </c>
      <c r="W382" s="42">
        <f>IFERROR(IF(V382=0,"",ROUNDUP(V382/H382,0)*0.00937),"")</f>
        <v/>
      </c>
      <c r="X382" s="69" t="inlineStr"/>
      <c r="Y382" s="70" t="inlineStr"/>
      <c r="AC382" s="282" t="inlineStr">
        <is>
          <t>КИ</t>
        </is>
      </c>
    </row>
    <row r="383" ht="27" customHeight="1">
      <c r="A383" s="64" t="inlineStr">
        <is>
          <t>SU002918</t>
        </is>
      </c>
      <c r="B383" s="64" t="inlineStr">
        <is>
          <t>P003344</t>
        </is>
      </c>
      <c r="C383" s="37" t="n">
        <v>4301031216</v>
      </c>
      <c r="D383" s="355" t="n">
        <v>4680115882096</v>
      </c>
      <c r="E383" s="602" t="n"/>
      <c r="F383" s="634" t="n">
        <v>0.6</v>
      </c>
      <c r="G383" s="38" t="n">
        <v>6</v>
      </c>
      <c r="H383" s="634" t="n">
        <v>3.6</v>
      </c>
      <c r="I383" s="634" t="n">
        <v>3.81</v>
      </c>
      <c r="J383" s="38" t="n">
        <v>120</v>
      </c>
      <c r="K383" s="39" t="inlineStr">
        <is>
          <t>СК2</t>
        </is>
      </c>
      <c r="L383" s="38" t="n">
        <v>55</v>
      </c>
      <c r="M383" s="853" t="inlineStr">
        <is>
          <t>В/к колбасы "Сервелат Запеченный" Фикс.вес 0,6 Вектор ТМ "Дугушка"</t>
        </is>
      </c>
      <c r="N383" s="636" t="n"/>
      <c r="O383" s="636" t="n"/>
      <c r="P383" s="636" t="n"/>
      <c r="Q383" s="602" t="n"/>
      <c r="R383" s="40" t="inlineStr"/>
      <c r="S383" s="40" t="inlineStr"/>
      <c r="T383" s="41" t="inlineStr">
        <is>
          <t>кг</t>
        </is>
      </c>
      <c r="U383" s="637" t="n">
        <v>0</v>
      </c>
      <c r="V383" s="638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283" t="inlineStr">
        <is>
          <t>КИ</t>
        </is>
      </c>
    </row>
    <row r="384">
      <c r="A384" s="363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39" t="n"/>
      <c r="M384" s="640" t="inlineStr">
        <is>
          <t>Итого</t>
        </is>
      </c>
      <c r="N384" s="610" t="n"/>
      <c r="O384" s="610" t="n"/>
      <c r="P384" s="610" t="n"/>
      <c r="Q384" s="610" t="n"/>
      <c r="R384" s="610" t="n"/>
      <c r="S384" s="611" t="n"/>
      <c r="T384" s="43" t="inlineStr">
        <is>
          <t>кор</t>
        </is>
      </c>
      <c r="U384" s="641">
        <f>IFERROR(U378/H378,"0")+IFERROR(U379/H379,"0")+IFERROR(U380/H380,"0")+IFERROR(U381/H381,"0")+IFERROR(U382/H382,"0")+IFERROR(U383/H383,"0")</f>
        <v/>
      </c>
      <c r="V384" s="641">
        <f>IFERROR(V378/H378,"0")+IFERROR(V379/H379,"0")+IFERROR(V380/H380,"0")+IFERROR(V381/H381,"0")+IFERROR(V382/H382,"0")+IFERROR(V383/H383,"0")</f>
        <v/>
      </c>
      <c r="W384" s="641">
        <f>IFERROR(IF(W378="",0,W378),"0")+IFERROR(IF(W379="",0,W379),"0")+IFERROR(IF(W380="",0,W380),"0")+IFERROR(IF(W381="",0,W381),"0")+IFERROR(IF(W382="",0,W382),"0")+IFERROR(IF(W383="",0,W383),"0")</f>
        <v/>
      </c>
      <c r="X384" s="642" t="n"/>
      <c r="Y384" s="642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39" t="n"/>
      <c r="M385" s="640" t="inlineStr">
        <is>
          <t>Итого</t>
        </is>
      </c>
      <c r="N385" s="610" t="n"/>
      <c r="O385" s="610" t="n"/>
      <c r="P385" s="610" t="n"/>
      <c r="Q385" s="610" t="n"/>
      <c r="R385" s="610" t="n"/>
      <c r="S385" s="611" t="n"/>
      <c r="T385" s="43" t="inlineStr">
        <is>
          <t>кг</t>
        </is>
      </c>
      <c r="U385" s="641">
        <f>IFERROR(SUM(U378:U383),"0")</f>
        <v/>
      </c>
      <c r="V385" s="641">
        <f>IFERROR(SUM(V378:V383),"0")</f>
        <v/>
      </c>
      <c r="W385" s="43" t="n"/>
      <c r="X385" s="642" t="n"/>
      <c r="Y385" s="642" t="n"/>
    </row>
    <row r="386" ht="14.25" customHeight="1">
      <c r="A386" s="354" t="inlineStr">
        <is>
          <t>Сосиски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354" t="n"/>
      <c r="Y386" s="354" t="n"/>
    </row>
    <row r="387" ht="16.5" customHeight="1">
      <c r="A387" s="64" t="inlineStr">
        <is>
          <t>SU002218</t>
        </is>
      </c>
      <c r="B387" s="64" t="inlineStr">
        <is>
          <t>P002854</t>
        </is>
      </c>
      <c r="C387" s="37" t="n">
        <v>4301051230</v>
      </c>
      <c r="D387" s="355" t="n">
        <v>4607091383409</v>
      </c>
      <c r="E387" s="602" t="n"/>
      <c r="F387" s="634" t="n">
        <v>1.3</v>
      </c>
      <c r="G387" s="38" t="n">
        <v>6</v>
      </c>
      <c r="H387" s="634" t="n">
        <v>7.8</v>
      </c>
      <c r="I387" s="634" t="n">
        <v>8.346</v>
      </c>
      <c r="J387" s="38" t="n">
        <v>56</v>
      </c>
      <c r="K387" s="39" t="inlineStr">
        <is>
          <t>СК2</t>
        </is>
      </c>
      <c r="L387" s="38" t="n">
        <v>45</v>
      </c>
      <c r="M387" s="854">
        <f>HYPERLINK("https://abi.ru/products/Охлажденные/Дугушка/Дугушка/Сосиски/P002854/","Сосиски Молочные Дугушки Дугушка Весовые П/а мгс Дугушка")</f>
        <v/>
      </c>
      <c r="N387" s="636" t="n"/>
      <c r="O387" s="636" t="n"/>
      <c r="P387" s="636" t="n"/>
      <c r="Q387" s="602" t="n"/>
      <c r="R387" s="40" t="inlineStr"/>
      <c r="S387" s="40" t="inlineStr"/>
      <c r="T387" s="41" t="inlineStr">
        <is>
          <t>кг</t>
        </is>
      </c>
      <c r="U387" s="637" t="n">
        <v>0</v>
      </c>
      <c r="V387" s="638">
        <f>IFERROR(IF(U387="",0,CEILING((U387/$H387),1)*$H387),"")</f>
        <v/>
      </c>
      <c r="W387" s="42">
        <f>IFERROR(IF(V387=0,"",ROUNDUP(V387/H387,0)*0.02175),"")</f>
        <v/>
      </c>
      <c r="X387" s="69" t="inlineStr"/>
      <c r="Y387" s="70" t="inlineStr"/>
      <c r="AC387" s="284" t="inlineStr">
        <is>
          <t>КИ</t>
        </is>
      </c>
    </row>
    <row r="388" ht="16.5" customHeight="1">
      <c r="A388" s="64" t="inlineStr">
        <is>
          <t>SU002219</t>
        </is>
      </c>
      <c r="B388" s="64" t="inlineStr">
        <is>
          <t>P002855</t>
        </is>
      </c>
      <c r="C388" s="37" t="n">
        <v>4301051231</v>
      </c>
      <c r="D388" s="355" t="n">
        <v>4607091383416</v>
      </c>
      <c r="E388" s="602" t="n"/>
      <c r="F388" s="634" t="n">
        <v>1.3</v>
      </c>
      <c r="G388" s="38" t="n">
        <v>6</v>
      </c>
      <c r="H388" s="634" t="n">
        <v>7.8</v>
      </c>
      <c r="I388" s="634" t="n">
        <v>8.346</v>
      </c>
      <c r="J388" s="38" t="n">
        <v>56</v>
      </c>
      <c r="K388" s="39" t="inlineStr">
        <is>
          <t>СК2</t>
        </is>
      </c>
      <c r="L388" s="38" t="n">
        <v>45</v>
      </c>
      <c r="M388" s="855">
        <f>HYPERLINK("https://abi.ru/products/Охлажденные/Дугушка/Дугушка/Сосиски/P002855/","Сосиски Сливочные Дугушки Дугушка Весовые П/а мгс Дугушка")</f>
        <v/>
      </c>
      <c r="N388" s="636" t="n"/>
      <c r="O388" s="636" t="n"/>
      <c r="P388" s="636" t="n"/>
      <c r="Q388" s="602" t="n"/>
      <c r="R388" s="40" t="inlineStr"/>
      <c r="S388" s="40" t="inlineStr"/>
      <c r="T388" s="41" t="inlineStr">
        <is>
          <t>кг</t>
        </is>
      </c>
      <c r="U388" s="637" t="n">
        <v>0</v>
      </c>
      <c r="V388" s="638">
        <f>IFERROR(IF(U388="",0,CEILING((U388/$H388),1)*$H388),"")</f>
        <v/>
      </c>
      <c r="W388" s="42">
        <f>IFERROR(IF(V388=0,"",ROUNDUP(V388/H388,0)*0.02175),"")</f>
        <v/>
      </c>
      <c r="X388" s="69" t="inlineStr"/>
      <c r="Y388" s="70" t="inlineStr"/>
      <c r="AC388" s="285" t="inlineStr">
        <is>
          <t>КИ</t>
        </is>
      </c>
    </row>
    <row r="389">
      <c r="A389" s="363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39" t="n"/>
      <c r="M389" s="640" t="inlineStr">
        <is>
          <t>Итого</t>
        </is>
      </c>
      <c r="N389" s="610" t="n"/>
      <c r="O389" s="610" t="n"/>
      <c r="P389" s="610" t="n"/>
      <c r="Q389" s="610" t="n"/>
      <c r="R389" s="610" t="n"/>
      <c r="S389" s="611" t="n"/>
      <c r="T389" s="43" t="inlineStr">
        <is>
          <t>кор</t>
        </is>
      </c>
      <c r="U389" s="641">
        <f>IFERROR(U387/H387,"0")+IFERROR(U388/H388,"0")</f>
        <v/>
      </c>
      <c r="V389" s="641">
        <f>IFERROR(V387/H387,"0")+IFERROR(V388/H388,"0")</f>
        <v/>
      </c>
      <c r="W389" s="641">
        <f>IFERROR(IF(W387="",0,W387),"0")+IFERROR(IF(W388="",0,W388),"0")</f>
        <v/>
      </c>
      <c r="X389" s="642" t="n"/>
      <c r="Y389" s="642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39" t="n"/>
      <c r="M390" s="640" t="inlineStr">
        <is>
          <t>Итого</t>
        </is>
      </c>
      <c r="N390" s="610" t="n"/>
      <c r="O390" s="610" t="n"/>
      <c r="P390" s="610" t="n"/>
      <c r="Q390" s="610" t="n"/>
      <c r="R390" s="610" t="n"/>
      <c r="S390" s="611" t="n"/>
      <c r="T390" s="43" t="inlineStr">
        <is>
          <t>кг</t>
        </is>
      </c>
      <c r="U390" s="641">
        <f>IFERROR(SUM(U387:U388),"0")</f>
        <v/>
      </c>
      <c r="V390" s="641">
        <f>IFERROR(SUM(V387:V388),"0")</f>
        <v/>
      </c>
      <c r="W390" s="43" t="n"/>
      <c r="X390" s="642" t="n"/>
      <c r="Y390" s="642" t="n"/>
    </row>
    <row r="391" ht="27.75" customHeight="1">
      <c r="A391" s="352" t="inlineStr">
        <is>
          <t>Зареченские</t>
        </is>
      </c>
      <c r="B391" s="633" t="n"/>
      <c r="C391" s="633" t="n"/>
      <c r="D391" s="633" t="n"/>
      <c r="E391" s="633" t="n"/>
      <c r="F391" s="633" t="n"/>
      <c r="G391" s="633" t="n"/>
      <c r="H391" s="633" t="n"/>
      <c r="I391" s="633" t="n"/>
      <c r="J391" s="633" t="n"/>
      <c r="K391" s="633" t="n"/>
      <c r="L391" s="633" t="n"/>
      <c r="M391" s="633" t="n"/>
      <c r="N391" s="633" t="n"/>
      <c r="O391" s="633" t="n"/>
      <c r="P391" s="633" t="n"/>
      <c r="Q391" s="633" t="n"/>
      <c r="R391" s="633" t="n"/>
      <c r="S391" s="633" t="n"/>
      <c r="T391" s="633" t="n"/>
      <c r="U391" s="633" t="n"/>
      <c r="V391" s="633" t="n"/>
      <c r="W391" s="633" t="n"/>
      <c r="X391" s="55" t="n"/>
      <c r="Y391" s="55" t="n"/>
    </row>
    <row r="392" ht="16.5" customHeight="1">
      <c r="A392" s="353" t="inlineStr">
        <is>
          <t>Зареченские продукты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53" t="n"/>
      <c r="Y392" s="353" t="n"/>
    </row>
    <row r="393" ht="14.25" customHeight="1">
      <c r="A393" s="354" t="inlineStr">
        <is>
          <t>Вареные колбасы</t>
        </is>
      </c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354" t="n"/>
      <c r="Y393" s="354" t="n"/>
    </row>
    <row r="394" ht="27" customHeight="1">
      <c r="A394" s="64" t="inlineStr">
        <is>
          <t>SU002807</t>
        </is>
      </c>
      <c r="B394" s="64" t="inlineStr">
        <is>
          <t>P003210</t>
        </is>
      </c>
      <c r="C394" s="37" t="n">
        <v>4301011434</v>
      </c>
      <c r="D394" s="355" t="n">
        <v>4680115881099</v>
      </c>
      <c r="E394" s="602" t="n"/>
      <c r="F394" s="634" t="n">
        <v>1.5</v>
      </c>
      <c r="G394" s="38" t="n">
        <v>8</v>
      </c>
      <c r="H394" s="634" t="n">
        <v>12</v>
      </c>
      <c r="I394" s="634" t="n">
        <v>12.48</v>
      </c>
      <c r="J394" s="38" t="n">
        <v>56</v>
      </c>
      <c r="K394" s="39" t="inlineStr">
        <is>
          <t>СК1</t>
        </is>
      </c>
      <c r="L394" s="38" t="n">
        <v>50</v>
      </c>
      <c r="M394" s="856" t="inlineStr">
        <is>
          <t>Вареные колбасы "Муромская" Весовой п/а ТМ "Зареченские"</t>
        </is>
      </c>
      <c r="N394" s="636" t="n"/>
      <c r="O394" s="636" t="n"/>
      <c r="P394" s="636" t="n"/>
      <c r="Q394" s="602" t="n"/>
      <c r="R394" s="40" t="inlineStr"/>
      <c r="S394" s="40" t="inlineStr"/>
      <c r="T394" s="41" t="inlineStr">
        <is>
          <t>кг</t>
        </is>
      </c>
      <c r="U394" s="637" t="n">
        <v>0</v>
      </c>
      <c r="V394" s="638">
        <f>IFERROR(IF(U394="",0,CEILING((U394/$H394),1)*$H394),"")</f>
        <v/>
      </c>
      <c r="W394" s="42">
        <f>IFERROR(IF(V394=0,"",ROUNDUP(V394/H394,0)*0.02175),"")</f>
        <v/>
      </c>
      <c r="X394" s="69" t="inlineStr"/>
      <c r="Y394" s="70" t="inlineStr"/>
      <c r="AC394" s="286" t="inlineStr">
        <is>
          <t>КИ</t>
        </is>
      </c>
    </row>
    <row r="395" ht="27" customHeight="1">
      <c r="A395" s="64" t="inlineStr">
        <is>
          <t>SU002808</t>
        </is>
      </c>
      <c r="B395" s="64" t="inlineStr">
        <is>
          <t>P003214</t>
        </is>
      </c>
      <c r="C395" s="37" t="n">
        <v>4301011435</v>
      </c>
      <c r="D395" s="355" t="n">
        <v>4680115881150</v>
      </c>
      <c r="E395" s="602" t="n"/>
      <c r="F395" s="634" t="n">
        <v>1.5</v>
      </c>
      <c r="G395" s="38" t="n">
        <v>8</v>
      </c>
      <c r="H395" s="634" t="n">
        <v>12</v>
      </c>
      <c r="I395" s="634" t="n">
        <v>12.48</v>
      </c>
      <c r="J395" s="38" t="n">
        <v>56</v>
      </c>
      <c r="K395" s="39" t="inlineStr">
        <is>
          <t>СК1</t>
        </is>
      </c>
      <c r="L395" s="38" t="n">
        <v>50</v>
      </c>
      <c r="M395" s="857" t="inlineStr">
        <is>
          <t>Вареные колбасы "Нежная" НТУ Весовые П/а ТМ "Зареченские"</t>
        </is>
      </c>
      <c r="N395" s="636" t="n"/>
      <c r="O395" s="636" t="n"/>
      <c r="P395" s="636" t="n"/>
      <c r="Q395" s="602" t="n"/>
      <c r="R395" s="40" t="inlineStr"/>
      <c r="S395" s="40" t="inlineStr"/>
      <c r="T395" s="41" t="inlineStr">
        <is>
          <t>кг</t>
        </is>
      </c>
      <c r="U395" s="637" t="n">
        <v>0</v>
      </c>
      <c r="V395" s="638">
        <f>IFERROR(IF(U395="",0,CEILING((U395/$H395),1)*$H395),"")</f>
        <v/>
      </c>
      <c r="W395" s="42">
        <f>IFERROR(IF(V395=0,"",ROUNDUP(V395/H395,0)*0.02175),"")</f>
        <v/>
      </c>
      <c r="X395" s="69" t="inlineStr"/>
      <c r="Y395" s="70" t="inlineStr"/>
      <c r="AC395" s="287" t="inlineStr">
        <is>
          <t>КИ</t>
        </is>
      </c>
    </row>
    <row r="396">
      <c r="A396" s="363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639" t="n"/>
      <c r="M396" s="640" t="inlineStr">
        <is>
          <t>Итого</t>
        </is>
      </c>
      <c r="N396" s="610" t="n"/>
      <c r="O396" s="610" t="n"/>
      <c r="P396" s="610" t="n"/>
      <c r="Q396" s="610" t="n"/>
      <c r="R396" s="610" t="n"/>
      <c r="S396" s="611" t="n"/>
      <c r="T396" s="43" t="inlineStr">
        <is>
          <t>кор</t>
        </is>
      </c>
      <c r="U396" s="641">
        <f>IFERROR(U394/H394,"0")+IFERROR(U395/H395,"0")</f>
        <v/>
      </c>
      <c r="V396" s="641">
        <f>IFERROR(V394/H394,"0")+IFERROR(V395/H395,"0")</f>
        <v/>
      </c>
      <c r="W396" s="641">
        <f>IFERROR(IF(W394="",0,W394),"0")+IFERROR(IF(W395="",0,W395),"0")</f>
        <v/>
      </c>
      <c r="X396" s="642" t="n"/>
      <c r="Y396" s="642" t="n"/>
    </row>
    <row r="397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39" t="n"/>
      <c r="M397" s="640" t="inlineStr">
        <is>
          <t>Итого</t>
        </is>
      </c>
      <c r="N397" s="610" t="n"/>
      <c r="O397" s="610" t="n"/>
      <c r="P397" s="610" t="n"/>
      <c r="Q397" s="610" t="n"/>
      <c r="R397" s="610" t="n"/>
      <c r="S397" s="611" t="n"/>
      <c r="T397" s="43" t="inlineStr">
        <is>
          <t>кг</t>
        </is>
      </c>
      <c r="U397" s="641">
        <f>IFERROR(SUM(U394:U395),"0")</f>
        <v/>
      </c>
      <c r="V397" s="641">
        <f>IFERROR(SUM(V394:V395),"0")</f>
        <v/>
      </c>
      <c r="W397" s="43" t="n"/>
      <c r="X397" s="642" t="n"/>
      <c r="Y397" s="642" t="n"/>
    </row>
    <row r="398" ht="14.25" customHeight="1">
      <c r="A398" s="354" t="inlineStr">
        <is>
          <t>Ветчины</t>
        </is>
      </c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354" t="n"/>
      <c r="Y398" s="354" t="n"/>
    </row>
    <row r="399" ht="16.5" customHeight="1">
      <c r="A399" s="64" t="inlineStr">
        <is>
          <t>SU002806</t>
        </is>
      </c>
      <c r="B399" s="64" t="inlineStr">
        <is>
          <t>P003207</t>
        </is>
      </c>
      <c r="C399" s="37" t="n">
        <v>4301020230</v>
      </c>
      <c r="D399" s="355" t="n">
        <v>4680115881112</v>
      </c>
      <c r="E399" s="602" t="n"/>
      <c r="F399" s="634" t="n">
        <v>1.35</v>
      </c>
      <c r="G399" s="38" t="n">
        <v>8</v>
      </c>
      <c r="H399" s="634" t="n">
        <v>10.8</v>
      </c>
      <c r="I399" s="634" t="n">
        <v>11.28</v>
      </c>
      <c r="J399" s="38" t="n">
        <v>56</v>
      </c>
      <c r="K399" s="39" t="inlineStr">
        <is>
          <t>СК1</t>
        </is>
      </c>
      <c r="L399" s="38" t="n">
        <v>50</v>
      </c>
      <c r="M399" s="858" t="inlineStr">
        <is>
          <t>Ветчины "Нежная" Весовой п/а ТМ "Зареченские"</t>
        </is>
      </c>
      <c r="N399" s="636" t="n"/>
      <c r="O399" s="636" t="n"/>
      <c r="P399" s="636" t="n"/>
      <c r="Q399" s="602" t="n"/>
      <c r="R399" s="40" t="inlineStr"/>
      <c r="S399" s="40" t="inlineStr"/>
      <c r="T399" s="41" t="inlineStr">
        <is>
          <t>кг</t>
        </is>
      </c>
      <c r="U399" s="637" t="n">
        <v>0</v>
      </c>
      <c r="V399" s="638">
        <f>IFERROR(IF(U399="",0,CEILING((U399/$H399),1)*$H399),"")</f>
        <v/>
      </c>
      <c r="W399" s="42">
        <f>IFERROR(IF(V399=0,"",ROUNDUP(V399/H399,0)*0.02175),"")</f>
        <v/>
      </c>
      <c r="X399" s="69" t="inlineStr"/>
      <c r="Y399" s="70" t="inlineStr"/>
      <c r="AC399" s="288" t="inlineStr">
        <is>
          <t>КИ</t>
        </is>
      </c>
    </row>
    <row r="400" ht="27" customHeight="1">
      <c r="A400" s="64" t="inlineStr">
        <is>
          <t>SU002811</t>
        </is>
      </c>
      <c r="B400" s="64" t="inlineStr">
        <is>
          <t>P003208</t>
        </is>
      </c>
      <c r="C400" s="37" t="n">
        <v>4301020231</v>
      </c>
      <c r="D400" s="355" t="n">
        <v>4680115881129</v>
      </c>
      <c r="E400" s="602" t="n"/>
      <c r="F400" s="634" t="n">
        <v>1.8</v>
      </c>
      <c r="G400" s="38" t="n">
        <v>6</v>
      </c>
      <c r="H400" s="634" t="n">
        <v>10.8</v>
      </c>
      <c r="I400" s="634" t="n">
        <v>11.28</v>
      </c>
      <c r="J400" s="38" t="n">
        <v>56</v>
      </c>
      <c r="K400" s="39" t="inlineStr">
        <is>
          <t>СК1</t>
        </is>
      </c>
      <c r="L400" s="38" t="n">
        <v>50</v>
      </c>
      <c r="M400" s="859" t="inlineStr">
        <is>
          <t>Ветчины "Нежная" Весовой п/а ТМ "Зареченские" большой батон</t>
        </is>
      </c>
      <c r="N400" s="636" t="n"/>
      <c r="O400" s="636" t="n"/>
      <c r="P400" s="636" t="n"/>
      <c r="Q400" s="602" t="n"/>
      <c r="R400" s="40" t="inlineStr"/>
      <c r="S400" s="40" t="inlineStr"/>
      <c r="T400" s="41" t="inlineStr">
        <is>
          <t>кг</t>
        </is>
      </c>
      <c r="U400" s="637" t="n">
        <v>0</v>
      </c>
      <c r="V400" s="638">
        <f>IFERROR(IF(U400="",0,CEILING((U400/$H400),1)*$H400),"")</f>
        <v/>
      </c>
      <c r="W400" s="42">
        <f>IFERROR(IF(V400=0,"",ROUNDUP(V400/H400,0)*0.02175),"")</f>
        <v/>
      </c>
      <c r="X400" s="69" t="inlineStr"/>
      <c r="Y400" s="70" t="inlineStr"/>
      <c r="AC400" s="289" t="inlineStr">
        <is>
          <t>КИ</t>
        </is>
      </c>
    </row>
    <row r="401">
      <c r="A401" s="36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39" t="n"/>
      <c r="M401" s="640" t="inlineStr">
        <is>
          <t>Итого</t>
        </is>
      </c>
      <c r="N401" s="610" t="n"/>
      <c r="O401" s="610" t="n"/>
      <c r="P401" s="610" t="n"/>
      <c r="Q401" s="610" t="n"/>
      <c r="R401" s="610" t="n"/>
      <c r="S401" s="611" t="n"/>
      <c r="T401" s="43" t="inlineStr">
        <is>
          <t>кор</t>
        </is>
      </c>
      <c r="U401" s="641">
        <f>IFERROR(U399/H399,"0")+IFERROR(U400/H400,"0")</f>
        <v/>
      </c>
      <c r="V401" s="641">
        <f>IFERROR(V399/H399,"0")+IFERROR(V400/H400,"0")</f>
        <v/>
      </c>
      <c r="W401" s="641">
        <f>IFERROR(IF(W399="",0,W399),"0")+IFERROR(IF(W400="",0,W400),"0")</f>
        <v/>
      </c>
      <c r="X401" s="642" t="n"/>
      <c r="Y401" s="642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39" t="n"/>
      <c r="M402" s="640" t="inlineStr">
        <is>
          <t>Итого</t>
        </is>
      </c>
      <c r="N402" s="610" t="n"/>
      <c r="O402" s="610" t="n"/>
      <c r="P402" s="610" t="n"/>
      <c r="Q402" s="610" t="n"/>
      <c r="R402" s="610" t="n"/>
      <c r="S402" s="611" t="n"/>
      <c r="T402" s="43" t="inlineStr">
        <is>
          <t>кг</t>
        </is>
      </c>
      <c r="U402" s="641">
        <f>IFERROR(SUM(U399:U400),"0")</f>
        <v/>
      </c>
      <c r="V402" s="641">
        <f>IFERROR(SUM(V399:V400),"0")</f>
        <v/>
      </c>
      <c r="W402" s="43" t="n"/>
      <c r="X402" s="642" t="n"/>
      <c r="Y402" s="642" t="n"/>
    </row>
    <row r="403" ht="14.25" customHeight="1">
      <c r="A403" s="354" t="inlineStr">
        <is>
          <t>Копченые колбасы</t>
        </is>
      </c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354" t="n"/>
      <c r="Y403" s="354" t="n"/>
    </row>
    <row r="404" ht="27" customHeight="1">
      <c r="A404" s="64" t="inlineStr">
        <is>
          <t>SU002805</t>
        </is>
      </c>
      <c r="B404" s="64" t="inlineStr">
        <is>
          <t>P003206</t>
        </is>
      </c>
      <c r="C404" s="37" t="n">
        <v>4301031192</v>
      </c>
      <c r="D404" s="355" t="n">
        <v>4680115881167</v>
      </c>
      <c r="E404" s="602" t="n"/>
      <c r="F404" s="634" t="n">
        <v>0.63</v>
      </c>
      <c r="G404" s="38" t="n">
        <v>6</v>
      </c>
      <c r="H404" s="634" t="n">
        <v>3.78</v>
      </c>
      <c r="I404" s="634" t="n">
        <v>4.04</v>
      </c>
      <c r="J404" s="38" t="n">
        <v>156</v>
      </c>
      <c r="K404" s="39" t="inlineStr">
        <is>
          <t>СК2</t>
        </is>
      </c>
      <c r="L404" s="38" t="n">
        <v>40</v>
      </c>
      <c r="M404" s="860" t="inlineStr">
        <is>
          <t>Копченые колбасы Пражский Зареченские продукты Весовой фиброуз Зареченские</t>
        </is>
      </c>
      <c r="N404" s="636" t="n"/>
      <c r="O404" s="636" t="n"/>
      <c r="P404" s="636" t="n"/>
      <c r="Q404" s="602" t="n"/>
      <c r="R404" s="40" t="inlineStr"/>
      <c r="S404" s="40" t="inlineStr"/>
      <c r="T404" s="41" t="inlineStr">
        <is>
          <t>кг</t>
        </is>
      </c>
      <c r="U404" s="637" t="n">
        <v>0</v>
      </c>
      <c r="V404" s="638">
        <f>IFERROR(IF(U404="",0,CEILING((U404/$H404),1)*$H404),"")</f>
        <v/>
      </c>
      <c r="W404" s="42">
        <f>IFERROR(IF(V404=0,"",ROUNDUP(V404/H404,0)*0.00753),"")</f>
        <v/>
      </c>
      <c r="X404" s="69" t="inlineStr"/>
      <c r="Y404" s="70" t="inlineStr"/>
      <c r="AC404" s="290" t="inlineStr">
        <is>
          <t>КИ</t>
        </is>
      </c>
    </row>
    <row r="405" ht="16.5" customHeight="1">
      <c r="A405" s="64" t="inlineStr">
        <is>
          <t>SU002809</t>
        </is>
      </c>
      <c r="B405" s="64" t="inlineStr">
        <is>
          <t>P003216</t>
        </is>
      </c>
      <c r="C405" s="37" t="n">
        <v>4301031193</v>
      </c>
      <c r="D405" s="355" t="n">
        <v>4680115881136</v>
      </c>
      <c r="E405" s="602" t="n"/>
      <c r="F405" s="634" t="n">
        <v>0.63</v>
      </c>
      <c r="G405" s="38" t="n">
        <v>6</v>
      </c>
      <c r="H405" s="634" t="n">
        <v>3.78</v>
      </c>
      <c r="I405" s="634" t="n">
        <v>4.04</v>
      </c>
      <c r="J405" s="38" t="n">
        <v>156</v>
      </c>
      <c r="K405" s="39" t="inlineStr">
        <is>
          <t>СК2</t>
        </is>
      </c>
      <c r="L405" s="38" t="n">
        <v>40</v>
      </c>
      <c r="M405" s="861" t="inlineStr">
        <is>
          <t>В/к колбасы "Рижский" НТУ Весовые Фиброуз в/у ТМ "Зареченские"</t>
        </is>
      </c>
      <c r="N405" s="636" t="n"/>
      <c r="O405" s="636" t="n"/>
      <c r="P405" s="636" t="n"/>
      <c r="Q405" s="602" t="n"/>
      <c r="R405" s="40" t="inlineStr"/>
      <c r="S405" s="40" t="inlineStr"/>
      <c r="T405" s="41" t="inlineStr">
        <is>
          <t>кг</t>
        </is>
      </c>
      <c r="U405" s="637" t="n">
        <v>0</v>
      </c>
      <c r="V405" s="638">
        <f>IFERROR(IF(U405="",0,CEILING((U405/$H405),1)*$H405),"")</f>
        <v/>
      </c>
      <c r="W405" s="42">
        <f>IFERROR(IF(V405=0,"",ROUNDUP(V405/H405,0)*0.00753),"")</f>
        <v/>
      </c>
      <c r="X405" s="69" t="inlineStr"/>
      <c r="Y405" s="70" t="inlineStr"/>
      <c r="AC405" s="291" t="inlineStr">
        <is>
          <t>КИ</t>
        </is>
      </c>
    </row>
    <row r="406">
      <c r="A406" s="363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639" t="n"/>
      <c r="M406" s="640" t="inlineStr">
        <is>
          <t>Итого</t>
        </is>
      </c>
      <c r="N406" s="610" t="n"/>
      <c r="O406" s="610" t="n"/>
      <c r="P406" s="610" t="n"/>
      <c r="Q406" s="610" t="n"/>
      <c r="R406" s="610" t="n"/>
      <c r="S406" s="611" t="n"/>
      <c r="T406" s="43" t="inlineStr">
        <is>
          <t>кор</t>
        </is>
      </c>
      <c r="U406" s="641">
        <f>IFERROR(U404/H404,"0")+IFERROR(U405/H405,"0")</f>
        <v/>
      </c>
      <c r="V406" s="641">
        <f>IFERROR(V404/H404,"0")+IFERROR(V405/H405,"0")</f>
        <v/>
      </c>
      <c r="W406" s="641">
        <f>IFERROR(IF(W404="",0,W404),"0")+IFERROR(IF(W405="",0,W405),"0")</f>
        <v/>
      </c>
      <c r="X406" s="642" t="n"/>
      <c r="Y406" s="642" t="n"/>
    </row>
    <row r="407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639" t="n"/>
      <c r="M407" s="640" t="inlineStr">
        <is>
          <t>Итого</t>
        </is>
      </c>
      <c r="N407" s="610" t="n"/>
      <c r="O407" s="610" t="n"/>
      <c r="P407" s="610" t="n"/>
      <c r="Q407" s="610" t="n"/>
      <c r="R407" s="610" t="n"/>
      <c r="S407" s="611" t="n"/>
      <c r="T407" s="43" t="inlineStr">
        <is>
          <t>кг</t>
        </is>
      </c>
      <c r="U407" s="641">
        <f>IFERROR(SUM(U404:U405),"0")</f>
        <v/>
      </c>
      <c r="V407" s="641">
        <f>IFERROR(SUM(V404:V405),"0")</f>
        <v/>
      </c>
      <c r="W407" s="43" t="n"/>
      <c r="X407" s="642" t="n"/>
      <c r="Y407" s="642" t="n"/>
    </row>
    <row r="408" ht="14.25" customHeight="1">
      <c r="A408" s="354" t="inlineStr">
        <is>
          <t>Сосиски</t>
        </is>
      </c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354" t="n"/>
      <c r="Y408" s="354" t="n"/>
    </row>
    <row r="409" ht="27" customHeight="1">
      <c r="A409" s="64" t="inlineStr">
        <is>
          <t>SU002810</t>
        </is>
      </c>
      <c r="B409" s="64" t="inlineStr">
        <is>
          <t>P003215</t>
        </is>
      </c>
      <c r="C409" s="37" t="n">
        <v>4301051383</v>
      </c>
      <c r="D409" s="355" t="n">
        <v>4680115881143</v>
      </c>
      <c r="E409" s="602" t="n"/>
      <c r="F409" s="634" t="n">
        <v>1.3</v>
      </c>
      <c r="G409" s="38" t="n">
        <v>6</v>
      </c>
      <c r="H409" s="634" t="n">
        <v>7.8</v>
      </c>
      <c r="I409" s="634" t="n">
        <v>8.364000000000001</v>
      </c>
      <c r="J409" s="38" t="n">
        <v>56</v>
      </c>
      <c r="K409" s="39" t="inlineStr">
        <is>
          <t>СК2</t>
        </is>
      </c>
      <c r="L409" s="38" t="n">
        <v>40</v>
      </c>
      <c r="M409" s="862" t="inlineStr">
        <is>
          <t>Сосиски "Датские" НТУ Весовые П/а мгс ТМ "Зареченские"</t>
        </is>
      </c>
      <c r="N409" s="636" t="n"/>
      <c r="O409" s="636" t="n"/>
      <c r="P409" s="636" t="n"/>
      <c r="Q409" s="602" t="n"/>
      <c r="R409" s="40" t="inlineStr"/>
      <c r="S409" s="40" t="inlineStr"/>
      <c r="T409" s="41" t="inlineStr">
        <is>
          <t>кг</t>
        </is>
      </c>
      <c r="U409" s="637" t="n">
        <v>460</v>
      </c>
      <c r="V409" s="638">
        <f>IFERROR(IF(U409="",0,CEILING((U409/$H409),1)*$H409),"")</f>
        <v/>
      </c>
      <c r="W409" s="42">
        <f>IFERROR(IF(V409=0,"",ROUNDUP(V409/H409,0)*0.02175),"")</f>
        <v/>
      </c>
      <c r="X409" s="69" t="inlineStr"/>
      <c r="Y409" s="70" t="inlineStr"/>
      <c r="AC409" s="292" t="inlineStr">
        <is>
          <t>КИ</t>
        </is>
      </c>
    </row>
    <row r="410" ht="27" customHeight="1">
      <c r="A410" s="64" t="inlineStr">
        <is>
          <t>SU002803</t>
        </is>
      </c>
      <c r="B410" s="64" t="inlineStr">
        <is>
          <t>P003204</t>
        </is>
      </c>
      <c r="C410" s="37" t="n">
        <v>4301051381</v>
      </c>
      <c r="D410" s="355" t="n">
        <v>4680115881068</v>
      </c>
      <c r="E410" s="602" t="n"/>
      <c r="F410" s="634" t="n">
        <v>1.3</v>
      </c>
      <c r="G410" s="38" t="n">
        <v>6</v>
      </c>
      <c r="H410" s="634" t="n">
        <v>7.8</v>
      </c>
      <c r="I410" s="634" t="n">
        <v>8.279999999999999</v>
      </c>
      <c r="J410" s="38" t="n">
        <v>56</v>
      </c>
      <c r="K410" s="39" t="inlineStr">
        <is>
          <t>СК2</t>
        </is>
      </c>
      <c r="L410" s="38" t="n">
        <v>30</v>
      </c>
      <c r="M410" s="863" t="inlineStr">
        <is>
          <t>Сосиски "Сочные" Весовой п/а ТМ "Зареченские"</t>
        </is>
      </c>
      <c r="N410" s="636" t="n"/>
      <c r="O410" s="636" t="n"/>
      <c r="P410" s="636" t="n"/>
      <c r="Q410" s="602" t="n"/>
      <c r="R410" s="40" t="inlineStr"/>
      <c r="S410" s="40" t="inlineStr"/>
      <c r="T410" s="41" t="inlineStr">
        <is>
          <t>кг</t>
        </is>
      </c>
      <c r="U410" s="637" t="n">
        <v>0</v>
      </c>
      <c r="V410" s="638">
        <f>IFERROR(IF(U410="",0,CEILING((U410/$H410),1)*$H410),"")</f>
        <v/>
      </c>
      <c r="W410" s="42">
        <f>IFERROR(IF(V410=0,"",ROUNDUP(V410/H410,0)*0.02175),"")</f>
        <v/>
      </c>
      <c r="X410" s="69" t="inlineStr"/>
      <c r="Y410" s="70" t="inlineStr"/>
      <c r="AC410" s="293" t="inlineStr">
        <is>
          <t>КИ</t>
        </is>
      </c>
    </row>
    <row r="411" ht="27" customHeight="1">
      <c r="A411" s="64" t="inlineStr">
        <is>
          <t>SU002804</t>
        </is>
      </c>
      <c r="B411" s="64" t="inlineStr">
        <is>
          <t>P003205</t>
        </is>
      </c>
      <c r="C411" s="37" t="n">
        <v>4301051382</v>
      </c>
      <c r="D411" s="355" t="n">
        <v>4680115881075</v>
      </c>
      <c r="E411" s="602" t="n"/>
      <c r="F411" s="634" t="n">
        <v>0.5</v>
      </c>
      <c r="G411" s="38" t="n">
        <v>6</v>
      </c>
      <c r="H411" s="634" t="n">
        <v>3</v>
      </c>
      <c r="I411" s="634" t="n">
        <v>3.2</v>
      </c>
      <c r="J411" s="38" t="n">
        <v>156</v>
      </c>
      <c r="K411" s="39" t="inlineStr">
        <is>
          <t>СК2</t>
        </is>
      </c>
      <c r="L411" s="38" t="n">
        <v>30</v>
      </c>
      <c r="M411" s="864" t="inlineStr">
        <is>
          <t>Сосиски "Сочные" Фикс.вес 0,5 п/а ТМ "Зареченские"</t>
        </is>
      </c>
      <c r="N411" s="636" t="n"/>
      <c r="O411" s="636" t="n"/>
      <c r="P411" s="636" t="n"/>
      <c r="Q411" s="602" t="n"/>
      <c r="R411" s="40" t="inlineStr"/>
      <c r="S411" s="40" t="inlineStr"/>
      <c r="T411" s="41" t="inlineStr">
        <is>
          <t>кг</t>
        </is>
      </c>
      <c r="U411" s="637" t="n">
        <v>0</v>
      </c>
      <c r="V411" s="638">
        <f>IFERROR(IF(U411="",0,CEILING((U411/$H411),1)*$H411),"")</f>
        <v/>
      </c>
      <c r="W411" s="42">
        <f>IFERROR(IF(V411=0,"",ROUNDUP(V411/H411,0)*0.00753),"")</f>
        <v/>
      </c>
      <c r="X411" s="69" t="inlineStr"/>
      <c r="Y411" s="70" t="inlineStr"/>
      <c r="AC411" s="294" t="inlineStr">
        <is>
          <t>КИ</t>
        </is>
      </c>
    </row>
    <row r="412">
      <c r="A412" s="36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39" t="n"/>
      <c r="M412" s="640" t="inlineStr">
        <is>
          <t>Итого</t>
        </is>
      </c>
      <c r="N412" s="610" t="n"/>
      <c r="O412" s="610" t="n"/>
      <c r="P412" s="610" t="n"/>
      <c r="Q412" s="610" t="n"/>
      <c r="R412" s="610" t="n"/>
      <c r="S412" s="611" t="n"/>
      <c r="T412" s="43" t="inlineStr">
        <is>
          <t>кор</t>
        </is>
      </c>
      <c r="U412" s="641">
        <f>IFERROR(U409/H409,"0")+IFERROR(U410/H410,"0")+IFERROR(U411/H411,"0")</f>
        <v/>
      </c>
      <c r="V412" s="641">
        <f>IFERROR(V409/H409,"0")+IFERROR(V410/H410,"0")+IFERROR(V411/H411,"0")</f>
        <v/>
      </c>
      <c r="W412" s="641">
        <f>IFERROR(IF(W409="",0,W409),"0")+IFERROR(IF(W410="",0,W410),"0")+IFERROR(IF(W411="",0,W411),"0")</f>
        <v/>
      </c>
      <c r="X412" s="642" t="n"/>
      <c r="Y412" s="642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39" t="n"/>
      <c r="M413" s="640" t="inlineStr">
        <is>
          <t>Итого</t>
        </is>
      </c>
      <c r="N413" s="610" t="n"/>
      <c r="O413" s="610" t="n"/>
      <c r="P413" s="610" t="n"/>
      <c r="Q413" s="610" t="n"/>
      <c r="R413" s="610" t="n"/>
      <c r="S413" s="611" t="n"/>
      <c r="T413" s="43" t="inlineStr">
        <is>
          <t>кг</t>
        </is>
      </c>
      <c r="U413" s="641">
        <f>IFERROR(SUM(U409:U411),"0")</f>
        <v/>
      </c>
      <c r="V413" s="641">
        <f>IFERROR(SUM(V409:V411),"0")</f>
        <v/>
      </c>
      <c r="W413" s="43" t="n"/>
      <c r="X413" s="642" t="n"/>
      <c r="Y413" s="642" t="n"/>
    </row>
    <row r="414" ht="15" customHeight="1">
      <c r="A414" s="589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599" t="n"/>
      <c r="M414" s="865" t="inlineStr">
        <is>
          <t>ИТОГО НЕТТО</t>
        </is>
      </c>
      <c r="N414" s="593" t="n"/>
      <c r="O414" s="593" t="n"/>
      <c r="P414" s="593" t="n"/>
      <c r="Q414" s="593" t="n"/>
      <c r="R414" s="593" t="n"/>
      <c r="S414" s="594" t="n"/>
      <c r="T414" s="43" t="inlineStr">
        <is>
          <t>кг</t>
        </is>
      </c>
      <c r="U414" s="641">
        <f>IFERROR(U24+U33+U38+U42+U46+U53+U60+U80+U89+U101+U111+U118+U126+U134+U154+U159+U178+U202+U211+U217+U224+U235+U240+U246+U252+U256+U260+U273+U278+U282+U286+U290+U298+U303+U310+U314+U321+U331+U338+U342+U348+U356+U371+U376+U385+U390+U397+U402+U407+U413,"0")</f>
        <v/>
      </c>
      <c r="V414" s="641">
        <f>IFERROR(V24+V33+V38+V42+V46+V53+V60+V80+V89+V101+V111+V118+V126+V134+V154+V159+V178+V202+V211+V217+V224+V235+V240+V246+V252+V256+V260+V273+V278+V282+V286+V290+V298+V303+V310+V314+V321+V331+V338+V342+V348+V356+V371+V376+V385+V390+V397+V402+V407+V413,"0")</f>
        <v/>
      </c>
      <c r="W414" s="43" t="n"/>
      <c r="X414" s="642" t="n"/>
      <c r="Y414" s="642" t="n"/>
    </row>
    <row r="415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599" t="n"/>
      <c r="M415" s="865" t="inlineStr">
        <is>
          <t>ИТОГО БРУТТО</t>
        </is>
      </c>
      <c r="N415" s="593" t="n"/>
      <c r="O415" s="593" t="n"/>
      <c r="P415" s="593" t="n"/>
      <c r="Q415" s="593" t="n"/>
      <c r="R415" s="593" t="n"/>
      <c r="S415" s="594" t="n"/>
      <c r="T415" s="43" t="inlineStr">
        <is>
          <t>кг</t>
        </is>
      </c>
      <c r="U415" s="641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156*I156/H156,"0")+IFERROR(U157*I157/H157,"0")+IFERROR(U161*I161/H161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204*I204/H204,"0")+IFERROR(U205*I205/H205,"0")+IFERROR(U206*I206/H206,"0")+IFERROR(U207*I207/H207,"0")+IFERROR(U208*I208/H208,"0")+IFERROR(U209*I209/H209,"0")+IFERROR(U213*I213/H213,"0")+IFERROR(U214*I214/H214,"0")+IFERROR(U215*I215/H215,"0")+IFERROR(U219*I219/H219,"0")+IFERROR(U220*I220/H220,"0")+IFERROR(U221*I221/H221,"0")+IFERROR(U222*I222/H222,"0")+IFERROR(U227*I227/H227,"0")+IFERROR(U228*I228/H228,"0")+IFERROR(U229*I229/H229,"0")+IFERROR(U230*I230/H230,"0")+IFERROR(U231*I231/H231,"0")+IFERROR(U232*I232/H232,"0")+IFERROR(U233*I233/H233,"0")+IFERROR(U237*I237/H237,"0")+IFERROR(U238*I238/H238,"0")+IFERROR(U243*I243/H243,"0")+IFERROR(U244*I244/H244,"0")+IFERROR(U248*I248/H248,"0")+IFERROR(U249*I249/H249,"0")+IFERROR(U250*I250/H250,"0")+IFERROR(U254*I254/H254,"0")+IFERROR(U258*I258/H258,"0")+IFERROR(U264*I264/H264,"0")+IFERROR(U265*I265/H265,"0")+IFERROR(U266*I266/H266,"0")+IFERROR(U267*I267/H267,"0")+IFERROR(U268*I268/H268,"0")+IFERROR(U269*I269/H269,"0")+IFERROR(U270*I270/H270,"0")+IFERROR(U271*I271/H271,"0")+IFERROR(U275*I275/H275,"0")+IFERROR(U276*I276/H276,"0")+IFERROR(U280*I280/H280,"0")+IFERROR(U284*I284/H284,"0")+IFERROR(U288*I288/H288,"0")+IFERROR(U293*I293/H293,"0")+IFERROR(U294*I294/H294,"0")+IFERROR(U295*I295/H295,"0")+IFERROR(U296*I296/H296,"0")+IFERROR(U300*I300/H300,"0")+IFERROR(U301*I301/H301,"0")+IFERROR(U305*I305/H305,"0")+IFERROR(U306*I306/H306,"0")+IFERROR(U307*I307/H307,"0")+IFERROR(U308*I308/H308,"0")+IFERROR(U312*I312/H312,"0")+IFERROR(U318*I318/H318,"0")+IFERROR(U319*I319/H319,"0")+IFERROR(U323*I323/H323,"0")+IFERROR(U324*I324/H324,"0")+IFERROR(U325*I325/H325,"0")+IFERROR(U326*I326/H326,"0")+IFERROR(U327*I327/H327,"0")+IFERROR(U328*I328/H328,"0")+IFERROR(U329*I329/H329,"0")+IFERROR(U333*I333/H333,"0")+IFERROR(U334*I334/H334,"0")+IFERROR(U335*I335/H335,"0")+IFERROR(U336*I336/H336,"0")+IFERROR(U340*I340/H340,"0")+IFERROR(U345*I345/H345,"0")+IFERROR(U346*I346/H346,"0")+IFERROR(U350*I350/H350,"0")+IFERROR(U351*I351/H351,"0")+IFERROR(U352*I352/H352,"0")+IFERROR(U353*I353/H353,"0")+IFERROR(U354*I354/H354,"0")+IFERROR(U360*I360/H360,"0")+IFERROR(U361*I361/H361,"0")+IFERROR(U362*I362/H362,"0")+IFERROR(U363*I363/H363,"0")+IFERROR(U364*I364/H364,"0")+IFERROR(U365*I365/H365,"0")+IFERROR(U366*I366/H366,"0")+IFERROR(U367*I367/H367,"0")+IFERROR(U368*I368/H368,"0")+IFERROR(U369*I369/H369,"0")+IFERROR(U373*I373/H373,"0")+IFERROR(U374*I374/H374,"0")+IFERROR(U378*I378/H378,"0")+IFERROR(U379*I379/H379,"0")+IFERROR(U380*I380/H380,"0")+IFERROR(U381*I381/H381,"0")+IFERROR(U382*I382/H382,"0")+IFERROR(U383*I383/H383,"0")+IFERROR(U387*I387/H387,"0")+IFERROR(U388*I388/H388,"0")+IFERROR(U394*I394/H394,"0")+IFERROR(U395*I395/H395,"0")+IFERROR(U399*I399/H399,"0")+IFERROR(U400*I400/H400,"0")+IFERROR(U404*I404/H404,"0")+IFERROR(U405*I405/H405,"0")+IFERROR(U409*I409/H409,"0")+IFERROR(U410*I410/H410,"0")+IFERROR(U411*I411/H411,"0"),"0")</f>
        <v/>
      </c>
      <c r="V415" s="641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156*I156/H156,"0")+IFERROR(V157*I157/H157,"0")+IFERROR(V161*I161/H161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204*I204/H204,"0")+IFERROR(V205*I205/H205,"0")+IFERROR(V206*I206/H206,"0")+IFERROR(V207*I207/H207,"0")+IFERROR(V208*I208/H208,"0")+IFERROR(V209*I209/H209,"0")+IFERROR(V213*I213/H213,"0")+IFERROR(V214*I214/H214,"0")+IFERROR(V215*I215/H215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237*I237/H237,"0")+IFERROR(V238*I238/H238,"0")+IFERROR(V243*I243/H243,"0")+IFERROR(V244*I244/H244,"0")+IFERROR(V248*I248/H248,"0")+IFERROR(V249*I249/H249,"0")+IFERROR(V250*I250/H250,"0")+IFERROR(V254*I254/H254,"0")+IFERROR(V258*I258/H258,"0")+IFERROR(V264*I264/H264,"0")+IFERROR(V265*I265/H265,"0")+IFERROR(V266*I266/H266,"0")+IFERROR(V267*I267/H267,"0")+IFERROR(V268*I268/H268,"0")+IFERROR(V269*I269/H269,"0")+IFERROR(V270*I270/H270,"0")+IFERROR(V271*I271/H271,"0")+IFERROR(V275*I275/H275,"0")+IFERROR(V276*I276/H276,"0")+IFERROR(V280*I280/H280,"0")+IFERROR(V284*I284/H284,"0")+IFERROR(V288*I288/H288,"0")+IFERROR(V293*I293/H293,"0")+IFERROR(V294*I294/H294,"0")+IFERROR(V295*I295/H295,"0")+IFERROR(V296*I296/H296,"0")+IFERROR(V300*I300/H300,"0")+IFERROR(V301*I301/H301,"0")+IFERROR(V305*I305/H305,"0")+IFERROR(V306*I306/H306,"0")+IFERROR(V307*I307/H307,"0")+IFERROR(V308*I308/H308,"0")+IFERROR(V312*I312/H312,"0")+IFERROR(V318*I318/H318,"0")+IFERROR(V319*I319/H319,"0")+IFERROR(V323*I323/H323,"0")+IFERROR(V324*I324/H324,"0")+IFERROR(V325*I325/H325,"0")+IFERROR(V326*I326/H326,"0")+IFERROR(V327*I327/H327,"0")+IFERROR(V328*I328/H328,"0")+IFERROR(V329*I329/H329,"0")+IFERROR(V333*I333/H333,"0")+IFERROR(V334*I334/H334,"0")+IFERROR(V335*I335/H335,"0")+IFERROR(V336*I336/H336,"0")+IFERROR(V340*I340/H340,"0")+IFERROR(V345*I345/H345,"0")+IFERROR(V346*I346/H346,"0")+IFERROR(V350*I350/H350,"0")+IFERROR(V351*I351/H351,"0")+IFERROR(V352*I352/H352,"0")+IFERROR(V353*I353/H353,"0")+IFERROR(V354*I354/H354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378*I378/H378,"0")+IFERROR(V379*I379/H379,"0")+IFERROR(V380*I380/H380,"0")+IFERROR(V381*I381/H381,"0")+IFERROR(V382*I382/H382,"0")+IFERROR(V383*I383/H383,"0")+IFERROR(V387*I387/H387,"0")+IFERROR(V388*I388/H388,"0")+IFERROR(V394*I394/H394,"0")+IFERROR(V395*I395/H395,"0")+IFERROR(V399*I399/H399,"0")+IFERROR(V400*I400/H400,"0")+IFERROR(V404*I404/H404,"0")+IFERROR(V405*I405/H405,"0")+IFERROR(V409*I409/H409,"0")+IFERROR(V410*I410/H410,"0")+IFERROR(V411*I411/H411,"0"),"0")</f>
        <v/>
      </c>
      <c r="W415" s="43" t="n"/>
      <c r="X415" s="642" t="n"/>
      <c r="Y415" s="642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599" t="n"/>
      <c r="M416" s="865" t="inlineStr">
        <is>
          <t>Кол-во паллет</t>
        </is>
      </c>
      <c r="N416" s="593" t="n"/>
      <c r="O416" s="593" t="n"/>
      <c r="P416" s="593" t="n"/>
      <c r="Q416" s="593" t="n"/>
      <c r="R416" s="593" t="n"/>
      <c r="S416" s="594" t="n"/>
      <c r="T416" s="43" t="inlineStr">
        <is>
          <t>шт</t>
        </is>
      </c>
      <c r="U416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152*(U137:U152/H137:H152)),"0")+IFERROR(SUMPRODUCT(1/J156:J157*(U156:U157/H156:H157)),"0")+IFERROR(SUMPRODUCT(1/J161:J176*(U161:U176/H161:H176)),"0")+IFERROR(SUMPRODUCT(1/J180:J200*(U180:U200/H180:H200)),"0")+IFERROR(SUMPRODUCT(1/J204:J209*(U204:U209/H204:H209)),"0")+IFERROR(SUMPRODUCT(1/J213:J215*(U213:U215/H213:H215)),"0")+IFERROR(SUMPRODUCT(1/J219:J222*(U219:U222/H219:H222)),"0")+IFERROR(SUMPRODUCT(1/J227:J233*(U227:U233/H227:H233)),"0")+IFERROR(SUMPRODUCT(1/J237:J238*(U237:U238/H237:H238)),"0")+IFERROR(SUMPRODUCT(1/J243:J244*(U243:U244/H243:H244)),"0")+IFERROR(SUMPRODUCT(1/J248:J250*(U248:U250/H248:H250)),"0")+IFERROR(SUMPRODUCT(1/J254:J254*(U254:U254/H254:H254)),"0")+IFERROR(SUMPRODUCT(1/J258:J258*(U258:U258/H258:H258)),"0")+IFERROR(SUMPRODUCT(1/J264:J271*(U264:U271/H264:H271)),"0")+IFERROR(SUMPRODUCT(1/J275:J276*(U275:U276/H275:H276)),"0")+IFERROR(SUMPRODUCT(1/J280:J280*(U280:U280/H280:H280)),"0")+IFERROR(SUMPRODUCT(1/J284:J284*(U284:U284/H284:H284)),"0")+IFERROR(SUMPRODUCT(1/J288:J288*(U288:U288/H288:H288)),"0")+IFERROR(SUMPRODUCT(1/J293:J296*(U293:U296/H293:H296)),"0")+IFERROR(SUMPRODUCT(1/J300:J301*(U300:U301/H300:H301)),"0")+IFERROR(SUMPRODUCT(1/J305:J308*(U305:U308/H305:H308)),"0")+IFERROR(SUMPRODUCT(1/J312:J312*(U312:U312/H312:H312)),"0")+IFERROR(SUMPRODUCT(1/J318:J319*(U318:U319/H318:H319)),"0")+IFERROR(SUMPRODUCT(1/J323:J329*(U323:U329/H323:H329)),"0")+IFERROR(SUMPRODUCT(1/J333:J336*(U333:U336/H333:H336)),"0")+IFERROR(SUMPRODUCT(1/J340:J340*(U340:U340/H340:H340)),"0")+IFERROR(SUMPRODUCT(1/J345:J346*(U345:U346/H345:H346)),"0")+IFERROR(SUMPRODUCT(1/J350:J354*(U350:U354/H350:H354)),"0")+IFERROR(SUMPRODUCT(1/J360:J369*(U360:U369/H360:H369)),"0")+IFERROR(SUMPRODUCT(1/J373:J374*(U373:U374/H373:H374)),"0")+IFERROR(SUMPRODUCT(1/J378:J383*(U378:U383/H378:H383)),"0")+IFERROR(SUMPRODUCT(1/J387:J388*(U387:U388/H387:H388)),"0")+IFERROR(SUMPRODUCT(1/J394:J395*(U394:U395/H394:H395)),"0")+IFERROR(SUMPRODUCT(1/J399:J400*(U399:U400/H399:H400)),"0")+IFERROR(SUMPRODUCT(1/J404:J405*(U404:U405/H404:H405)),"0")+IFERROR(SUMPRODUCT(1/J409:J411*(U409:U411/H409:H411)),"0"),0)</f>
        <v/>
      </c>
      <c r="V416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152*(V137:V152/H137:H152)),"0")+IFERROR(SUMPRODUCT(1/J156:J157*(V156:V157/H156:H157)),"0")+IFERROR(SUMPRODUCT(1/J161:J176*(V161:V176/H161:H176)),"0")+IFERROR(SUMPRODUCT(1/J180:J200*(V180:V200/H180:H200)),"0")+IFERROR(SUMPRODUCT(1/J204:J209*(V204:V209/H204:H209)),"0")+IFERROR(SUMPRODUCT(1/J213:J215*(V213:V215/H213:H215)),"0")+IFERROR(SUMPRODUCT(1/J219:J222*(V219:V222/H219:H222)),"0")+IFERROR(SUMPRODUCT(1/J227:J233*(V227:V233/H227:H233)),"0")+IFERROR(SUMPRODUCT(1/J237:J238*(V237:V238/H237:H238)),"0")+IFERROR(SUMPRODUCT(1/J243:J244*(V243:V244/H243:H244)),"0")+IFERROR(SUMPRODUCT(1/J248:J250*(V248:V250/H248:H250)),"0")+IFERROR(SUMPRODUCT(1/J254:J254*(V254:V254/H254:H254)),"0")+IFERROR(SUMPRODUCT(1/J258:J258*(V258:V258/H258:H258)),"0")+IFERROR(SUMPRODUCT(1/J264:J271*(V264:V271/H264:H271)),"0")+IFERROR(SUMPRODUCT(1/J275:J276*(V275:V276/H275:H276)),"0")+IFERROR(SUMPRODUCT(1/J280:J280*(V280:V280/H280:H280)),"0")+IFERROR(SUMPRODUCT(1/J284:J284*(V284:V284/H284:H284)),"0")+IFERROR(SUMPRODUCT(1/J288:J288*(V288:V288/H288:H288)),"0")+IFERROR(SUMPRODUCT(1/J293:J296*(V293:V296/H293:H296)),"0")+IFERROR(SUMPRODUCT(1/J300:J301*(V300:V301/H300:H301)),"0")+IFERROR(SUMPRODUCT(1/J305:J308*(V305:V308/H305:H308)),"0")+IFERROR(SUMPRODUCT(1/J312:J312*(V312:V312/H312:H312)),"0")+IFERROR(SUMPRODUCT(1/J318:J319*(V318:V319/H318:H319)),"0")+IFERROR(SUMPRODUCT(1/J323:J329*(V323:V329/H323:H329)),"0")+IFERROR(SUMPRODUCT(1/J333:J336*(V333:V336/H333:H336)),"0")+IFERROR(SUMPRODUCT(1/J340:J340*(V340:V340/H340:H340)),"0")+IFERROR(SUMPRODUCT(1/J345:J346*(V345:V346/H345:H346)),"0")+IFERROR(SUMPRODUCT(1/J350:J354*(V350:V354/H350:H354)),"0")+IFERROR(SUMPRODUCT(1/J360:J369*(V360:V369/H360:H369)),"0")+IFERROR(SUMPRODUCT(1/J373:J374*(V373:V374/H373:H374)),"0")+IFERROR(SUMPRODUCT(1/J378:J383*(V378:V383/H378:H383)),"0")+IFERROR(SUMPRODUCT(1/J387:J388*(V387:V388/H387:H388)),"0")+IFERROR(SUMPRODUCT(1/J394:J395*(V394:V395/H394:H395)),"0")+IFERROR(SUMPRODUCT(1/J399:J400*(V399:V400/H399:H400)),"0")+IFERROR(SUMPRODUCT(1/J404:J405*(V404:V405/H404:H405)),"0")+IFERROR(SUMPRODUCT(1/J409:J411*(V409:V411/H409:H411)),"0"),0)</f>
        <v/>
      </c>
      <c r="W416" s="43" t="n"/>
      <c r="X416" s="642" t="n"/>
      <c r="Y416" s="642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599" t="n"/>
      <c r="M417" s="865" t="inlineStr">
        <is>
          <t>Вес брутто  с паллетами</t>
        </is>
      </c>
      <c r="N417" s="593" t="n"/>
      <c r="O417" s="593" t="n"/>
      <c r="P417" s="593" t="n"/>
      <c r="Q417" s="593" t="n"/>
      <c r="R417" s="593" t="n"/>
      <c r="S417" s="594" t="n"/>
      <c r="T417" s="43" t="inlineStr">
        <is>
          <t>кг</t>
        </is>
      </c>
      <c r="U417" s="641">
        <f>GrossWeightTotal+PalletQtyTotal*25</f>
        <v/>
      </c>
      <c r="V417" s="641">
        <f>GrossWeightTotalR+PalletQtyTotalR*25</f>
        <v/>
      </c>
      <c r="W417" s="43" t="n"/>
      <c r="X417" s="642" t="n"/>
      <c r="Y417" s="642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599" t="n"/>
      <c r="M418" s="865" t="inlineStr">
        <is>
          <t>Кол-во коробок</t>
        </is>
      </c>
      <c r="N418" s="593" t="n"/>
      <c r="O418" s="593" t="n"/>
      <c r="P418" s="593" t="n"/>
      <c r="Q418" s="593" t="n"/>
      <c r="R418" s="593" t="n"/>
      <c r="S418" s="594" t="n"/>
      <c r="T418" s="43" t="inlineStr">
        <is>
          <t>шт</t>
        </is>
      </c>
      <c r="U418" s="641">
        <f>IFERROR(U23+U32+U37+U41+U45+U52+U59+U79+U88+U100+U110+U117+U125+U133+U153+U158+U177+U201+U210+U216+U223+U234+U239+U245+U251+U255+U259+U272+U277+U281+U285+U289+U297+U302+U309+U313+U320+U330+U337+U341+U347+U355+U370+U375+U384+U389+U396+U401+U406+U412,"0")</f>
        <v/>
      </c>
      <c r="V418" s="641">
        <f>IFERROR(V23+V32+V37+V41+V45+V52+V59+V79+V88+V100+V110+V117+V125+V133+V153+V158+V177+V201+V210+V216+V223+V234+V239+V245+V251+V255+V259+V272+V277+V281+V285+V289+V297+V302+V309+V313+V320+V330+V337+V341+V347+V355+V370+V375+V384+V389+V396+V401+V406+V412,"0")</f>
        <v/>
      </c>
      <c r="W418" s="43" t="n"/>
      <c r="X418" s="642" t="n"/>
      <c r="Y418" s="642" t="n"/>
    </row>
    <row r="419" ht="14.25" customHeight="1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599" t="n"/>
      <c r="M419" s="865" t="inlineStr">
        <is>
          <t>Объем заказа</t>
        </is>
      </c>
      <c r="N419" s="593" t="n"/>
      <c r="O419" s="593" t="n"/>
      <c r="P419" s="593" t="n"/>
      <c r="Q419" s="593" t="n"/>
      <c r="R419" s="593" t="n"/>
      <c r="S419" s="594" t="n"/>
      <c r="T419" s="46" t="inlineStr">
        <is>
          <t>м3</t>
        </is>
      </c>
      <c r="U419" s="43" t="n"/>
      <c r="V419" s="43" t="n"/>
      <c r="W419" s="43">
        <f>IFERROR(W23+W32+W37+W41+W45+W52+W59+W79+W88+W100+W110+W117+W125+W133+W153+W158+W177+W201+W210+W216+W223+W234+W239+W245+W251+W255+W259+W272+W277+W281+W285+W289+W297+W302+W309+W313+W320+W330+W337+W341+W347+W355+W370+W375+W384+W389+W396+W401+W406+W412,"0")</f>
        <v/>
      </c>
      <c r="X419" s="642" t="n"/>
      <c r="Y419" s="642" t="n"/>
    </row>
    <row r="420" ht="13.5" customHeight="1" thickBot="1"/>
    <row r="421" ht="27" customHeight="1" thickBot="1" thickTop="1">
      <c r="A421" s="47" t="inlineStr">
        <is>
          <t>ТОРГОВАЯ МАРКА</t>
        </is>
      </c>
      <c r="B421" s="590" t="inlineStr">
        <is>
          <t>Ядрена копоть</t>
        </is>
      </c>
      <c r="C421" s="590" t="inlineStr">
        <is>
          <t>Вязанка</t>
        </is>
      </c>
      <c r="D421" s="866" t="n"/>
      <c r="E421" s="866" t="n"/>
      <c r="F421" s="867" t="n"/>
      <c r="G421" s="590" t="inlineStr">
        <is>
          <t>Стародворье</t>
        </is>
      </c>
      <c r="H421" s="866" t="n"/>
      <c r="I421" s="866" t="n"/>
      <c r="J421" s="867" t="n"/>
      <c r="K421" s="590" t="inlineStr">
        <is>
          <t>Особый рецепт</t>
        </is>
      </c>
      <c r="L421" s="867" t="n"/>
      <c r="M421" s="590" t="inlineStr">
        <is>
          <t>Баварушка</t>
        </is>
      </c>
      <c r="N421" s="867" t="n"/>
      <c r="O421" s="590" t="inlineStr">
        <is>
          <t>Дугушка</t>
        </is>
      </c>
      <c r="P421" s="590" t="inlineStr">
        <is>
          <t>Зареченские</t>
        </is>
      </c>
      <c r="Q421" s="1" t="n"/>
      <c r="R421" s="1" t="n"/>
      <c r="S421" s="1" t="n"/>
      <c r="T421" s="1" t="n"/>
      <c r="Y421" s="61" t="n"/>
      <c r="AB421" s="1" t="n"/>
    </row>
    <row r="422" ht="14.25" customHeight="1" thickTop="1">
      <c r="A422" s="591" t="inlineStr">
        <is>
          <t>СЕРИЯ</t>
        </is>
      </c>
      <c r="B422" s="590" t="inlineStr">
        <is>
          <t>Ядрена копоть</t>
        </is>
      </c>
      <c r="C422" s="590" t="inlineStr">
        <is>
          <t>Столичная</t>
        </is>
      </c>
      <c r="D422" s="590" t="inlineStr">
        <is>
          <t>Классическая</t>
        </is>
      </c>
      <c r="E422" s="590" t="inlineStr">
        <is>
          <t>Вязанка</t>
        </is>
      </c>
      <c r="F422" s="590" t="inlineStr">
        <is>
          <t>Сливушки</t>
        </is>
      </c>
      <c r="G422" s="590" t="inlineStr">
        <is>
          <t>Золоченная в печи</t>
        </is>
      </c>
      <c r="H422" s="590" t="inlineStr">
        <is>
          <t>Бордо</t>
        </is>
      </c>
      <c r="I422" s="590" t="inlineStr">
        <is>
          <t>Фирменная</t>
        </is>
      </c>
      <c r="J422" s="590" t="inlineStr">
        <is>
          <t>Бавария</t>
        </is>
      </c>
      <c r="K422" s="590" t="inlineStr">
        <is>
          <t>Особая</t>
        </is>
      </c>
      <c r="L422" s="590" t="inlineStr">
        <is>
          <t>Особая Без свинины</t>
        </is>
      </c>
      <c r="M422" s="590" t="inlineStr">
        <is>
          <t>Филейбургская</t>
        </is>
      </c>
      <c r="N422" s="590" t="inlineStr">
        <is>
          <t>Балыкбургская</t>
        </is>
      </c>
      <c r="O422" s="590" t="inlineStr">
        <is>
          <t>Дугушка</t>
        </is>
      </c>
      <c r="P422" s="590" t="inlineStr">
        <is>
          <t>Зареченские продукты</t>
        </is>
      </c>
      <c r="Q422" s="1" t="n"/>
      <c r="R422" s="1" t="n"/>
      <c r="S422" s="1" t="n"/>
      <c r="T422" s="1" t="n"/>
      <c r="Y422" s="61" t="n"/>
      <c r="AB422" s="1" t="n"/>
    </row>
    <row r="423" ht="13.5" customHeight="1" thickBot="1">
      <c r="A423" s="868" t="n"/>
      <c r="B423" s="869" t="n"/>
      <c r="C423" s="869" t="n"/>
      <c r="D423" s="869" t="n"/>
      <c r="E423" s="869" t="n"/>
      <c r="F423" s="869" t="n"/>
      <c r="G423" s="869" t="n"/>
      <c r="H423" s="869" t="n"/>
      <c r="I423" s="869" t="n"/>
      <c r="J423" s="869" t="n"/>
      <c r="K423" s="869" t="n"/>
      <c r="L423" s="869" t="n"/>
      <c r="M423" s="869" t="n"/>
      <c r="N423" s="869" t="n"/>
      <c r="O423" s="869" t="n"/>
      <c r="P423" s="869" t="n"/>
      <c r="Q423" s="1" t="n"/>
      <c r="R423" s="1" t="n"/>
      <c r="S423" s="1" t="n"/>
      <c r="T423" s="1" t="n"/>
      <c r="Y423" s="61" t="n"/>
      <c r="AB423" s="1" t="n"/>
    </row>
    <row r="424" ht="18" customHeight="1" thickBot="1" thickTop="1">
      <c r="A424" s="47" t="inlineStr">
        <is>
          <t>ИТОГО, кг</t>
        </is>
      </c>
      <c r="B424" s="53">
        <f>IFERROR(V22*1,"0")+IFERROR(V26*1,"0")+IFERROR(V27*1,"0")+IFERROR(V28*1,"0")+IFERROR(V29*1,"0")+IFERROR(V30*1,"0")+IFERROR(V31*1,"0")+IFERROR(V35*1,"0")+IFERROR(V36*1,"0")+IFERROR(V40*1,"0")+IFERROR(V44*1,"0")</f>
        <v/>
      </c>
      <c r="C424" s="53">
        <f>IFERROR(V50*1,"0")+IFERROR(V51*1,"0")</f>
        <v/>
      </c>
      <c r="D424" s="53">
        <f>IFERROR(V56*1,"0")+IFERROR(V57*1,"0")+IFERROR(V58*1,"0")</f>
        <v/>
      </c>
      <c r="E424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/>
      </c>
      <c r="F424" s="53">
        <f>IFERROR(V121*1,"0")+IFERROR(V122*1,"0")+IFERROR(V123*1,"0")+IFERROR(V124*1,"0")</f>
        <v/>
      </c>
      <c r="G424" s="53">
        <f>IFERROR(V130*1,"0")+IFERROR(V131*1,"0")+IFERROR(V132*1,"0")</f>
        <v/>
      </c>
      <c r="H424" s="53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156*1,"0")+IFERROR(V157*1,"0")+IFERROR(V161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180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204*1,"0")+IFERROR(V205*1,"0")+IFERROR(V206*1,"0")+IFERROR(V207*1,"0")+IFERROR(V208*1,"0")+IFERROR(V209*1,"0")+IFERROR(V213*1,"0")+IFERROR(V214*1,"0")+IFERROR(V215*1,"0")+IFERROR(V219*1,"0")+IFERROR(V220*1,"0")+IFERROR(V221*1,"0")+IFERROR(V222*1,"0")</f>
        <v/>
      </c>
      <c r="I424" s="53">
        <f>IFERROR(V227*1,"0")+IFERROR(V228*1,"0")+IFERROR(V229*1,"0")+IFERROR(V230*1,"0")+IFERROR(V231*1,"0")+IFERROR(V232*1,"0")+IFERROR(V233*1,"0")+IFERROR(V237*1,"0")+IFERROR(V238*1,"0")</f>
        <v/>
      </c>
      <c r="J424" s="53">
        <f>IFERROR(V243*1,"0")+IFERROR(V244*1,"0")+IFERROR(V248*1,"0")+IFERROR(V249*1,"0")+IFERROR(V250*1,"0")+IFERROR(V254*1,"0")+IFERROR(V258*1,"0")</f>
        <v/>
      </c>
      <c r="K424" s="53">
        <f>IFERROR(V264*1,"0")+IFERROR(V265*1,"0")+IFERROR(V266*1,"0")+IFERROR(V267*1,"0")+IFERROR(V268*1,"0")+IFERROR(V269*1,"0")+IFERROR(V270*1,"0")+IFERROR(V271*1,"0")+IFERROR(V275*1,"0")+IFERROR(V276*1,"0")+IFERROR(V280*1,"0")+IFERROR(V284*1,"0")+IFERROR(V288*1,"0")</f>
        <v/>
      </c>
      <c r="L424" s="53">
        <f>IFERROR(V293*1,"0")+IFERROR(V294*1,"0")+IFERROR(V295*1,"0")+IFERROR(V296*1,"0")+IFERROR(V300*1,"0")+IFERROR(V301*1,"0")+IFERROR(V305*1,"0")+IFERROR(V306*1,"0")+IFERROR(V307*1,"0")+IFERROR(V308*1,"0")+IFERROR(V312*1,"0")</f>
        <v/>
      </c>
      <c r="M424" s="53">
        <f>IFERROR(V318*1,"0")+IFERROR(V319*1,"0")+IFERROR(V323*1,"0")+IFERROR(V324*1,"0")+IFERROR(V325*1,"0")+IFERROR(V326*1,"0")+IFERROR(V327*1,"0")+IFERROR(V328*1,"0")+IFERROR(V329*1,"0")+IFERROR(V333*1,"0")+IFERROR(V334*1,"0")+IFERROR(V335*1,"0")+IFERROR(V336*1,"0")+IFERROR(V340*1,"0")</f>
        <v/>
      </c>
      <c r="N424" s="53">
        <f>IFERROR(V345*1,"0")+IFERROR(V346*1,"0")+IFERROR(V350*1,"0")+IFERROR(V351*1,"0")+IFERROR(V352*1,"0")+IFERROR(V353*1,"0")+IFERROR(V354*1,"0")</f>
        <v/>
      </c>
      <c r="O424" s="53">
        <f>IFERROR(V360*1,"0")+IFERROR(V361*1,"0")+IFERROR(V362*1,"0")+IFERROR(V363*1,"0")+IFERROR(V364*1,"0")+IFERROR(V365*1,"0")+IFERROR(V366*1,"0")+IFERROR(V367*1,"0")+IFERROR(V368*1,"0")+IFERROR(V369*1,"0")+IFERROR(V373*1,"0")+IFERROR(V374*1,"0")+IFERROR(V378*1,"0")+IFERROR(V379*1,"0")+IFERROR(V380*1,"0")+IFERROR(V381*1,"0")+IFERROR(V382*1,"0")+IFERROR(V383*1,"0")+IFERROR(V387*1,"0")+IFERROR(V388*1,"0")</f>
        <v/>
      </c>
      <c r="P424" s="53">
        <f>IFERROR(V394*1,"0")+IFERROR(V395*1,"0")+IFERROR(V399*1,"0")+IFERROR(V400*1,"0")+IFERROR(V404*1,"0")+IFERROR(V405*1,"0")+IFERROR(V409*1,"0")+IFERROR(V410*1,"0")+IFERROR(V411*1,"0")</f>
        <v/>
      </c>
      <c r="Q424" s="1" t="n"/>
      <c r="R424" s="1" t="n"/>
      <c r="S424" s="1" t="n"/>
      <c r="T424" s="1" t="n"/>
      <c r="Y424" s="61" t="n"/>
      <c r="AB424" s="1" t="n"/>
    </row>
    <row r="425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mgjX7q+an5EiKdRCjaIV/Q==" formatRows="1" sort="0" spinCount="100000" hashValue="0hvZ8zQXbYo1Qmi4rkJ3AVPEUbBHUYlCZtz4lufhuQkQbITgVCBDd3pY5NZxXZlxiHKxchZv99aNEklr4C9S/w=="/>
  <autoFilter ref="B18:W419">
    <filterColumn colId="2" showButton="0"/>
    <filterColumn colId="11" showButton="0"/>
    <filterColumn colId="12" showButton="0"/>
    <filterColumn colId="13" showButton="0"/>
    <filterColumn colId="14" showButton="0"/>
  </autoFilter>
  <mergeCells count="758">
    <mergeCell ref="O422:O423"/>
    <mergeCell ref="P422:P423"/>
    <mergeCell ref="C421:F421"/>
    <mergeCell ref="G421:J421"/>
    <mergeCell ref="K421:L421"/>
    <mergeCell ref="M421:N421"/>
    <mergeCell ref="A422:A423"/>
    <mergeCell ref="B422:B423"/>
    <mergeCell ref="C422:C423"/>
    <mergeCell ref="D422:D423"/>
    <mergeCell ref="E422:E423"/>
    <mergeCell ref="F422:F423"/>
    <mergeCell ref="G422:G423"/>
    <mergeCell ref="H422:H423"/>
    <mergeCell ref="I422:I423"/>
    <mergeCell ref="J422:J423"/>
    <mergeCell ref="K422:K423"/>
    <mergeCell ref="L422:L423"/>
    <mergeCell ref="M422:M423"/>
    <mergeCell ref="N422:N423"/>
    <mergeCell ref="D410:E410"/>
    <mergeCell ref="M410:Q410"/>
    <mergeCell ref="D411:E411"/>
    <mergeCell ref="M411:Q411"/>
    <mergeCell ref="M412:S412"/>
    <mergeCell ref="A412:L413"/>
    <mergeCell ref="M413:S413"/>
    <mergeCell ref="M414:S414"/>
    <mergeCell ref="A414:L419"/>
    <mergeCell ref="M415:S415"/>
    <mergeCell ref="M416:S416"/>
    <mergeCell ref="M417:S417"/>
    <mergeCell ref="M418:S418"/>
    <mergeCell ref="M419:S419"/>
    <mergeCell ref="D404:E404"/>
    <mergeCell ref="M404:Q404"/>
    <mergeCell ref="D405:E405"/>
    <mergeCell ref="M405:Q405"/>
    <mergeCell ref="M406:S406"/>
    <mergeCell ref="A406:L407"/>
    <mergeCell ref="M407:S407"/>
    <mergeCell ref="A408:W408"/>
    <mergeCell ref="D409:E409"/>
    <mergeCell ref="M409:Q409"/>
    <mergeCell ref="A398:W398"/>
    <mergeCell ref="D399:E399"/>
    <mergeCell ref="M399:Q399"/>
    <mergeCell ref="D400:E400"/>
    <mergeCell ref="M400:Q400"/>
    <mergeCell ref="M401:S401"/>
    <mergeCell ref="A401:L402"/>
    <mergeCell ref="M402:S402"/>
    <mergeCell ref="A403:W403"/>
    <mergeCell ref="A392:W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86:W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81:E381"/>
    <mergeCell ref="M381:Q381"/>
    <mergeCell ref="D382:E382"/>
    <mergeCell ref="M382:Q382"/>
    <mergeCell ref="D383:E383"/>
    <mergeCell ref="M383:Q383"/>
    <mergeCell ref="M384:S384"/>
    <mergeCell ref="A384:L385"/>
    <mergeCell ref="M385:S385"/>
    <mergeCell ref="M375:S375"/>
    <mergeCell ref="A375:L376"/>
    <mergeCell ref="M376:S376"/>
    <mergeCell ref="A377:W377"/>
    <mergeCell ref="D378:E378"/>
    <mergeCell ref="M378:Q378"/>
    <mergeCell ref="D379:E379"/>
    <mergeCell ref="M379:Q379"/>
    <mergeCell ref="D380:E380"/>
    <mergeCell ref="M380:Q380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D374:E374"/>
    <mergeCell ref="M374:Q374"/>
    <mergeCell ref="D364:E364"/>
    <mergeCell ref="M364:Q364"/>
    <mergeCell ref="D365:E365"/>
    <mergeCell ref="M365:Q365"/>
    <mergeCell ref="D366:E366"/>
    <mergeCell ref="M366:Q366"/>
    <mergeCell ref="D367:E367"/>
    <mergeCell ref="M367:Q367"/>
    <mergeCell ref="D368:E368"/>
    <mergeCell ref="M368:Q368"/>
    <mergeCell ref="A359:W359"/>
    <mergeCell ref="D360:E360"/>
    <mergeCell ref="M360:Q360"/>
    <mergeCell ref="D361:E361"/>
    <mergeCell ref="M361:Q361"/>
    <mergeCell ref="D362:E362"/>
    <mergeCell ref="M362:Q362"/>
    <mergeCell ref="D363:E363"/>
    <mergeCell ref="M363:Q363"/>
    <mergeCell ref="D353:E353"/>
    <mergeCell ref="M353:Q353"/>
    <mergeCell ref="D354:E354"/>
    <mergeCell ref="M354:Q354"/>
    <mergeCell ref="M355:S355"/>
    <mergeCell ref="A355:L356"/>
    <mergeCell ref="M356:S356"/>
    <mergeCell ref="A357:W357"/>
    <mergeCell ref="A358:W358"/>
    <mergeCell ref="M347:S347"/>
    <mergeCell ref="A347:L348"/>
    <mergeCell ref="M348:S348"/>
    <mergeCell ref="A349:W349"/>
    <mergeCell ref="D350:E350"/>
    <mergeCell ref="M350:Q350"/>
    <mergeCell ref="D351:E351"/>
    <mergeCell ref="M351:Q351"/>
    <mergeCell ref="D352:E352"/>
    <mergeCell ref="M352:Q352"/>
    <mergeCell ref="M341:S341"/>
    <mergeCell ref="A341:L342"/>
    <mergeCell ref="M342:S342"/>
    <mergeCell ref="A343:W343"/>
    <mergeCell ref="A344:W344"/>
    <mergeCell ref="D345:E345"/>
    <mergeCell ref="M345:Q345"/>
    <mergeCell ref="D346:E346"/>
    <mergeCell ref="M346:Q346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34:E334"/>
    <mergeCell ref="M334:Q334"/>
    <mergeCell ref="D324:E324"/>
    <mergeCell ref="M324:Q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D318:E318"/>
    <mergeCell ref="M318:Q318"/>
    <mergeCell ref="D319:E319"/>
    <mergeCell ref="M319:Q319"/>
    <mergeCell ref="M320:S320"/>
    <mergeCell ref="A320:L321"/>
    <mergeCell ref="M321:S321"/>
    <mergeCell ref="A322:W322"/>
    <mergeCell ref="D323:E323"/>
    <mergeCell ref="M323:Q323"/>
    <mergeCell ref="A311:W311"/>
    <mergeCell ref="D312:E312"/>
    <mergeCell ref="M312:Q312"/>
    <mergeCell ref="M313:S313"/>
    <mergeCell ref="A313:L314"/>
    <mergeCell ref="M314:S314"/>
    <mergeCell ref="A315:W315"/>
    <mergeCell ref="A316:W316"/>
    <mergeCell ref="A317:W317"/>
    <mergeCell ref="D305:E305"/>
    <mergeCell ref="M305:Q305"/>
    <mergeCell ref="D306:E306"/>
    <mergeCell ref="M306:Q306"/>
    <mergeCell ref="D307:E307"/>
    <mergeCell ref="M307:Q307"/>
    <mergeCell ref="D308:E308"/>
    <mergeCell ref="M308:Q308"/>
    <mergeCell ref="M309:S309"/>
    <mergeCell ref="A309:L310"/>
    <mergeCell ref="M310:S310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294:E294"/>
    <mergeCell ref="M294:Q294"/>
    <mergeCell ref="D295:E295"/>
    <mergeCell ref="M295:Q295"/>
    <mergeCell ref="D296:E296"/>
    <mergeCell ref="M296:Q296"/>
    <mergeCell ref="M297:S297"/>
    <mergeCell ref="A297:L298"/>
    <mergeCell ref="M298:S298"/>
    <mergeCell ref="A287:W287"/>
    <mergeCell ref="D288:E288"/>
    <mergeCell ref="M288:Q288"/>
    <mergeCell ref="M289:S289"/>
    <mergeCell ref="A289:L290"/>
    <mergeCell ref="M290:S290"/>
    <mergeCell ref="A291:W291"/>
    <mergeCell ref="A292:W292"/>
    <mergeCell ref="D293:E293"/>
    <mergeCell ref="M293:Q293"/>
    <mergeCell ref="D280:E280"/>
    <mergeCell ref="M280:Q280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A274:W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D264:E264"/>
    <mergeCell ref="M264:Q264"/>
    <mergeCell ref="D265:E265"/>
    <mergeCell ref="M265:Q265"/>
    <mergeCell ref="D266:E266"/>
    <mergeCell ref="M266:Q266"/>
    <mergeCell ref="D267:E267"/>
    <mergeCell ref="M267:Q267"/>
    <mergeCell ref="D268:E268"/>
    <mergeCell ref="M268:Q268"/>
    <mergeCell ref="A257:W257"/>
    <mergeCell ref="D258:E258"/>
    <mergeCell ref="M258:Q258"/>
    <mergeCell ref="M259:S259"/>
    <mergeCell ref="A259:L260"/>
    <mergeCell ref="M260:S260"/>
    <mergeCell ref="A261:W261"/>
    <mergeCell ref="A262:W262"/>
    <mergeCell ref="A263:W263"/>
    <mergeCell ref="M251:S251"/>
    <mergeCell ref="A251:L252"/>
    <mergeCell ref="M252:S252"/>
    <mergeCell ref="A253:W253"/>
    <mergeCell ref="D254:E254"/>
    <mergeCell ref="M254:Q254"/>
    <mergeCell ref="M255:S255"/>
    <mergeCell ref="A255:L256"/>
    <mergeCell ref="M256:S256"/>
    <mergeCell ref="M245:S245"/>
    <mergeCell ref="A245:L246"/>
    <mergeCell ref="M246:S246"/>
    <mergeCell ref="A247:W247"/>
    <mergeCell ref="D248:E248"/>
    <mergeCell ref="M248:Q248"/>
    <mergeCell ref="D249:E249"/>
    <mergeCell ref="M249:Q249"/>
    <mergeCell ref="D250:E250"/>
    <mergeCell ref="M250:Q250"/>
    <mergeCell ref="M239:S239"/>
    <mergeCell ref="A239:L240"/>
    <mergeCell ref="M240:S240"/>
    <mergeCell ref="A241:W241"/>
    <mergeCell ref="A242:W242"/>
    <mergeCell ref="D243:E243"/>
    <mergeCell ref="M243:Q243"/>
    <mergeCell ref="D244:E244"/>
    <mergeCell ref="M244:Q244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D238:E238"/>
    <mergeCell ref="M238:Q238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199:E199"/>
    <mergeCell ref="M199:Q199"/>
    <mergeCell ref="D200:E200"/>
    <mergeCell ref="M200:Q200"/>
    <mergeCell ref="M201:S201"/>
    <mergeCell ref="A201:L202"/>
    <mergeCell ref="M202:S202"/>
    <mergeCell ref="A203:W203"/>
    <mergeCell ref="D204:E204"/>
    <mergeCell ref="M204:Q204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A179:W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57:E157"/>
    <mergeCell ref="M157:Q157"/>
    <mergeCell ref="M158:S158"/>
    <mergeCell ref="A158:L159"/>
    <mergeCell ref="M159:S159"/>
    <mergeCell ref="A160:W160"/>
    <mergeCell ref="D161:E161"/>
    <mergeCell ref="M161:Q161"/>
    <mergeCell ref="D162:E162"/>
    <mergeCell ref="M162:Q162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Ei0hm4Hyi3YC02XZmEIrw==" formatRows="1" sort="0" spinCount="100000" hashValue="8GBGrsR39FOYJvuv65+I553desQOf3irfpw3EdRm1fhnNTG5FtXE8L+RSZs30M+mVnw/ImKh8X2mt6YoVUOCV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2023-07-26T10:58:33Z</dcterms:modified>
  <cp:lastModifiedBy>Uaer4</cp:lastModifiedBy>
</cp:coreProperties>
</file>