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19470" windowHeight="12255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заказа'!$S$12</definedName>
    <definedName name="DeliveryConditionsList">Setting!$B$13:$B$23</definedName>
    <definedName name="DeliveryDate">'Бланк заказа'!$N$9</definedName>
    <definedName name="DeliveryMethodList">Setting!$B$3:$B$4</definedName>
    <definedName name="DeliveryNumAdressList">Setting!$D$6:$D$7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заказа'!$U$244:$U$244</definedName>
    <definedName name="GrossWeightTotalR">'Бланк заказа'!$V$244:$V$244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Setting!$B$12:$B$13</definedName>
    <definedName name="PalletQtyTotal">'Бланк заказа'!$U$245:$U$245</definedName>
    <definedName name="PalletQtyTotalR">'Бланк заказа'!$V$245:$V$245</definedName>
    <definedName name="PassportProxy">'Бланк заказа'!$J$9:$K$9</definedName>
    <definedName name="PassportProxySet">Setting!$D$12:$D$13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заказа'!$B$66:$B$66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заказа'!$B$87:$B$87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заказа'!$B$94:$B$94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заказа'!$B$102:$B$102</definedName>
    <definedName name="ProductId37">'Бланк заказа'!$B$103:$B$103</definedName>
    <definedName name="ProductId38">'Бланк заказа'!$B$108:$B$108</definedName>
    <definedName name="ProductId39">'Бланк заказа'!$B$113:$B$113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заказа'!$B$121:$B$121</definedName>
    <definedName name="ProductId44">'Бланк заказа'!$B$126:$B$126</definedName>
    <definedName name="ProductId45">'Бланк заказа'!$B$127:$B$127</definedName>
    <definedName name="ProductId46">'Бланк заказа'!$B$132:$B$132</definedName>
    <definedName name="ProductId47">'Бланк заказа'!$B$138:$B$138</definedName>
    <definedName name="ProductId48">'Бланк заказа'!$B$142:$B$142</definedName>
    <definedName name="ProductId49">'Бланк заказа'!$B$146:$B$146</definedName>
    <definedName name="ProductId5">'Бланк заказа'!$B$31:$B$31</definedName>
    <definedName name="ProductId50">'Бланк заказа'!$B$147:$B$147</definedName>
    <definedName name="ProductId51">'Бланк заказа'!$B$148:$B$148</definedName>
    <definedName name="ProductId52">'Бланк заказа'!$B$149:$B$149</definedName>
    <definedName name="ProductId53">'Бланк заказа'!$B$153:$B$153</definedName>
    <definedName name="ProductId54">'Бланк заказа'!$B$154:$B$154</definedName>
    <definedName name="ProductId55">'Бланк заказа'!$B$155:$B$155</definedName>
    <definedName name="ProductId56">'Бланк заказа'!$B$156:$B$156</definedName>
    <definedName name="ProductId57">'Бланк заказа'!$B$157:$B$157</definedName>
    <definedName name="ProductId58">'Бланк заказа'!$B$158:$B$158</definedName>
    <definedName name="ProductId59">'Бланк заказа'!$B$159:$B$159</definedName>
    <definedName name="ProductId6">'Бланк заказа'!$B$36:$B$36</definedName>
    <definedName name="ProductId60">'Бланк заказа'!$B$160:$B$160</definedName>
    <definedName name="ProductId61">'Бланк заказа'!$B$161:$B$161</definedName>
    <definedName name="ProductId62">'Бланк заказа'!$B$162:$B$162</definedName>
    <definedName name="ProductId63">'Бланк заказа'!$B$167:$B$167</definedName>
    <definedName name="ProductId64">'Бланк заказа'!$B$172:$B$172</definedName>
    <definedName name="ProductId65">'Бланк заказа'!$B$173:$B$173</definedName>
    <definedName name="ProductId66">'Бланк заказа'!$B$174:$B$174</definedName>
    <definedName name="ProductId67">'Бланк заказа'!$B$175:$B$175</definedName>
    <definedName name="ProductId68">'Бланк заказа'!$B$179:$B$179</definedName>
    <definedName name="ProductId69">'Бланк заказа'!$B$180:$B$180</definedName>
    <definedName name="ProductId7">'Бланк заказа'!$B$37:$B$37</definedName>
    <definedName name="ProductId70">'Бланк заказа'!$B$186:$B$186</definedName>
    <definedName name="ProductId71">'Бланк заказа'!$B$187:$B$187</definedName>
    <definedName name="ProductId72">'Бланк заказа'!$B$192:$B$192</definedName>
    <definedName name="ProductId73">'Бланк заказа'!$B$197:$B$197</definedName>
    <definedName name="ProductId74">'Бланк заказа'!$B$203:$B$203</definedName>
    <definedName name="ProductId75">'Бланк заказа'!$B$204:$B$204</definedName>
    <definedName name="ProductId76">'Бланк заказа'!$B$209:$B$209</definedName>
    <definedName name="ProductId77">'Бланк заказа'!$B$210:$B$210</definedName>
    <definedName name="ProductId78">'Бланк заказа'!$B$211:$B$211</definedName>
    <definedName name="ProductId79">'Бланк заказа'!$B$212:$B$212</definedName>
    <definedName name="ProductId8">'Бланк заказа'!$B$38:$B$38</definedName>
    <definedName name="ProductId80">'Бланк заказа'!$B$217:$B$217</definedName>
    <definedName name="ProductId81">'Бланк заказа'!$B$222:$B$222</definedName>
    <definedName name="ProductId82">'Бланк заказа'!$B$223:$B$223</definedName>
    <definedName name="ProductId83">'Бланк заказа'!$B$229:$B$229</definedName>
    <definedName name="ProductId84">'Бланк заказа'!$B$235:$B$235</definedName>
    <definedName name="ProductId85">'Бланк заказа'!$B$240:$B$240</definedName>
    <definedName name="ProductId9">'Бланк заказа'!$B$39:$B$39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заказа'!$U$22:$U$22</definedName>
    <definedName name="SalesQty10">'Бланк заказа'!$U$44:$U$44</definedName>
    <definedName name="SalesQty11">'Бланк заказа'!$U$45:$U$45</definedName>
    <definedName name="SalesQty12">'Бланк заказа'!$U$50:$U$50</definedName>
    <definedName name="SalesQty13">'Бланк заказа'!$U$51:$U$51</definedName>
    <definedName name="SalesQty14">'Бланк заказа'!$U$52:$U$52</definedName>
    <definedName name="SalesQty15">'Бланк заказа'!$U$53:$U$53</definedName>
    <definedName name="SalesQty16">'Бланк заказа'!$U$54:$U$54</definedName>
    <definedName name="SalesQty17">'Бланк заказа'!$U$55:$U$55</definedName>
    <definedName name="SalesQty18">'Бланк заказа'!$U$60:$U$60</definedName>
    <definedName name="SalesQty19">'Бланк заказа'!$U$61:$U$61</definedName>
    <definedName name="SalesQty2">'Бланк заказа'!$U$28:$U$28</definedName>
    <definedName name="SalesQty20">'Бланк заказа'!$U$66:$U$66</definedName>
    <definedName name="SalesQty21">'Бланк заказа'!$U$71:$U$71</definedName>
    <definedName name="SalesQty22">'Бланк заказа'!$U$72:$U$72</definedName>
    <definedName name="SalesQty23">'Бланк заказа'!$U$77:$U$77</definedName>
    <definedName name="SalesQty24">'Бланк заказа'!$U$78:$U$78</definedName>
    <definedName name="SalesQty25">'Бланк заказа'!$U$79:$U$79</definedName>
    <definedName name="SalesQty26">'Бланк заказа'!$U$80:$U$80</definedName>
    <definedName name="SalesQty27">'Бланк заказа'!$U$81:$U$81</definedName>
    <definedName name="SalesQty28">'Бланк заказа'!$U$82:$U$82</definedName>
    <definedName name="SalesQty29">'Бланк заказа'!$U$87:$U$87</definedName>
    <definedName name="SalesQty3">'Бланк заказа'!$U$29:$U$29</definedName>
    <definedName name="SalesQty30">'Бланк заказа'!$U$88:$U$88</definedName>
    <definedName name="SalesQty31">'Бланк заказа'!$U$89:$U$89</definedName>
    <definedName name="SalesQty32">'Бланк заказа'!$U$94:$U$94</definedName>
    <definedName name="SalesQty33">'Бланк заказа'!$U$95:$U$95</definedName>
    <definedName name="SalesQty34">'Бланк заказа'!$U$96:$U$96</definedName>
    <definedName name="SalesQty35">'Бланк заказа'!$U$97:$U$97</definedName>
    <definedName name="SalesQty36">'Бланк заказа'!$U$102:$U$102</definedName>
    <definedName name="SalesQty37">'Бланк заказа'!$U$103:$U$103</definedName>
    <definedName name="SalesQty38">'Бланк заказа'!$U$108:$U$108</definedName>
    <definedName name="SalesQty39">'Бланк заказа'!$U$113:$U$113</definedName>
    <definedName name="SalesQty4">'Бланк заказа'!$U$30:$U$30</definedName>
    <definedName name="SalesQty40">'Бланк заказа'!$U$114:$U$114</definedName>
    <definedName name="SalesQty41">'Бланк заказа'!$U$115:$U$115</definedName>
    <definedName name="SalesQty42">'Бланк заказа'!$U$116:$U$116</definedName>
    <definedName name="SalesQty43">'Бланк заказа'!$U$121:$U$121</definedName>
    <definedName name="SalesQty44">'Бланк заказа'!$U$126:$U$126</definedName>
    <definedName name="SalesQty45">'Бланк заказа'!$U$127:$U$127</definedName>
    <definedName name="SalesQty46">'Бланк заказа'!$U$132:$U$132</definedName>
    <definedName name="SalesQty47">'Бланк заказа'!$U$138:$U$138</definedName>
    <definedName name="SalesQty48">'Бланк заказа'!$U$142:$U$142</definedName>
    <definedName name="SalesQty49">'Бланк заказа'!$U$146:$U$146</definedName>
    <definedName name="SalesQty5">'Бланк заказа'!$U$31:$U$31</definedName>
    <definedName name="SalesQty50">'Бланк заказа'!$U$147:$U$147</definedName>
    <definedName name="SalesQty51">'Бланк заказа'!$U$148:$U$148</definedName>
    <definedName name="SalesQty52">'Бланк заказа'!$U$149:$U$149</definedName>
    <definedName name="SalesQty53">'Бланк заказа'!$U$153:$U$153</definedName>
    <definedName name="SalesQty54">'Бланк заказа'!$U$154:$U$154</definedName>
    <definedName name="SalesQty55">'Бланк заказа'!$U$155:$U$155</definedName>
    <definedName name="SalesQty56">'Бланк заказа'!$U$156:$U$156</definedName>
    <definedName name="SalesQty57">'Бланк заказа'!$U$157:$U$157</definedName>
    <definedName name="SalesQty58">'Бланк заказа'!$U$158:$U$158</definedName>
    <definedName name="SalesQty59">'Бланк заказа'!$U$159:$U$159</definedName>
    <definedName name="SalesQty6">'Бланк заказа'!$U$36:$U$36</definedName>
    <definedName name="SalesQty60">'Бланк заказа'!$U$160:$U$160</definedName>
    <definedName name="SalesQty61">'Бланк заказа'!$U$161:$U$161</definedName>
    <definedName name="SalesQty62">'Бланк заказа'!$U$162:$U$162</definedName>
    <definedName name="SalesQty63">'Бланк заказа'!$U$167:$U$167</definedName>
    <definedName name="SalesQty64">'Бланк заказа'!$U$172:$U$172</definedName>
    <definedName name="SalesQty65">'Бланк заказа'!$U$173:$U$173</definedName>
    <definedName name="SalesQty66">'Бланк заказа'!$U$174:$U$174</definedName>
    <definedName name="SalesQty67">'Бланк заказа'!$U$175:$U$175</definedName>
    <definedName name="SalesQty68">'Бланк заказа'!$U$179:$U$179</definedName>
    <definedName name="SalesQty69">'Бланк заказа'!$U$180:$U$180</definedName>
    <definedName name="SalesQty7">'Бланк заказа'!$U$37:$U$37</definedName>
    <definedName name="SalesQty70">'Бланк заказа'!$U$186:$U$186</definedName>
    <definedName name="SalesQty71">'Бланк заказа'!$U$187:$U$187</definedName>
    <definedName name="SalesQty72">'Бланк заказа'!$U$192:$U$192</definedName>
    <definedName name="SalesQty73">'Бланк заказа'!$U$197:$U$197</definedName>
    <definedName name="SalesQty74">'Бланк заказа'!$U$203:$U$203</definedName>
    <definedName name="SalesQty75">'Бланк заказа'!$U$204:$U$204</definedName>
    <definedName name="SalesQty76">'Бланк заказа'!$U$209:$U$209</definedName>
    <definedName name="SalesQty77">'Бланк заказа'!$U$210:$U$210</definedName>
    <definedName name="SalesQty78">'Бланк заказа'!$U$211:$U$211</definedName>
    <definedName name="SalesQty79">'Бланк заказа'!$U$212:$U$212</definedName>
    <definedName name="SalesQty8">'Бланк заказа'!$U$38:$U$38</definedName>
    <definedName name="SalesQty80">'Бланк заказа'!$U$217:$U$217</definedName>
    <definedName name="SalesQty81">'Бланк заказа'!$U$222:$U$222</definedName>
    <definedName name="SalesQty82">'Бланк заказа'!$U$223:$U$223</definedName>
    <definedName name="SalesQty83">'Бланк заказа'!$U$229:$U$229</definedName>
    <definedName name="SalesQty84">'Бланк заказа'!$U$235:$U$235</definedName>
    <definedName name="SalesQty85">'Бланк заказа'!$U$240:$U$240</definedName>
    <definedName name="SalesQty9">'Бланк заказа'!$U$39:$U$39</definedName>
    <definedName name="SalesRequestType">'Бланк заказа'!$S$11</definedName>
    <definedName name="SalesRoundBox1">'Бланк заказа'!$V$22:$V$22</definedName>
    <definedName name="SalesRoundBox10">'Бланк заказа'!$V$44:$V$44</definedName>
    <definedName name="SalesRoundBox11">'Бланк заказа'!$V$45:$V$45</definedName>
    <definedName name="SalesRoundBox12">'Бланк заказа'!$V$50:$V$50</definedName>
    <definedName name="SalesRoundBox13">'Бланк заказа'!$V$51:$V$51</definedName>
    <definedName name="SalesRoundBox14">'Бланк заказа'!$V$52:$V$52</definedName>
    <definedName name="SalesRoundBox15">'Бланк заказа'!$V$53:$V$53</definedName>
    <definedName name="SalesRoundBox16">'Бланк заказа'!$V$54:$V$54</definedName>
    <definedName name="SalesRoundBox17">'Бланк заказа'!$V$55:$V$55</definedName>
    <definedName name="SalesRoundBox18">'Бланк заказа'!$V$60:$V$60</definedName>
    <definedName name="SalesRoundBox19">'Бланк заказа'!$V$61:$V$61</definedName>
    <definedName name="SalesRoundBox2">'Бланк заказа'!$V$28:$V$28</definedName>
    <definedName name="SalesRoundBox20">'Бланк заказа'!$V$66:$V$66</definedName>
    <definedName name="SalesRoundBox21">'Бланк заказа'!$V$71:$V$71</definedName>
    <definedName name="SalesRoundBox22">'Бланк заказа'!$V$72:$V$72</definedName>
    <definedName name="SalesRoundBox23">'Бланк заказа'!$V$77:$V$77</definedName>
    <definedName name="SalesRoundBox24">'Бланк заказа'!$V$78:$V$78</definedName>
    <definedName name="SalesRoundBox25">'Бланк заказа'!$V$79:$V$79</definedName>
    <definedName name="SalesRoundBox26">'Бланк заказа'!$V$80:$V$80</definedName>
    <definedName name="SalesRoundBox27">'Бланк заказа'!$V$81:$V$81</definedName>
    <definedName name="SalesRoundBox28">'Бланк заказа'!$V$82:$V$82</definedName>
    <definedName name="SalesRoundBox29">'Бланк заказа'!$V$87:$V$87</definedName>
    <definedName name="SalesRoundBox3">'Бланк заказа'!$V$29:$V$29</definedName>
    <definedName name="SalesRoundBox30">'Бланк заказа'!$V$88:$V$88</definedName>
    <definedName name="SalesRoundBox31">'Бланк заказа'!$V$89:$V$89</definedName>
    <definedName name="SalesRoundBox32">'Бланк заказа'!$V$94:$V$94</definedName>
    <definedName name="SalesRoundBox33">'Бланк заказа'!$V$95:$V$95</definedName>
    <definedName name="SalesRoundBox34">'Бланк заказа'!$V$96:$V$96</definedName>
    <definedName name="SalesRoundBox35">'Бланк заказа'!$V$97:$V$97</definedName>
    <definedName name="SalesRoundBox36">'Бланк заказа'!$V$102:$V$102</definedName>
    <definedName name="SalesRoundBox37">'Бланк заказа'!$V$103:$V$103</definedName>
    <definedName name="SalesRoundBox38">'Бланк заказа'!$V$108:$V$108</definedName>
    <definedName name="SalesRoundBox39">'Бланк заказа'!$V$113:$V$113</definedName>
    <definedName name="SalesRoundBox4">'Бланк заказа'!$V$30:$V$30</definedName>
    <definedName name="SalesRoundBox40">'Бланк заказа'!$V$114:$V$114</definedName>
    <definedName name="SalesRoundBox41">'Бланк заказа'!$V$115:$V$115</definedName>
    <definedName name="SalesRoundBox42">'Бланк заказа'!$V$116:$V$116</definedName>
    <definedName name="SalesRoundBox43">'Бланк заказа'!$V$121:$V$121</definedName>
    <definedName name="SalesRoundBox44">'Бланк заказа'!$V$126:$V$126</definedName>
    <definedName name="SalesRoundBox45">'Бланк заказа'!$V$127:$V$127</definedName>
    <definedName name="SalesRoundBox46">'Бланк заказа'!$V$132:$V$132</definedName>
    <definedName name="SalesRoundBox47">'Бланк заказа'!$V$138:$V$138</definedName>
    <definedName name="SalesRoundBox48">'Бланк заказа'!$V$142:$V$142</definedName>
    <definedName name="SalesRoundBox49">'Бланк заказа'!$V$146:$V$146</definedName>
    <definedName name="SalesRoundBox5">'Бланк заказа'!$V$31:$V$31</definedName>
    <definedName name="SalesRoundBox50">'Бланк заказа'!$V$147:$V$147</definedName>
    <definedName name="SalesRoundBox51">'Бланк заказа'!$V$148:$V$148</definedName>
    <definedName name="SalesRoundBox52">'Бланк заказа'!$V$149:$V$149</definedName>
    <definedName name="SalesRoundBox53">'Бланк заказа'!$V$153:$V$153</definedName>
    <definedName name="SalesRoundBox54">'Бланк заказа'!$V$154:$V$154</definedName>
    <definedName name="SalesRoundBox55">'Бланк заказа'!$V$155:$V$155</definedName>
    <definedName name="SalesRoundBox56">'Бланк заказа'!$V$156:$V$156</definedName>
    <definedName name="SalesRoundBox57">'Бланк заказа'!$V$157:$V$157</definedName>
    <definedName name="SalesRoundBox58">'Бланк заказа'!$V$158:$V$158</definedName>
    <definedName name="SalesRoundBox59">'Бланк заказа'!$V$159:$V$159</definedName>
    <definedName name="SalesRoundBox6">'Бланк заказа'!$V$36:$V$36</definedName>
    <definedName name="SalesRoundBox60">'Бланк заказа'!$V$160:$V$160</definedName>
    <definedName name="SalesRoundBox61">'Бланк заказа'!$V$161:$V$161</definedName>
    <definedName name="SalesRoundBox62">'Бланк заказа'!$V$162:$V$162</definedName>
    <definedName name="SalesRoundBox63">'Бланк заказа'!$V$167:$V$167</definedName>
    <definedName name="SalesRoundBox64">'Бланк заказа'!$V$172:$V$172</definedName>
    <definedName name="SalesRoundBox65">'Бланк заказа'!$V$173:$V$173</definedName>
    <definedName name="SalesRoundBox66">'Бланк заказа'!$V$174:$V$174</definedName>
    <definedName name="SalesRoundBox67">'Бланк заказа'!$V$175:$V$175</definedName>
    <definedName name="SalesRoundBox68">'Бланк заказа'!$V$179:$V$179</definedName>
    <definedName name="SalesRoundBox69">'Бланк заказа'!$V$180:$V$180</definedName>
    <definedName name="SalesRoundBox7">'Бланк заказа'!$V$37:$V$37</definedName>
    <definedName name="SalesRoundBox70">'Бланк заказа'!$V$186:$V$186</definedName>
    <definedName name="SalesRoundBox71">'Бланк заказа'!$V$187:$V$187</definedName>
    <definedName name="SalesRoundBox72">'Бланк заказа'!$V$192:$V$192</definedName>
    <definedName name="SalesRoundBox73">'Бланк заказа'!$V$197:$V$197</definedName>
    <definedName name="SalesRoundBox74">'Бланк заказа'!$V$203:$V$203</definedName>
    <definedName name="SalesRoundBox75">'Бланк заказа'!$V$204:$V$204</definedName>
    <definedName name="SalesRoundBox76">'Бланк заказа'!$V$209:$V$209</definedName>
    <definedName name="SalesRoundBox77">'Бланк заказа'!$V$210:$V$210</definedName>
    <definedName name="SalesRoundBox78">'Бланк заказа'!$V$211:$V$211</definedName>
    <definedName name="SalesRoundBox79">'Бланк заказа'!$V$212:$V$212</definedName>
    <definedName name="SalesRoundBox8">'Бланк заказа'!$V$38:$V$38</definedName>
    <definedName name="SalesRoundBox80">'Бланк заказа'!$V$217:$V$217</definedName>
    <definedName name="SalesRoundBox81">'Бланк заказа'!$V$222:$V$222</definedName>
    <definedName name="SalesRoundBox82">'Бланк заказа'!$V$223:$V$223</definedName>
    <definedName name="SalesRoundBox83">'Бланк заказа'!$V$229:$V$229</definedName>
    <definedName name="SalesRoundBox84">'Бланк заказа'!$V$235:$V$235</definedName>
    <definedName name="SalesRoundBox85">'Бланк заказа'!$V$240:$V$240</definedName>
    <definedName name="SalesRoundBox9">'Бланк заказа'!$V$39:$V$39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заказа'!$T$44:$T$44</definedName>
    <definedName name="UnitOfMeasure11">'Бланк заказа'!$T$45:$T$45</definedName>
    <definedName name="UnitOfMeasure12">'Бланк заказа'!$T$50:$T$50</definedName>
    <definedName name="UnitOfMeasure13">'Бланк заказа'!$T$51:$T$51</definedName>
    <definedName name="UnitOfMeasure14">'Бланк заказа'!$T$52:$T$52</definedName>
    <definedName name="UnitOfMeasure15">'Бланк заказа'!$T$53:$T$53</definedName>
    <definedName name="UnitOfMeasure16">'Бланк заказа'!$T$54:$T$54</definedName>
    <definedName name="UnitOfMeasure17">'Бланк заказа'!$T$55:$T$55</definedName>
    <definedName name="UnitOfMeasure18">'Бланк заказа'!$T$60:$T$60</definedName>
    <definedName name="UnitOfMeasure19">'Бланк заказа'!$T$61:$T$61</definedName>
    <definedName name="UnitOfMeasure2">'Бланк заказа'!$T$28:$T$28</definedName>
    <definedName name="UnitOfMeasure20">'Бланк заказа'!$T$66:$T$66</definedName>
    <definedName name="UnitOfMeasure21">'Бланк заказа'!$T$71:$T$71</definedName>
    <definedName name="UnitOfMeasure22">'Бланк заказа'!$T$72:$T$72</definedName>
    <definedName name="UnitOfMeasure23">'Бланк заказа'!$T$77:$T$77</definedName>
    <definedName name="UnitOfMeasure24">'Бланк заказа'!$T$78:$T$78</definedName>
    <definedName name="UnitOfMeasure25">'Бланк заказа'!$T$79:$T$79</definedName>
    <definedName name="UnitOfMeasure26">'Бланк заказа'!$T$80:$T$80</definedName>
    <definedName name="UnitOfMeasure27">'Бланк заказа'!$T$81:$T$81</definedName>
    <definedName name="UnitOfMeasure28">'Бланк заказа'!$T$82:$T$82</definedName>
    <definedName name="UnitOfMeasure29">'Бланк заказа'!$T$87:$T$87</definedName>
    <definedName name="UnitOfMeasure3">'Бланк заказа'!$T$29:$T$29</definedName>
    <definedName name="UnitOfMeasure30">'Бланк заказа'!$T$88:$T$88</definedName>
    <definedName name="UnitOfMeasure31">'Бланк заказа'!$T$89:$T$89</definedName>
    <definedName name="UnitOfMeasure32">'Бланк заказа'!$T$94:$T$94</definedName>
    <definedName name="UnitOfMeasure33">'Бланк заказа'!$T$95:$T$95</definedName>
    <definedName name="UnitOfMeasure34">'Бланк заказа'!$T$96:$T$96</definedName>
    <definedName name="UnitOfMeasure35">'Бланк заказа'!$T$97:$T$97</definedName>
    <definedName name="UnitOfMeasure36">'Бланк заказа'!$T$102:$T$102</definedName>
    <definedName name="UnitOfMeasure37">'Бланк заказа'!$T$103:$T$103</definedName>
    <definedName name="UnitOfMeasure38">'Бланк заказа'!$T$108:$T$108</definedName>
    <definedName name="UnitOfMeasure39">'Бланк заказа'!$T$113:$T$113</definedName>
    <definedName name="UnitOfMeasure4">'Бланк заказа'!$T$30:$T$30</definedName>
    <definedName name="UnitOfMeasure40">'Бланк заказа'!$T$114:$T$114</definedName>
    <definedName name="UnitOfMeasure41">'Бланк заказа'!$T$115:$T$115</definedName>
    <definedName name="UnitOfMeasure42">'Бланк заказа'!$T$116:$T$116</definedName>
    <definedName name="UnitOfMeasure43">'Бланк заказа'!$T$121:$T$121</definedName>
    <definedName name="UnitOfMeasure44">'Бланк заказа'!$T$126:$T$126</definedName>
    <definedName name="UnitOfMeasure45">'Бланк заказа'!$T$127:$T$127</definedName>
    <definedName name="UnitOfMeasure46">'Бланк заказа'!$T$132:$T$132</definedName>
    <definedName name="UnitOfMeasure47">'Бланк заказа'!$T$138:$T$138</definedName>
    <definedName name="UnitOfMeasure48">'Бланк заказа'!$T$142:$T$142</definedName>
    <definedName name="UnitOfMeasure49">'Бланк заказа'!$T$146:$T$146</definedName>
    <definedName name="UnitOfMeasure5">'Бланк заказа'!$T$31:$T$31</definedName>
    <definedName name="UnitOfMeasure50">'Бланк заказа'!$T$147:$T$147</definedName>
    <definedName name="UnitOfMeasure51">'Бланк заказа'!$T$148:$T$148</definedName>
    <definedName name="UnitOfMeasure52">'Бланк заказа'!$T$149:$T$149</definedName>
    <definedName name="UnitOfMeasure53">'Бланк заказа'!$T$153:$T$153</definedName>
    <definedName name="UnitOfMeasure54">'Бланк заказа'!$T$154:$T$154</definedName>
    <definedName name="UnitOfMeasure55">'Бланк заказа'!$T$155:$T$155</definedName>
    <definedName name="UnitOfMeasure56">'Бланк заказа'!$T$156:$T$156</definedName>
    <definedName name="UnitOfMeasure57">'Бланк заказа'!$T$157:$T$157</definedName>
    <definedName name="UnitOfMeasure58">'Бланк заказа'!$T$158:$T$158</definedName>
    <definedName name="UnitOfMeasure59">'Бланк заказа'!$T$159:$T$159</definedName>
    <definedName name="UnitOfMeasure6">'Бланк заказа'!$T$36:$T$36</definedName>
    <definedName name="UnitOfMeasure60">'Бланк заказа'!$T$160:$T$160</definedName>
    <definedName name="UnitOfMeasure61">'Бланк заказа'!$T$161:$T$161</definedName>
    <definedName name="UnitOfMeasure62">'Бланк заказа'!$T$162:$T$162</definedName>
    <definedName name="UnitOfMeasure63">'Бланк заказа'!$T$167:$T$167</definedName>
    <definedName name="UnitOfMeasure64">'Бланк заказа'!$T$172:$T$172</definedName>
    <definedName name="UnitOfMeasure65">'Бланк заказа'!$T$173:$T$173</definedName>
    <definedName name="UnitOfMeasure66">'Бланк заказа'!$T$174:$T$174</definedName>
    <definedName name="UnitOfMeasure67">'Бланк заказа'!$T$175:$T$175</definedName>
    <definedName name="UnitOfMeasure68">'Бланк заказа'!$T$179:$T$179</definedName>
    <definedName name="UnitOfMeasure69">'Бланк заказа'!$T$180:$T$180</definedName>
    <definedName name="UnitOfMeasure7">'Бланк заказа'!$T$37:$T$37</definedName>
    <definedName name="UnitOfMeasure70">'Бланк заказа'!$T$186:$T$186</definedName>
    <definedName name="UnitOfMeasure71">'Бланк заказа'!$T$187:$T$187</definedName>
    <definedName name="UnitOfMeasure72">'Бланк заказа'!$T$192:$T$192</definedName>
    <definedName name="UnitOfMeasure73">'Бланк заказа'!$T$197:$T$197</definedName>
    <definedName name="UnitOfMeasure74">'Бланк заказа'!$T$203:$T$203</definedName>
    <definedName name="UnitOfMeasure75">'Бланк заказа'!$T$204:$T$204</definedName>
    <definedName name="UnitOfMeasure76">'Бланк заказа'!$T$209:$T$209</definedName>
    <definedName name="UnitOfMeasure77">'Бланк заказа'!$T$210:$T$210</definedName>
    <definedName name="UnitOfMeasure78">'Бланк заказа'!$T$211:$T$211</definedName>
    <definedName name="UnitOfMeasure79">'Бланк заказа'!$T$212:$T$212</definedName>
    <definedName name="UnitOfMeasure8">'Бланк заказа'!$T$38:$T$38</definedName>
    <definedName name="UnitOfMeasure80">'Бланк заказа'!$T$217:$T$217</definedName>
    <definedName name="UnitOfMeasure81">'Бланк заказа'!$T$222:$T$222</definedName>
    <definedName name="UnitOfMeasure82">'Бланк заказа'!$T$223:$T$223</definedName>
    <definedName name="UnitOfMeasure83">'Бланк заказа'!$T$229:$T$229</definedName>
    <definedName name="UnitOfMeasure84">'Бланк заказа'!$T$235:$T$235</definedName>
    <definedName name="UnitOfMeasure85">'Бланк заказа'!$T$240:$T$240</definedName>
    <definedName name="UnitOfMeasure9">'Бланк заказа'!$T$39:$T$39</definedName>
    <definedName name="UnloadAddress">'Бланк заказа'!$D$8</definedName>
    <definedName name="UnloadAdressList0001">Setting!$B$9:$B$9</definedName>
    <definedName name="UnloadAdressList0002">Setting!$B$11:$B$11</definedName>
    <definedName name="_xlnm._FilterDatabase" localSheetId="0" hidden="1">'Бланк заказа'!$B$18:$W$18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33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b val="1"/>
      <sz val="10"/>
    </font>
    <font>
      <name val="Arial Cyr"/>
      <charset val="204"/>
      <color indexed="8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59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24" borderId="11" applyAlignment="1" applyProtection="1" pivotButton="0" quotePrefix="0" xfId="0">
      <alignment horizontal="center" vertical="center"/>
      <protection locked="1" hidden="1"/>
    </xf>
    <xf numFmtId="2" fontId="0" fillId="0" borderId="11" applyProtection="1" pivotButton="0" quotePrefix="0" xfId="0">
      <protection locked="1" hidden="1"/>
    </xf>
    <xf numFmtId="2" fontId="61" fillId="0" borderId="11" applyAlignment="1" applyProtection="1" pivotButton="0" quotePrefix="0" xfId="0">
      <alignment horizontal="center"/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4" fillId="0" borderId="0" applyProtection="1" pivotButton="0" quotePrefix="0" xfId="0">
      <protection locked="1" hidden="1"/>
    </xf>
    <xf numFmtId="0" fontId="66" fillId="0" borderId="0" applyProtection="1" pivotButton="0" quotePrefix="0" xfId="0">
      <protection locked="1" hidden="1"/>
    </xf>
    <xf numFmtId="0" fontId="68" fillId="0" borderId="0" applyProtection="1" pivotButton="0" quotePrefix="0" xfId="0">
      <protection locked="1" hidden="1"/>
    </xf>
    <xf numFmtId="0" fontId="70" fillId="0" borderId="0" applyProtection="1" pivotButton="0" quotePrefix="0" xfId="0">
      <protection locked="1" hidden="1"/>
    </xf>
    <xf numFmtId="0" fontId="72" fillId="0" borderId="0" applyProtection="1" pivotButton="0" quotePrefix="0" xfId="0">
      <protection locked="1" hidden="1"/>
    </xf>
    <xf numFmtId="0" fontId="74" fillId="0" borderId="0" applyProtection="1" pivotButton="0" quotePrefix="0" xfId="0">
      <protection locked="1" hidden="1"/>
    </xf>
    <xf numFmtId="0" fontId="76" fillId="0" borderId="0" applyProtection="1" pivotButton="0" quotePrefix="0" xfId="0">
      <protection locked="1" hidden="1"/>
    </xf>
    <xf numFmtId="0" fontId="78" fillId="0" borderId="0" applyProtection="1" pivotButton="0" quotePrefix="0" xfId="0">
      <protection locked="1" hidden="1"/>
    </xf>
    <xf numFmtId="0" fontId="80" fillId="0" borderId="0" applyProtection="1" pivotButton="0" quotePrefix="0" xfId="0">
      <protection locked="1" hidden="1"/>
    </xf>
    <xf numFmtId="0" fontId="82" fillId="0" borderId="0" applyProtection="1" pivotButton="0" quotePrefix="0" xfId="0">
      <protection locked="1" hidden="1"/>
    </xf>
    <xf numFmtId="0" fontId="84" fillId="0" borderId="0" applyProtection="1" pivotButton="0" quotePrefix="0" xfId="0">
      <protection locked="1" hidden="1"/>
    </xf>
    <xf numFmtId="0" fontId="86" fillId="0" borderId="0" applyProtection="1" pivotButton="0" quotePrefix="0" xfId="0">
      <protection locked="1" hidden="1"/>
    </xf>
    <xf numFmtId="0" fontId="88" fillId="0" borderId="0" applyProtection="1" pivotButton="0" quotePrefix="0" xfId="0">
      <protection locked="1" hidden="1"/>
    </xf>
    <xf numFmtId="0" fontId="90" fillId="0" borderId="0" applyProtection="1" pivotButton="0" quotePrefix="0" xfId="0">
      <protection locked="1" hidden="1"/>
    </xf>
    <xf numFmtId="0" fontId="92" fillId="0" borderId="0" applyProtection="1" pivotButton="0" quotePrefix="0" xfId="0">
      <protection locked="1" hidden="1"/>
    </xf>
    <xf numFmtId="0" fontId="94" fillId="0" borderId="0" applyProtection="1" pivotButton="0" quotePrefix="0" xfId="0">
      <protection locked="1" hidden="1"/>
    </xf>
    <xf numFmtId="0" fontId="96" fillId="0" borderId="0" applyProtection="1" pivotButton="0" quotePrefix="0" xfId="0">
      <protection locked="1" hidden="1"/>
    </xf>
    <xf numFmtId="0" fontId="98" fillId="0" borderId="0" applyProtection="1" pivotButton="0" quotePrefix="0" xfId="0">
      <protection locked="1" hidden="1"/>
    </xf>
    <xf numFmtId="0" fontId="100" fillId="0" borderId="0" applyProtection="1" pivotButton="0" quotePrefix="0" xfId="0">
      <protection locked="1" hidden="1"/>
    </xf>
    <xf numFmtId="0" fontId="102" fillId="0" borderId="0" applyProtection="1" pivotButton="0" quotePrefix="0" xfId="0">
      <protection locked="1" hidden="1"/>
    </xf>
    <xf numFmtId="0" fontId="104" fillId="0" borderId="0" applyProtection="1" pivotButton="0" quotePrefix="0" xfId="0">
      <protection locked="1" hidden="1"/>
    </xf>
    <xf numFmtId="0" fontId="106" fillId="0" borderId="0" applyProtection="1" pivotButton="0" quotePrefix="0" xfId="0">
      <protection locked="1" hidden="1"/>
    </xf>
    <xf numFmtId="0" fontId="108" fillId="0" borderId="0" applyProtection="1" pivotButton="0" quotePrefix="0" xfId="0">
      <protection locked="1" hidden="1"/>
    </xf>
    <xf numFmtId="0" fontId="110" fillId="0" borderId="0" applyProtection="1" pivotButton="0" quotePrefix="0" xfId="0">
      <protection locked="1" hidden="1"/>
    </xf>
    <xf numFmtId="0" fontId="112" fillId="0" borderId="0" applyProtection="1" pivotButton="0" quotePrefix="0" xfId="0">
      <protection locked="1" hidden="1"/>
    </xf>
    <xf numFmtId="0" fontId="114" fillId="0" borderId="0" applyProtection="1" pivotButton="0" quotePrefix="0" xfId="0">
      <protection locked="1" hidden="1"/>
    </xf>
    <xf numFmtId="0" fontId="116" fillId="0" borderId="0" applyProtection="1" pivotButton="0" quotePrefix="0" xfId="0">
      <protection locked="1" hidden="1"/>
    </xf>
    <xf numFmtId="0" fontId="118" fillId="0" borderId="0" applyProtection="1" pivotButton="0" quotePrefix="0" xfId="0">
      <protection locked="1" hidden="1"/>
    </xf>
    <xf numFmtId="0" fontId="120" fillId="0" borderId="0" applyProtection="1" pivotButton="0" quotePrefix="0" xfId="0">
      <protection locked="1" hidden="1"/>
    </xf>
    <xf numFmtId="0" fontId="122" fillId="0" borderId="0" applyProtection="1" pivotButton="0" quotePrefix="0" xfId="0">
      <protection locked="1" hidden="1"/>
    </xf>
    <xf numFmtId="0" fontId="124" fillId="0" borderId="0" applyProtection="1" pivotButton="0" quotePrefix="0" xfId="0">
      <protection locked="1" hidden="1"/>
    </xf>
    <xf numFmtId="0" fontId="126" fillId="0" borderId="0" applyProtection="1" pivotButton="0" quotePrefix="0" xfId="0">
      <protection locked="1" hidden="1"/>
    </xf>
    <xf numFmtId="0" fontId="128" fillId="0" borderId="0" applyProtection="1" pivotButton="0" quotePrefix="0" xfId="0">
      <protection locked="1" hidden="1"/>
    </xf>
    <xf numFmtId="0" fontId="130" fillId="0" borderId="0" applyProtection="1" pivotButton="0" quotePrefix="0" xfId="0">
      <protection locked="1" hidden="1"/>
    </xf>
    <xf numFmtId="0" fontId="132" fillId="0" borderId="0" applyProtection="1" pivotButton="0" quotePrefix="0" xfId="0">
      <protection locked="1" hidden="1"/>
    </xf>
    <xf numFmtId="0" fontId="134" fillId="0" borderId="0" applyProtection="1" pivotButton="0" quotePrefix="0" xfId="0">
      <protection locked="1" hidden="1"/>
    </xf>
    <xf numFmtId="0" fontId="136" fillId="0" borderId="0" applyProtection="1" pivotButton="0" quotePrefix="0" xfId="0">
      <protection locked="1" hidden="1"/>
    </xf>
    <xf numFmtId="0" fontId="138" fillId="0" borderId="0" applyProtection="1" pivotButton="0" quotePrefix="0" xfId="0">
      <protection locked="1" hidden="1"/>
    </xf>
    <xf numFmtId="0" fontId="140" fillId="0" borderId="0" applyProtection="1" pivotButton="0" quotePrefix="0" xfId="0">
      <protection locked="1" hidden="1"/>
    </xf>
    <xf numFmtId="0" fontId="142" fillId="0" borderId="0" applyProtection="1" pivotButton="0" quotePrefix="0" xfId="0">
      <protection locked="1" hidden="1"/>
    </xf>
    <xf numFmtId="0" fontId="144" fillId="0" borderId="0" applyProtection="1" pivotButton="0" quotePrefix="0" xfId="0">
      <protection locked="1" hidden="1"/>
    </xf>
    <xf numFmtId="0" fontId="146" fillId="0" borderId="0" applyProtection="1" pivotButton="0" quotePrefix="0" xfId="0">
      <protection locked="1" hidden="1"/>
    </xf>
    <xf numFmtId="0" fontId="148" fillId="0" borderId="0" applyProtection="1" pivotButton="0" quotePrefix="0" xfId="0">
      <protection locked="1" hidden="1"/>
    </xf>
    <xf numFmtId="0" fontId="150" fillId="0" borderId="0" applyProtection="1" pivotButton="0" quotePrefix="0" xfId="0">
      <protection locked="1" hidden="1"/>
    </xf>
    <xf numFmtId="0" fontId="152" fillId="0" borderId="0" applyProtection="1" pivotButton="0" quotePrefix="0" xfId="0">
      <protection locked="1" hidden="1"/>
    </xf>
    <xf numFmtId="0" fontId="154" fillId="0" borderId="0" applyProtection="1" pivotButton="0" quotePrefix="0" xfId="0">
      <protection locked="1" hidden="1"/>
    </xf>
    <xf numFmtId="0" fontId="156" fillId="0" borderId="0" applyProtection="1" pivotButton="0" quotePrefix="0" xfId="0">
      <protection locked="1" hidden="1"/>
    </xf>
    <xf numFmtId="0" fontId="158" fillId="0" borderId="0" applyProtection="1" pivotButton="0" quotePrefix="0" xfId="0">
      <protection locked="1" hidden="1"/>
    </xf>
    <xf numFmtId="0" fontId="160" fillId="0" borderId="0" applyProtection="1" pivotButton="0" quotePrefix="0" xfId="0">
      <protection locked="1" hidden="1"/>
    </xf>
    <xf numFmtId="0" fontId="162" fillId="0" borderId="0" applyProtection="1" pivotButton="0" quotePrefix="0" xfId="0">
      <protection locked="1" hidden="1"/>
    </xf>
    <xf numFmtId="0" fontId="164" fillId="0" borderId="0" applyProtection="1" pivotButton="0" quotePrefix="0" xfId="0">
      <protection locked="1" hidden="1"/>
    </xf>
    <xf numFmtId="0" fontId="166" fillId="0" borderId="0" applyProtection="1" pivotButton="0" quotePrefix="0" xfId="0">
      <protection locked="1" hidden="1"/>
    </xf>
    <xf numFmtId="0" fontId="168" fillId="0" borderId="0" applyProtection="1" pivotButton="0" quotePrefix="0" xfId="0">
      <protection locked="1" hidden="1"/>
    </xf>
    <xf numFmtId="0" fontId="170" fillId="0" borderId="0" applyProtection="1" pivotButton="0" quotePrefix="0" xfId="0">
      <protection locked="1" hidden="1"/>
    </xf>
    <xf numFmtId="0" fontId="172" fillId="0" borderId="0" applyProtection="1" pivotButton="0" quotePrefix="0" xfId="0">
      <protection locked="1" hidden="1"/>
    </xf>
    <xf numFmtId="0" fontId="174" fillId="0" borderId="0" applyProtection="1" pivotButton="0" quotePrefix="0" xfId="0">
      <protection locked="1" hidden="1"/>
    </xf>
    <xf numFmtId="0" fontId="176" fillId="0" borderId="0" applyProtection="1" pivotButton="0" quotePrefix="0" xfId="0">
      <protection locked="1" hidden="1"/>
    </xf>
    <xf numFmtId="0" fontId="178" fillId="0" borderId="0" applyProtection="1" pivotButton="0" quotePrefix="0" xfId="0">
      <protection locked="1" hidden="1"/>
    </xf>
    <xf numFmtId="0" fontId="180" fillId="0" borderId="0" applyProtection="1" pivotButton="0" quotePrefix="0" xfId="0">
      <protection locked="1" hidden="1"/>
    </xf>
    <xf numFmtId="0" fontId="182" fillId="0" borderId="0" applyProtection="1" pivotButton="0" quotePrefix="0" xfId="0">
      <protection locked="1" hidden="1"/>
    </xf>
    <xf numFmtId="0" fontId="184" fillId="0" borderId="0" applyProtection="1" pivotButton="0" quotePrefix="0" xfId="0">
      <protection locked="1" hidden="1"/>
    </xf>
    <xf numFmtId="0" fontId="186" fillId="0" borderId="0" applyProtection="1" pivotButton="0" quotePrefix="0" xfId="0">
      <protection locked="1" hidden="1"/>
    </xf>
    <xf numFmtId="0" fontId="188" fillId="0" borderId="0" applyProtection="1" pivotButton="0" quotePrefix="0" xfId="0">
      <protection locked="1" hidden="1"/>
    </xf>
    <xf numFmtId="0" fontId="190" fillId="0" borderId="0" applyProtection="1" pivotButton="0" quotePrefix="0" xfId="0">
      <protection locked="1" hidden="1"/>
    </xf>
    <xf numFmtId="0" fontId="192" fillId="0" borderId="0" applyProtection="1" pivotButton="0" quotePrefix="0" xfId="0">
      <protection locked="1" hidden="1"/>
    </xf>
    <xf numFmtId="0" fontId="194" fillId="0" borderId="0" applyProtection="1" pivotButton="0" quotePrefix="0" xfId="0">
      <protection locked="1" hidden="1"/>
    </xf>
    <xf numFmtId="0" fontId="196" fillId="0" borderId="0" applyProtection="1" pivotButton="0" quotePrefix="0" xfId="0">
      <protection locked="1" hidden="1"/>
    </xf>
    <xf numFmtId="0" fontId="198" fillId="0" borderId="0" applyProtection="1" pivotButton="0" quotePrefix="0" xfId="0">
      <protection locked="1" hidden="1"/>
    </xf>
    <xf numFmtId="0" fontId="200" fillId="0" borderId="0" applyProtection="1" pivotButton="0" quotePrefix="0" xfId="0">
      <protection locked="1" hidden="1"/>
    </xf>
    <xf numFmtId="0" fontId="202" fillId="0" borderId="0" applyProtection="1" pivotButton="0" quotePrefix="0" xfId="0">
      <protection locked="1" hidden="1"/>
    </xf>
    <xf numFmtId="0" fontId="204" fillId="0" borderId="0" applyProtection="1" pivotButton="0" quotePrefix="0" xfId="0">
      <protection locked="1" hidden="1"/>
    </xf>
    <xf numFmtId="0" fontId="206" fillId="0" borderId="0" applyProtection="1" pivotButton="0" quotePrefix="0" xfId="0">
      <protection locked="1" hidden="1"/>
    </xf>
    <xf numFmtId="0" fontId="208" fillId="0" borderId="0" applyProtection="1" pivotButton="0" quotePrefix="0" xfId="0">
      <protection locked="1" hidden="1"/>
    </xf>
    <xf numFmtId="0" fontId="210" fillId="0" borderId="0" applyProtection="1" pivotButton="0" quotePrefix="0" xfId="0">
      <protection locked="1" hidden="1"/>
    </xf>
    <xf numFmtId="0" fontId="212" fillId="0" borderId="0" applyProtection="1" pivotButton="0" quotePrefix="0" xfId="0">
      <protection locked="1" hidden="1"/>
    </xf>
    <xf numFmtId="0" fontId="214" fillId="0" borderId="0" applyProtection="1" pivotButton="0" quotePrefix="0" xfId="0">
      <protection locked="1" hidden="1"/>
    </xf>
    <xf numFmtId="0" fontId="216" fillId="0" borderId="0" applyProtection="1" pivotButton="0" quotePrefix="0" xfId="0">
      <protection locked="1" hidden="1"/>
    </xf>
    <xf numFmtId="0" fontId="218" fillId="0" borderId="0" applyProtection="1" pivotButton="0" quotePrefix="0" xfId="0">
      <protection locked="1" hidden="1"/>
    </xf>
    <xf numFmtId="0" fontId="220" fillId="0" borderId="0" applyProtection="1" pivotButton="0" quotePrefix="0" xfId="0">
      <protection locked="1" hidden="1"/>
    </xf>
    <xf numFmtId="0" fontId="222" fillId="0" borderId="0" applyProtection="1" pivotButton="0" quotePrefix="0" xfId="0">
      <protection locked="1" hidden="1"/>
    </xf>
    <xf numFmtId="0" fontId="224" fillId="0" borderId="0" applyProtection="1" pivotButton="0" quotePrefix="0" xfId="0">
      <protection locked="1" hidden="1"/>
    </xf>
    <xf numFmtId="0" fontId="226" fillId="0" borderId="0" applyProtection="1" pivotButton="0" quotePrefix="0" xfId="0">
      <protection locked="1" hidden="1"/>
    </xf>
    <xf numFmtId="0" fontId="228" fillId="0" borderId="0" applyProtection="1" pivotButton="0" quotePrefix="0" xfId="0">
      <protection locked="1" hidden="1"/>
    </xf>
    <xf numFmtId="0" fontId="230" fillId="0" borderId="0" applyProtection="1" pivotButton="0" quotePrefix="0" xfId="0">
      <protection locked="1" hidden="1"/>
    </xf>
    <xf numFmtId="0" fontId="232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229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0" fontId="231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2" fillId="0" borderId="43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3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8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AE257"/>
  <sheetViews>
    <sheetView showGridLines="0" tabSelected="1" topLeftCell="F1" zoomScaleNormal="100" zoomScaleSheetLayoutView="100" workbookViewId="0">
      <selection activeCell="U22" sqref="U22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9.42578125" customWidth="1" style="5" min="11" max="11"/>
    <col width="10.42578125" customWidth="1" style="4" min="12" max="12"/>
    <col width="7.42578125" customWidth="1" style="2" min="13" max="13"/>
    <col width="15.5703125" customWidth="1" style="2" min="14" max="14"/>
    <col width="8.140625" customWidth="1" style="1" min="15" max="15"/>
    <col width="6.140625" customWidth="1" style="1" min="16" max="16"/>
    <col width="10.85546875" customWidth="1" style="3" min="17" max="17"/>
    <col width="10.42578125" customWidth="1" style="3" min="18" max="18"/>
    <col width="9.42578125" customWidth="1" style="3" min="19" max="19"/>
    <col width="8.42578125" customWidth="1" style="3" min="20" max="20"/>
    <col width="10" customWidth="1" style="1" min="21" max="21"/>
    <col width="11" customWidth="1" style="1" min="22" max="22"/>
    <col width="10" customWidth="1" style="1" min="23" max="23"/>
    <col width="11.5703125" customWidth="1" style="1" min="24" max="24"/>
    <col width="10.42578125" customWidth="1" style="1" min="25" max="25"/>
    <col width="11.42578125" bestFit="1" customWidth="1" style="61" min="26" max="26"/>
    <col width="9.140625" customWidth="1" style="61" min="27" max="27"/>
    <col width="8.85546875" customWidth="1" style="61" min="28" max="28"/>
    <col width="13.5703125" customWidth="1" style="1" min="29" max="29"/>
    <col width="9.140625" customWidth="1" style="1" min="30" max="16384"/>
  </cols>
  <sheetData>
    <row r="1" ht="45" customFormat="1" customHeight="1" s="291">
      <c r="A1" s="48" t="n"/>
      <c r="B1" s="48" t="n"/>
      <c r="C1" s="48" t="n"/>
      <c r="D1" s="310" t="inlineStr">
        <is>
          <t xml:space="preserve">  БЛАНК ЗАКАЗА </t>
        </is>
      </c>
      <c r="G1" s="14" t="inlineStr">
        <is>
          <t>ЗПФ</t>
        </is>
      </c>
      <c r="H1" s="310" t="inlineStr">
        <is>
          <t>на отгрузку продукции с ООО Трейд-Сервис с</t>
        </is>
      </c>
      <c r="O1" s="311" t="inlineStr">
        <is>
          <t>13.08.2023</t>
        </is>
      </c>
      <c r="R1" s="15" t="n"/>
      <c r="S1" s="15" t="n"/>
      <c r="T1" s="15" t="n"/>
      <c r="U1" s="15" t="n"/>
      <c r="V1" s="15" t="n"/>
      <c r="W1" s="15" t="n"/>
      <c r="X1" s="15" t="n"/>
      <c r="Y1" s="62" t="n"/>
      <c r="Z1" s="62" t="n"/>
      <c r="AA1" s="62" t="n"/>
      <c r="AB1" s="62" t="n"/>
    </row>
    <row r="2" ht="16.5" customFormat="1" customHeight="1" s="291">
      <c r="A2" s="34" t="inlineStr">
        <is>
          <t>бланк создан</t>
        </is>
      </c>
      <c r="B2" s="35" t="inlineStr">
        <is>
          <t>11.08.2023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313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" t="n"/>
      <c r="O2" s="1" t="n"/>
      <c r="P2" s="1" t="n"/>
      <c r="Q2" s="1" t="n"/>
      <c r="R2" s="1" t="n"/>
      <c r="S2" s="1" t="n"/>
      <c r="T2" s="1" t="n"/>
      <c r="U2" s="19" t="n"/>
      <c r="V2" s="19" t="n"/>
      <c r="W2" s="19" t="n"/>
      <c r="X2" s="19" t="n"/>
      <c r="Y2" s="60" t="n"/>
      <c r="Z2" s="60" t="n"/>
      <c r="AA2" s="60" t="n"/>
    </row>
    <row r="3" ht="11.25" customFormat="1" customHeight="1" s="291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18" t="n"/>
      <c r="L3" s="18" t="n"/>
      <c r="M3" s="1" t="n"/>
      <c r="N3" s="1" t="n"/>
      <c r="O3" s="1" t="n"/>
      <c r="P3" s="1" t="n"/>
      <c r="Q3" s="1" t="n"/>
      <c r="R3" s="1" t="n"/>
      <c r="S3" s="1" t="n"/>
      <c r="T3" s="1" t="n"/>
      <c r="U3" s="19" t="n"/>
      <c r="V3" s="19" t="n"/>
      <c r="W3" s="19" t="n"/>
      <c r="X3" s="19" t="n"/>
      <c r="Y3" s="60" t="n"/>
      <c r="Z3" s="60" t="n"/>
      <c r="AA3" s="60" t="n"/>
    </row>
    <row r="4" ht="9" customFormat="1" customHeight="1" s="291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3" t="n"/>
      <c r="O4" s="23" t="n"/>
      <c r="P4" s="23" t="n"/>
      <c r="Q4" s="23" t="n"/>
      <c r="R4" s="23" t="n"/>
      <c r="S4" s="24" t="n"/>
      <c r="T4" s="25" t="n"/>
      <c r="U4" s="25" t="n"/>
      <c r="V4" s="25" t="n"/>
      <c r="W4" s="25" t="n"/>
      <c r="X4" s="25" t="n"/>
      <c r="Y4" s="60" t="n"/>
      <c r="Z4" s="60" t="n"/>
      <c r="AA4" s="60" t="n"/>
    </row>
    <row r="5" ht="23.45" customFormat="1" customHeight="1" s="291">
      <c r="A5" s="292" t="inlineStr">
        <is>
          <t xml:space="preserve">Ваш контактный телефон и имя: </t>
        </is>
      </c>
      <c r="B5" s="320" t="n"/>
      <c r="C5" s="321" t="n"/>
      <c r="D5" s="314" t="n"/>
      <c r="E5" s="322" t="n"/>
      <c r="F5" s="315" t="inlineStr">
        <is>
          <t>Комментарий к заказу:</t>
        </is>
      </c>
      <c r="G5" s="321" t="n"/>
      <c r="H5" s="314" t="n"/>
      <c r="I5" s="323" t="n"/>
      <c r="J5" s="323" t="n"/>
      <c r="K5" s="322" t="n"/>
      <c r="M5" s="29" t="inlineStr">
        <is>
          <t>Дата загрузки</t>
        </is>
      </c>
      <c r="N5" s="324" t="n">
        <v>45151</v>
      </c>
      <c r="O5" s="325" t="n"/>
      <c r="Q5" s="317" t="inlineStr">
        <is>
          <t>Способ доставки (доставка/самовывоз)</t>
        </is>
      </c>
      <c r="R5" s="326" t="n"/>
      <c r="S5" s="327" t="inlineStr">
        <is>
          <t>Самовывоз</t>
        </is>
      </c>
      <c r="T5" s="325" t="n"/>
      <c r="Y5" s="60" t="n"/>
      <c r="Z5" s="60" t="n"/>
      <c r="AA5" s="60" t="n"/>
    </row>
    <row r="6" ht="24" customFormat="1" customHeight="1" s="291">
      <c r="A6" s="292" t="inlineStr">
        <is>
          <t>Адрес доставки:</t>
        </is>
      </c>
      <c r="B6" s="320" t="n"/>
      <c r="C6" s="321" t="n"/>
      <c r="D6" s="293" t="inlineStr">
        <is>
          <t>ЛП, ООО, Крым Респ, Симферополь г, Данилова ул, 43В, лит В, офис 4,</t>
        </is>
      </c>
      <c r="E6" s="328" t="n"/>
      <c r="F6" s="328" t="n"/>
      <c r="G6" s="328" t="n"/>
      <c r="H6" s="328" t="n"/>
      <c r="I6" s="328" t="n"/>
      <c r="J6" s="328" t="n"/>
      <c r="K6" s="325" t="n"/>
      <c r="M6" s="29" t="inlineStr">
        <is>
          <t>День недели</t>
        </is>
      </c>
      <c r="N6" s="294">
        <f>IF(N5=0," ",CHOOSE(WEEKDAY(N5,2),"Понедельник","Вторник","Среда","Четверг","Пятница","Суббота","Воскресенье"))</f>
        <v/>
      </c>
      <c r="O6" s="329" t="n"/>
      <c r="Q6" s="296" t="inlineStr">
        <is>
          <t>Наименование клиента</t>
        </is>
      </c>
      <c r="R6" s="326" t="n"/>
      <c r="S6" s="330" t="inlineStr">
        <is>
          <t>ОБЩЕСТВО С ОГРАНИЧЕННОЙ ОТВЕТСТВЕННОСТЬЮ "ЛОГИСТИЧЕСКИЙ ПАРТНЕР"</t>
        </is>
      </c>
      <c r="T6" s="331" t="n"/>
      <c r="Y6" s="60" t="n"/>
      <c r="Z6" s="60" t="n"/>
      <c r="AA6" s="60" t="n"/>
    </row>
    <row r="7" hidden="1" ht="21.75" customFormat="1" customHeight="1" s="291">
      <c r="A7" s="65" t="n"/>
      <c r="B7" s="65" t="n"/>
      <c r="C7" s="65" t="n"/>
      <c r="D7" s="332">
        <f>IFERROR(VLOOKUP(DeliveryAddress,Table,3,0),1)</f>
        <v/>
      </c>
      <c r="E7" s="333" t="n"/>
      <c r="F7" s="333" t="n"/>
      <c r="G7" s="333" t="n"/>
      <c r="H7" s="333" t="n"/>
      <c r="I7" s="333" t="n"/>
      <c r="J7" s="333" t="n"/>
      <c r="K7" s="334" t="n"/>
      <c r="M7" s="29" t="n"/>
      <c r="N7" s="49" t="n"/>
      <c r="O7" s="49" t="n"/>
      <c r="Q7" s="1" t="n"/>
      <c r="R7" s="326" t="n"/>
      <c r="S7" s="335" t="n"/>
      <c r="T7" s="336" t="n"/>
      <c r="Y7" s="60" t="n"/>
      <c r="Z7" s="60" t="n"/>
      <c r="AA7" s="60" t="n"/>
    </row>
    <row r="8" ht="25.5" customFormat="1" customHeight="1" s="291">
      <c r="A8" s="306" t="inlineStr">
        <is>
          <t>Адрес сдачи груза:</t>
        </is>
      </c>
      <c r="B8" s="337" t="n"/>
      <c r="C8" s="338" t="n"/>
      <c r="D8" s="307" t="n"/>
      <c r="E8" s="339" t="n"/>
      <c r="F8" s="339" t="n"/>
      <c r="G8" s="339" t="n"/>
      <c r="H8" s="339" t="n"/>
      <c r="I8" s="339" t="n"/>
      <c r="J8" s="339" t="n"/>
      <c r="K8" s="340" t="n"/>
      <c r="M8" s="29" t="inlineStr">
        <is>
          <t>Время загрузки</t>
        </is>
      </c>
      <c r="N8" s="287" t="n">
        <v>0.3333333333333333</v>
      </c>
      <c r="O8" s="325" t="n"/>
      <c r="Q8" s="1" t="n"/>
      <c r="R8" s="326" t="n"/>
      <c r="S8" s="335" t="n"/>
      <c r="T8" s="336" t="n"/>
      <c r="Y8" s="60" t="n"/>
      <c r="Z8" s="60" t="n"/>
      <c r="AA8" s="60" t="n"/>
    </row>
    <row r="9" ht="39.95" customFormat="1" customHeight="1" s="291">
      <c r="A9" s="283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284" t="inlineStr"/>
      <c r="E9" s="3" t="n"/>
      <c r="F9" s="283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308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308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M9" s="31" t="inlineStr">
        <is>
          <t>Дата доставки</t>
        </is>
      </c>
      <c r="N9" s="324" t="n"/>
      <c r="O9" s="325" t="n"/>
      <c r="Q9" s="1" t="n"/>
      <c r="R9" s="326" t="n"/>
      <c r="S9" s="341" t="n"/>
      <c r="T9" s="342" t="n"/>
      <c r="U9" s="50" t="n"/>
      <c r="V9" s="50" t="n"/>
      <c r="W9" s="50" t="n"/>
      <c r="X9" s="50" t="n"/>
      <c r="Y9" s="60" t="n"/>
      <c r="Z9" s="60" t="n"/>
      <c r="AA9" s="60" t="n"/>
    </row>
    <row r="10" ht="26.45" customFormat="1" customHeight="1" s="291">
      <c r="A10" s="283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284" t="n"/>
      <c r="E10" s="3" t="n"/>
      <c r="F10" s="283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286">
        <f>IFERROR(VLOOKUP($D$10,Proxy,2,FALSE),"")</f>
        <v/>
      </c>
      <c r="I10" s="1" t="n"/>
      <c r="J10" s="1" t="n"/>
      <c r="K10" s="1" t="n"/>
      <c r="M10" s="31" t="inlineStr">
        <is>
          <t>Время доставки</t>
        </is>
      </c>
      <c r="N10" s="287" t="n"/>
      <c r="O10" s="325" t="n"/>
      <c r="R10" s="29" t="inlineStr">
        <is>
          <t>КОД Аксапты Клиента</t>
        </is>
      </c>
      <c r="S10" s="343" t="inlineStr">
        <is>
          <t>590704</t>
        </is>
      </c>
      <c r="T10" s="331" t="n"/>
      <c r="U10" s="51" t="n"/>
      <c r="V10" s="51" t="n"/>
      <c r="W10" s="51" t="n"/>
      <c r="X10" s="51" t="n"/>
      <c r="Y10" s="60" t="n"/>
      <c r="Z10" s="60" t="n"/>
      <c r="AA10" s="60" t="n"/>
    </row>
    <row r="11" ht="15.95" customFormat="1" customHeight="1" s="291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M11" s="31" t="inlineStr">
        <is>
          <t>Время доставки 2 машины</t>
        </is>
      </c>
      <c r="N11" s="287" t="n"/>
      <c r="O11" s="325" t="n"/>
      <c r="R11" s="29" t="inlineStr">
        <is>
          <t>Тип заказа</t>
        </is>
      </c>
      <c r="S11" s="275" t="inlineStr">
        <is>
          <t>Основной заказ</t>
        </is>
      </c>
      <c r="T11" s="344" t="n"/>
      <c r="U11" s="52" t="n"/>
      <c r="V11" s="52" t="n"/>
      <c r="W11" s="52" t="n"/>
      <c r="X11" s="52" t="n"/>
      <c r="Y11" s="60" t="n"/>
      <c r="Z11" s="60" t="n"/>
      <c r="AA11" s="60" t="n"/>
    </row>
    <row r="12" ht="18.6" customFormat="1" customHeight="1" s="291">
      <c r="A12" s="274" t="inlineStr">
        <is>
          <t>Телефоны для заказов:8(919)022-63-02 E-mail: Zamorozka@abiproduct.ru, Телефон сотрудников склада: 8-980-75-76-203</t>
        </is>
      </c>
      <c r="B12" s="320" t="n"/>
      <c r="C12" s="320" t="n"/>
      <c r="D12" s="320" t="n"/>
      <c r="E12" s="320" t="n"/>
      <c r="F12" s="320" t="n"/>
      <c r="G12" s="320" t="n"/>
      <c r="H12" s="320" t="n"/>
      <c r="I12" s="320" t="n"/>
      <c r="J12" s="320" t="n"/>
      <c r="K12" s="321" t="n"/>
      <c r="M12" s="29" t="inlineStr">
        <is>
          <t>Время доставки 3 машины</t>
        </is>
      </c>
      <c r="N12" s="290" t="n"/>
      <c r="O12" s="334" t="n"/>
      <c r="P12" s="28" t="n"/>
      <c r="R12" s="29" t="inlineStr"/>
      <c r="S12" s="291" t="n"/>
      <c r="T12" s="1" t="n"/>
      <c r="Y12" s="60" t="n"/>
      <c r="Z12" s="60" t="n"/>
      <c r="AA12" s="60" t="n"/>
    </row>
    <row r="13" ht="23.25" customFormat="1" customHeight="1" s="291">
      <c r="A13" s="274" t="inlineStr">
        <is>
          <t>График приема заказов: Заказы принимаются за ДВА дня до отгрузки Пн-Пт: с 9:00 до 14:00, Суб: с 9:00 до 12:00. Вс. выходной</t>
        </is>
      </c>
      <c r="B13" s="320" t="n"/>
      <c r="C13" s="320" t="n"/>
      <c r="D13" s="320" t="n"/>
      <c r="E13" s="320" t="n"/>
      <c r="F13" s="320" t="n"/>
      <c r="G13" s="320" t="n"/>
      <c r="H13" s="320" t="n"/>
      <c r="I13" s="320" t="n"/>
      <c r="J13" s="320" t="n"/>
      <c r="K13" s="321" t="n"/>
      <c r="L13" s="31" t="n"/>
      <c r="M13" s="31" t="inlineStr">
        <is>
          <t>Время доставки 4 машины</t>
        </is>
      </c>
      <c r="N13" s="275" t="n"/>
      <c r="O13" s="344" t="n"/>
      <c r="P13" s="28" t="n"/>
      <c r="U13" s="57" t="n"/>
      <c r="V13" s="57" t="n"/>
      <c r="W13" s="57" t="n"/>
      <c r="X13" s="57" t="n"/>
      <c r="Y13" s="60" t="n"/>
      <c r="Z13" s="60" t="n"/>
      <c r="AA13" s="60" t="n"/>
    </row>
    <row r="14" ht="18.6" customFormat="1" customHeight="1" s="291">
      <c r="A14" s="274" t="inlineStr">
        <is>
          <t>Телефон менеджера по логистике: 8 (919) 012-30-55 - по вопросам доставки продукции</t>
        </is>
      </c>
      <c r="B14" s="320" t="n"/>
      <c r="C14" s="320" t="n"/>
      <c r="D14" s="320" t="n"/>
      <c r="E14" s="320" t="n"/>
      <c r="F14" s="320" t="n"/>
      <c r="G14" s="320" t="n"/>
      <c r="H14" s="320" t="n"/>
      <c r="I14" s="320" t="n"/>
      <c r="J14" s="320" t="n"/>
      <c r="K14" s="321" t="n"/>
      <c r="U14" s="58" t="n"/>
      <c r="V14" s="58" t="n"/>
      <c r="W14" s="58" t="n"/>
      <c r="X14" s="58" t="n"/>
      <c r="Y14" s="60" t="n"/>
      <c r="Z14" s="60" t="n"/>
      <c r="AA14" s="60" t="n"/>
    </row>
    <row r="15" ht="22.5" customFormat="1" customHeight="1" s="291">
      <c r="A15" s="276" t="inlineStr">
        <is>
          <t>Телефон по работе с претензиями/жалобами (WhatSapp): 8 (980) 757-69-93       E-mail: Claims@abiproduct.ru</t>
        </is>
      </c>
      <c r="B15" s="320" t="n"/>
      <c r="C15" s="320" t="n"/>
      <c r="D15" s="320" t="n"/>
      <c r="E15" s="320" t="n"/>
      <c r="F15" s="320" t="n"/>
      <c r="G15" s="320" t="n"/>
      <c r="H15" s="320" t="n"/>
      <c r="I15" s="320" t="n"/>
      <c r="J15" s="320" t="n"/>
      <c r="K15" s="321" t="n"/>
      <c r="M15" s="278" t="inlineStr">
        <is>
          <t>Кликните на продукт, чтобы просмотреть изображение</t>
        </is>
      </c>
      <c r="U15" s="291" t="n"/>
      <c r="V15" s="291" t="n"/>
      <c r="W15" s="291" t="n"/>
      <c r="X15" s="291" t="n"/>
      <c r="Y15" s="60" t="n"/>
      <c r="Z15" s="60" t="n"/>
      <c r="AA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345" t="n"/>
      <c r="N16" s="345" t="n"/>
      <c r="O16" s="345" t="n"/>
      <c r="P16" s="345" t="n"/>
      <c r="Q16" s="345" t="n"/>
      <c r="R16" s="8" t="n"/>
      <c r="S16" s="8" t="n"/>
      <c r="T16" s="10" t="n"/>
      <c r="U16" s="11" t="n"/>
      <c r="V16" s="11" t="n"/>
      <c r="W16" s="11" t="n"/>
      <c r="X16" s="11" t="n"/>
      <c r="Y16" s="11" t="n"/>
    </row>
    <row r="17" ht="27.75" customHeight="1">
      <c r="A17" s="263" t="inlineStr">
        <is>
          <t>Код единицы продаж</t>
        </is>
      </c>
      <c r="B17" s="263" t="inlineStr">
        <is>
          <t>Код продукта</t>
        </is>
      </c>
      <c r="C17" s="280" t="inlineStr">
        <is>
          <t>Номер варианта</t>
        </is>
      </c>
      <c r="D17" s="263" t="inlineStr">
        <is>
          <t xml:space="preserve">Штрих-код </t>
        </is>
      </c>
      <c r="E17" s="346" t="n"/>
      <c r="F17" s="263" t="inlineStr">
        <is>
          <t>Вес нетто штуки, кг</t>
        </is>
      </c>
      <c r="G17" s="263" t="inlineStr">
        <is>
          <t>Кол-во штук в коробе, шт</t>
        </is>
      </c>
      <c r="H17" s="263" t="inlineStr">
        <is>
          <t>Вес нетто короба, кг</t>
        </is>
      </c>
      <c r="I17" s="263" t="inlineStr">
        <is>
          <t>Вес брутто короба, кг</t>
        </is>
      </c>
      <c r="J17" s="263" t="inlineStr">
        <is>
          <t>Кол-во кор. на паллте, шт</t>
        </is>
      </c>
      <c r="K17" s="263" t="inlineStr">
        <is>
          <t>Завод</t>
        </is>
      </c>
      <c r="L17" s="263" t="inlineStr">
        <is>
          <t>Срок годности, сут.</t>
        </is>
      </c>
      <c r="M17" s="263" t="inlineStr">
        <is>
          <t>Наименование</t>
        </is>
      </c>
      <c r="N17" s="347" t="n"/>
      <c r="O17" s="347" t="n"/>
      <c r="P17" s="347" t="n"/>
      <c r="Q17" s="346" t="n"/>
      <c r="R17" s="279" t="inlineStr">
        <is>
          <t>Доступно к отгрузке</t>
        </is>
      </c>
      <c r="S17" s="321" t="n"/>
      <c r="T17" s="263" t="inlineStr">
        <is>
          <t>Ед. изм.</t>
        </is>
      </c>
      <c r="U17" s="263" t="inlineStr">
        <is>
          <t>Заказ</t>
        </is>
      </c>
      <c r="V17" s="264" t="inlineStr">
        <is>
          <t>Заказ с округлением до короба</t>
        </is>
      </c>
      <c r="W17" s="263" t="inlineStr">
        <is>
          <t>Объём заказа, м3</t>
        </is>
      </c>
      <c r="X17" s="266" t="inlineStr">
        <is>
          <t>Примечание по продуктку</t>
        </is>
      </c>
      <c r="Y17" s="266" t="inlineStr">
        <is>
          <t>Признак "НОВИНКА"</t>
        </is>
      </c>
      <c r="Z17" s="266" t="inlineStr">
        <is>
          <t>Для формул</t>
        </is>
      </c>
      <c r="AA17" s="348" t="n"/>
      <c r="AB17" s="349" t="n"/>
      <c r="AC17" s="273" t="inlineStr">
        <is>
          <t>Вид продукции</t>
        </is>
      </c>
    </row>
    <row r="18" ht="14.25" customHeight="1">
      <c r="A18" s="350" t="n"/>
      <c r="B18" s="350" t="n"/>
      <c r="C18" s="350" t="n"/>
      <c r="D18" s="351" t="n"/>
      <c r="E18" s="352" t="n"/>
      <c r="F18" s="350" t="n"/>
      <c r="G18" s="350" t="n"/>
      <c r="H18" s="350" t="n"/>
      <c r="I18" s="350" t="n"/>
      <c r="J18" s="350" t="n"/>
      <c r="K18" s="350" t="n"/>
      <c r="L18" s="350" t="n"/>
      <c r="M18" s="351" t="n"/>
      <c r="N18" s="353" t="n"/>
      <c r="O18" s="353" t="n"/>
      <c r="P18" s="353" t="n"/>
      <c r="Q18" s="352" t="n"/>
      <c r="R18" s="279" t="inlineStr">
        <is>
          <t>начиная с</t>
        </is>
      </c>
      <c r="S18" s="279" t="inlineStr">
        <is>
          <t>до</t>
        </is>
      </c>
      <c r="T18" s="350" t="n"/>
      <c r="U18" s="350" t="n"/>
      <c r="V18" s="354" t="n"/>
      <c r="W18" s="350" t="n"/>
      <c r="X18" s="355" t="n"/>
      <c r="Y18" s="355" t="n"/>
      <c r="Z18" s="356" t="n"/>
      <c r="AA18" s="357" t="n"/>
      <c r="AB18" s="358" t="n"/>
      <c r="AC18" s="359" t="n"/>
    </row>
    <row r="19" ht="27.75" customHeight="1">
      <c r="A19" s="180" t="inlineStr">
        <is>
          <t>Ядрена копоть</t>
        </is>
      </c>
      <c r="B19" s="360" t="n"/>
      <c r="C19" s="360" t="n"/>
      <c r="D19" s="360" t="n"/>
      <c r="E19" s="360" t="n"/>
      <c r="F19" s="360" t="n"/>
      <c r="G19" s="360" t="n"/>
      <c r="H19" s="360" t="n"/>
      <c r="I19" s="360" t="n"/>
      <c r="J19" s="360" t="n"/>
      <c r="K19" s="360" t="n"/>
      <c r="L19" s="360" t="n"/>
      <c r="M19" s="360" t="n"/>
      <c r="N19" s="360" t="n"/>
      <c r="O19" s="360" t="n"/>
      <c r="P19" s="360" t="n"/>
      <c r="Q19" s="360" t="n"/>
      <c r="R19" s="360" t="n"/>
      <c r="S19" s="360" t="n"/>
      <c r="T19" s="360" t="n"/>
      <c r="U19" s="360" t="n"/>
      <c r="V19" s="360" t="n"/>
      <c r="W19" s="360" t="n"/>
      <c r="X19" s="55" t="n"/>
      <c r="Y19" s="55" t="n"/>
    </row>
    <row r="20" ht="16.5" customHeight="1">
      <c r="A20" s="176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76" t="n"/>
      <c r="Y20" s="176" t="n"/>
    </row>
    <row r="21" ht="14.25" customHeight="1">
      <c r="A21" s="177" t="inlineStr">
        <is>
          <t>Пельмени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77" t="n"/>
      <c r="Y21" s="177" t="n"/>
    </row>
    <row r="22" ht="27" customHeight="1">
      <c r="A22" s="64" t="inlineStr">
        <is>
          <t>SU002224</t>
        </is>
      </c>
      <c r="B22" s="64" t="inlineStr">
        <is>
          <t>P002410</t>
        </is>
      </c>
      <c r="C22" s="37" t="n">
        <v>4301070826</v>
      </c>
      <c r="D22" s="172" t="n">
        <v>4607111035752</v>
      </c>
      <c r="E22" s="329" t="n"/>
      <c r="F22" s="361" t="n">
        <v>0.43</v>
      </c>
      <c r="G22" s="38" t="n">
        <v>16</v>
      </c>
      <c r="H22" s="361" t="n">
        <v>6.88</v>
      </c>
      <c r="I22" s="361" t="n">
        <v>7.254</v>
      </c>
      <c r="J22" s="38" t="n">
        <v>84</v>
      </c>
      <c r="K22" s="39" t="inlineStr">
        <is>
          <t>МГ</t>
        </is>
      </c>
      <c r="L22" s="38" t="n">
        <v>90</v>
      </c>
      <c r="M22" s="362">
        <f>HYPERLINK("https://abi.ru/products/Замороженные/Ядрена копоть/Ядрена копоть/Пельмени/P002410/","Пельмени С мясом и копченостями Ядрена копоть 0,43 сфера Ядрена копоть НД")</f>
        <v/>
      </c>
      <c r="N22" s="363" t="n"/>
      <c r="O22" s="363" t="n"/>
      <c r="P22" s="363" t="n"/>
      <c r="Q22" s="329" t="n"/>
      <c r="R22" s="40" t="inlineStr"/>
      <c r="S22" s="40" t="inlineStr"/>
      <c r="T22" s="41" t="inlineStr">
        <is>
          <t>кор</t>
        </is>
      </c>
      <c r="U22" s="364" t="n">
        <v>0</v>
      </c>
      <c r="V22" s="365">
        <f>IFERROR(IF(U22="","",U22),"")</f>
        <v/>
      </c>
      <c r="W22" s="42">
        <f>IFERROR(IF(U22="","",U22*0.0155),"")</f>
        <v/>
      </c>
      <c r="X22" s="69" t="inlineStr"/>
      <c r="Y22" s="70" t="inlineStr"/>
      <c r="AC22" s="75" t="inlineStr">
        <is>
          <t>ЗПФ</t>
        </is>
      </c>
    </row>
    <row r="23">
      <c r="A23" s="167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366" t="n"/>
      <c r="M23" s="367" t="inlineStr">
        <is>
          <t>Итого</t>
        </is>
      </c>
      <c r="N23" s="337" t="n"/>
      <c r="O23" s="337" t="n"/>
      <c r="P23" s="337" t="n"/>
      <c r="Q23" s="337" t="n"/>
      <c r="R23" s="337" t="n"/>
      <c r="S23" s="338" t="n"/>
      <c r="T23" s="43" t="inlineStr">
        <is>
          <t>кор</t>
        </is>
      </c>
      <c r="U23" s="368">
        <f>IFERROR(SUM(U22:U22),"0")</f>
        <v/>
      </c>
      <c r="V23" s="368">
        <f>IFERROR(SUM(V22:V22),"0")</f>
        <v/>
      </c>
      <c r="W23" s="368">
        <f>IFERROR(IF(W22="",0,W22),"0")</f>
        <v/>
      </c>
      <c r="X23" s="369" t="n"/>
      <c r="Y23" s="369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366" t="n"/>
      <c r="M24" s="367" t="inlineStr">
        <is>
          <t>Итого</t>
        </is>
      </c>
      <c r="N24" s="337" t="n"/>
      <c r="O24" s="337" t="n"/>
      <c r="P24" s="337" t="n"/>
      <c r="Q24" s="337" t="n"/>
      <c r="R24" s="337" t="n"/>
      <c r="S24" s="338" t="n"/>
      <c r="T24" s="43" t="inlineStr">
        <is>
          <t>кг</t>
        </is>
      </c>
      <c r="U24" s="368">
        <f>IFERROR(SUMPRODUCT(U22:U22*H22:H22),"0")</f>
        <v/>
      </c>
      <c r="V24" s="368">
        <f>IFERROR(SUMPRODUCT(V22:V22*H22:H22),"0")</f>
        <v/>
      </c>
      <c r="W24" s="43" t="n"/>
      <c r="X24" s="369" t="n"/>
      <c r="Y24" s="369" t="n"/>
    </row>
    <row r="25" ht="27.75" customHeight="1">
      <c r="A25" s="180" t="inlineStr">
        <is>
          <t>Горячая штучка</t>
        </is>
      </c>
      <c r="B25" s="360" t="n"/>
      <c r="C25" s="360" t="n"/>
      <c r="D25" s="360" t="n"/>
      <c r="E25" s="360" t="n"/>
      <c r="F25" s="360" t="n"/>
      <c r="G25" s="360" t="n"/>
      <c r="H25" s="360" t="n"/>
      <c r="I25" s="360" t="n"/>
      <c r="J25" s="360" t="n"/>
      <c r="K25" s="360" t="n"/>
      <c r="L25" s="360" t="n"/>
      <c r="M25" s="360" t="n"/>
      <c r="N25" s="360" t="n"/>
      <c r="O25" s="360" t="n"/>
      <c r="P25" s="360" t="n"/>
      <c r="Q25" s="360" t="n"/>
      <c r="R25" s="360" t="n"/>
      <c r="S25" s="360" t="n"/>
      <c r="T25" s="360" t="n"/>
      <c r="U25" s="360" t="n"/>
      <c r="V25" s="360" t="n"/>
      <c r="W25" s="360" t="n"/>
      <c r="X25" s="55" t="n"/>
      <c r="Y25" s="55" t="n"/>
    </row>
    <row r="26" ht="16.5" customHeight="1">
      <c r="A26" s="176" t="inlineStr">
        <is>
          <t>Наггетсы ГШ</t>
        </is>
      </c>
      <c r="B26" s="1" t="n"/>
      <c r="C26" s="1" t="n"/>
      <c r="D26" s="1" t="n"/>
      <c r="E26" s="1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76" t="n"/>
      <c r="Y26" s="176" t="n"/>
    </row>
    <row r="27" ht="14.25" customHeight="1">
      <c r="A27" s="177" t="inlineStr">
        <is>
          <t>Наггетсы</t>
        </is>
      </c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77" t="n"/>
      <c r="Y27" s="177" t="n"/>
    </row>
    <row r="28" ht="27" customHeight="1">
      <c r="A28" s="64" t="inlineStr">
        <is>
          <t>SU002761</t>
        </is>
      </c>
      <c r="B28" s="64" t="inlineStr">
        <is>
          <t>P003144</t>
        </is>
      </c>
      <c r="C28" s="37" t="n">
        <v>4301132066</v>
      </c>
      <c r="D28" s="172" t="n">
        <v>4607111036520</v>
      </c>
      <c r="E28" s="329" t="n"/>
      <c r="F28" s="361" t="n">
        <v>0.25</v>
      </c>
      <c r="G28" s="38" t="n">
        <v>6</v>
      </c>
      <c r="H28" s="361" t="n">
        <v>1.5</v>
      </c>
      <c r="I28" s="361" t="n">
        <v>1.9218</v>
      </c>
      <c r="J28" s="38" t="n">
        <v>126</v>
      </c>
      <c r="K28" s="39" t="inlineStr">
        <is>
          <t>МГ</t>
        </is>
      </c>
      <c r="L28" s="38" t="n">
        <v>180</v>
      </c>
      <c r="M28" s="370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/>
      </c>
      <c r="N28" s="363" t="n"/>
      <c r="O28" s="363" t="n"/>
      <c r="P28" s="363" t="n"/>
      <c r="Q28" s="329" t="n"/>
      <c r="R28" s="40" t="inlineStr"/>
      <c r="S28" s="40" t="inlineStr"/>
      <c r="T28" s="41" t="inlineStr">
        <is>
          <t>кор</t>
        </is>
      </c>
      <c r="U28" s="364" t="n">
        <v>0</v>
      </c>
      <c r="V28" s="365">
        <f>IFERROR(IF(U28="","",U28),"")</f>
        <v/>
      </c>
      <c r="W28" s="42">
        <f>IFERROR(IF(U28="","",U28*0.00936),"")</f>
        <v/>
      </c>
      <c r="X28" s="69" t="inlineStr"/>
      <c r="Y28" s="70" t="inlineStr"/>
      <c r="AC28" s="76" t="inlineStr">
        <is>
          <t>ПГП</t>
        </is>
      </c>
    </row>
    <row r="29" ht="27" customHeight="1">
      <c r="A29" s="64" t="inlineStr">
        <is>
          <t>SU002762</t>
        </is>
      </c>
      <c r="B29" s="64" t="inlineStr">
        <is>
          <t>P003141</t>
        </is>
      </c>
      <c r="C29" s="37" t="n">
        <v>4301132063</v>
      </c>
      <c r="D29" s="172" t="n">
        <v>4607111036605</v>
      </c>
      <c r="E29" s="329" t="n"/>
      <c r="F29" s="361" t="n">
        <v>0.25</v>
      </c>
      <c r="G29" s="38" t="n">
        <v>6</v>
      </c>
      <c r="H29" s="361" t="n">
        <v>1.5</v>
      </c>
      <c r="I29" s="361" t="n">
        <v>1.9218</v>
      </c>
      <c r="J29" s="38" t="n">
        <v>126</v>
      </c>
      <c r="K29" s="39" t="inlineStr">
        <is>
          <t>МГ</t>
        </is>
      </c>
      <c r="L29" s="38" t="n">
        <v>180</v>
      </c>
      <c r="M29" s="371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/>
      </c>
      <c r="N29" s="363" t="n"/>
      <c r="O29" s="363" t="n"/>
      <c r="P29" s="363" t="n"/>
      <c r="Q29" s="329" t="n"/>
      <c r="R29" s="40" t="inlineStr"/>
      <c r="S29" s="40" t="inlineStr"/>
      <c r="T29" s="41" t="inlineStr">
        <is>
          <t>кор</t>
        </is>
      </c>
      <c r="U29" s="364" t="n">
        <v>0</v>
      </c>
      <c r="V29" s="365">
        <f>IFERROR(IF(U29="","",U29),"")</f>
        <v/>
      </c>
      <c r="W29" s="42">
        <f>IFERROR(IF(U29="","",U29*0.00936),"")</f>
        <v/>
      </c>
      <c r="X29" s="69" t="inlineStr"/>
      <c r="Y29" s="70" t="inlineStr"/>
      <c r="AC29" s="77" t="inlineStr">
        <is>
          <t>ПГП</t>
        </is>
      </c>
    </row>
    <row r="30" ht="27" customHeight="1">
      <c r="A30" s="64" t="inlineStr">
        <is>
          <t>SU002763</t>
        </is>
      </c>
      <c r="B30" s="64" t="inlineStr">
        <is>
          <t>P003143</t>
        </is>
      </c>
      <c r="C30" s="37" t="n">
        <v>4301132064</v>
      </c>
      <c r="D30" s="172" t="n">
        <v>4607111036537</v>
      </c>
      <c r="E30" s="329" t="n"/>
      <c r="F30" s="361" t="n">
        <v>0.25</v>
      </c>
      <c r="G30" s="38" t="n">
        <v>6</v>
      </c>
      <c r="H30" s="361" t="n">
        <v>1.5</v>
      </c>
      <c r="I30" s="361" t="n">
        <v>1.9218</v>
      </c>
      <c r="J30" s="38" t="n">
        <v>126</v>
      </c>
      <c r="K30" s="39" t="inlineStr">
        <is>
          <t>МГ</t>
        </is>
      </c>
      <c r="L30" s="38" t="n">
        <v>180</v>
      </c>
      <c r="M30" s="372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/>
      </c>
      <c r="N30" s="363" t="n"/>
      <c r="O30" s="363" t="n"/>
      <c r="P30" s="363" t="n"/>
      <c r="Q30" s="329" t="n"/>
      <c r="R30" s="40" t="inlineStr"/>
      <c r="S30" s="40" t="inlineStr"/>
      <c r="T30" s="41" t="inlineStr">
        <is>
          <t>кор</t>
        </is>
      </c>
      <c r="U30" s="364" t="n">
        <v>0</v>
      </c>
      <c r="V30" s="365">
        <f>IFERROR(IF(U30="","",U30),"")</f>
        <v/>
      </c>
      <c r="W30" s="42">
        <f>IFERROR(IF(U30="","",U30*0.00936),"")</f>
        <v/>
      </c>
      <c r="X30" s="69" t="inlineStr"/>
      <c r="Y30" s="70" t="inlineStr"/>
      <c r="AC30" s="78" t="inlineStr">
        <is>
          <t>ПГП</t>
        </is>
      </c>
    </row>
    <row r="31" ht="27" customHeight="1">
      <c r="A31" s="64" t="inlineStr">
        <is>
          <t>SU002760</t>
        </is>
      </c>
      <c r="B31" s="64" t="inlineStr">
        <is>
          <t>P003142</t>
        </is>
      </c>
      <c r="C31" s="37" t="n">
        <v>4301132065</v>
      </c>
      <c r="D31" s="172" t="n">
        <v>4607111036599</v>
      </c>
      <c r="E31" s="329" t="n"/>
      <c r="F31" s="361" t="n">
        <v>0.25</v>
      </c>
      <c r="G31" s="38" t="n">
        <v>6</v>
      </c>
      <c r="H31" s="361" t="n">
        <v>1.5</v>
      </c>
      <c r="I31" s="361" t="n">
        <v>1.9218</v>
      </c>
      <c r="J31" s="38" t="n">
        <v>126</v>
      </c>
      <c r="K31" s="39" t="inlineStr">
        <is>
          <t>МГ</t>
        </is>
      </c>
      <c r="L31" s="38" t="n">
        <v>180</v>
      </c>
      <c r="M31" s="373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/>
      </c>
      <c r="N31" s="363" t="n"/>
      <c r="O31" s="363" t="n"/>
      <c r="P31" s="363" t="n"/>
      <c r="Q31" s="329" t="n"/>
      <c r="R31" s="40" t="inlineStr"/>
      <c r="S31" s="40" t="inlineStr"/>
      <c r="T31" s="41" t="inlineStr">
        <is>
          <t>кор</t>
        </is>
      </c>
      <c r="U31" s="364" t="n">
        <v>0</v>
      </c>
      <c r="V31" s="365">
        <f>IFERROR(IF(U31="","",U31),"")</f>
        <v/>
      </c>
      <c r="W31" s="42">
        <f>IFERROR(IF(U31="","",U31*0.00936),"")</f>
        <v/>
      </c>
      <c r="X31" s="69" t="inlineStr"/>
      <c r="Y31" s="70" t="inlineStr"/>
      <c r="AC31" s="79" t="inlineStr">
        <is>
          <t>ПГП</t>
        </is>
      </c>
    </row>
    <row r="32">
      <c r="A32" s="167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366" t="n"/>
      <c r="M32" s="367" t="inlineStr">
        <is>
          <t>Итого</t>
        </is>
      </c>
      <c r="N32" s="337" t="n"/>
      <c r="O32" s="337" t="n"/>
      <c r="P32" s="337" t="n"/>
      <c r="Q32" s="337" t="n"/>
      <c r="R32" s="337" t="n"/>
      <c r="S32" s="338" t="n"/>
      <c r="T32" s="43" t="inlineStr">
        <is>
          <t>кор</t>
        </is>
      </c>
      <c r="U32" s="368">
        <f>IFERROR(SUM(U28:U31),"0")</f>
        <v/>
      </c>
      <c r="V32" s="368">
        <f>IFERROR(SUM(V28:V31),"0")</f>
        <v/>
      </c>
      <c r="W32" s="368">
        <f>IFERROR(IF(W28="",0,W28),"0")+IFERROR(IF(W29="",0,W29),"0")+IFERROR(IF(W30="",0,W30),"0")+IFERROR(IF(W31="",0,W31),"0")</f>
        <v/>
      </c>
      <c r="X32" s="369" t="n"/>
      <c r="Y32" s="369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366" t="n"/>
      <c r="M33" s="367" t="inlineStr">
        <is>
          <t>Итого</t>
        </is>
      </c>
      <c r="N33" s="337" t="n"/>
      <c r="O33" s="337" t="n"/>
      <c r="P33" s="337" t="n"/>
      <c r="Q33" s="337" t="n"/>
      <c r="R33" s="337" t="n"/>
      <c r="S33" s="338" t="n"/>
      <c r="T33" s="43" t="inlineStr">
        <is>
          <t>кг</t>
        </is>
      </c>
      <c r="U33" s="368">
        <f>IFERROR(SUMPRODUCT(U28:U31*H28:H31),"0")</f>
        <v/>
      </c>
      <c r="V33" s="368">
        <f>IFERROR(SUMPRODUCT(V28:V31*H28:H31),"0")</f>
        <v/>
      </c>
      <c r="W33" s="43" t="n"/>
      <c r="X33" s="369" t="n"/>
      <c r="Y33" s="369" t="n"/>
    </row>
    <row r="34" ht="16.5" customHeight="1">
      <c r="A34" s="176" t="inlineStr">
        <is>
          <t>Grandmeni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76" t="n"/>
      <c r="Y34" s="176" t="n"/>
    </row>
    <row r="35" ht="14.25" customHeight="1">
      <c r="A35" s="177" t="inlineStr">
        <is>
          <t>Пельмени</t>
        </is>
      </c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77" t="n"/>
      <c r="Y35" s="177" t="n"/>
    </row>
    <row r="36" ht="27" customHeight="1">
      <c r="A36" s="64" t="inlineStr">
        <is>
          <t>SU002346</t>
        </is>
      </c>
      <c r="B36" s="64" t="inlineStr">
        <is>
          <t>P002646</t>
        </is>
      </c>
      <c r="C36" s="37" t="n">
        <v>4301070865</v>
      </c>
      <c r="D36" s="172" t="n">
        <v>4607111036285</v>
      </c>
      <c r="E36" s="329" t="n"/>
      <c r="F36" s="361" t="n">
        <v>0.75</v>
      </c>
      <c r="G36" s="38" t="n">
        <v>8</v>
      </c>
      <c r="H36" s="361" t="n">
        <v>6</v>
      </c>
      <c r="I36" s="361" t="n">
        <v>6.27</v>
      </c>
      <c r="J36" s="38" t="n">
        <v>84</v>
      </c>
      <c r="K36" s="39" t="inlineStr">
        <is>
          <t>МГ</t>
        </is>
      </c>
      <c r="L36" s="38" t="n">
        <v>180</v>
      </c>
      <c r="M36" s="374">
        <f>HYPERLINK("https://abi.ru/products/Замороженные/Горячая штучка/Grandmeni/Пельмени/P002646/","Пельмени Grandmeni с говядиной Grandmeni 0,75 Сфера Горячая штучка")</f>
        <v/>
      </c>
      <c r="N36" s="363" t="n"/>
      <c r="O36" s="363" t="n"/>
      <c r="P36" s="363" t="n"/>
      <c r="Q36" s="329" t="n"/>
      <c r="R36" s="40" t="inlineStr"/>
      <c r="S36" s="40" t="inlineStr"/>
      <c r="T36" s="41" t="inlineStr">
        <is>
          <t>кор</t>
        </is>
      </c>
      <c r="U36" s="364" t="n">
        <v>0</v>
      </c>
      <c r="V36" s="365">
        <f>IFERROR(IF(U36="","",U36),"")</f>
        <v/>
      </c>
      <c r="W36" s="42">
        <f>IFERROR(IF(U36="","",U36*0.0155),"")</f>
        <v/>
      </c>
      <c r="X36" s="69" t="inlineStr"/>
      <c r="Y36" s="70" t="inlineStr"/>
      <c r="AC36" s="80" t="inlineStr">
        <is>
          <t>ЗПФ</t>
        </is>
      </c>
    </row>
    <row r="37" ht="27" customHeight="1">
      <c r="A37" s="64" t="inlineStr">
        <is>
          <t>SU002321</t>
        </is>
      </c>
      <c r="B37" s="64" t="inlineStr">
        <is>
          <t>P002599</t>
        </is>
      </c>
      <c r="C37" s="37" t="n">
        <v>4301070861</v>
      </c>
      <c r="D37" s="172" t="n">
        <v>4607111036308</v>
      </c>
      <c r="E37" s="329" t="n"/>
      <c r="F37" s="361" t="n">
        <v>0.75</v>
      </c>
      <c r="G37" s="38" t="n">
        <v>8</v>
      </c>
      <c r="H37" s="361" t="n">
        <v>6</v>
      </c>
      <c r="I37" s="361" t="n">
        <v>6.27</v>
      </c>
      <c r="J37" s="38" t="n">
        <v>84</v>
      </c>
      <c r="K37" s="39" t="inlineStr">
        <is>
          <t>МГ</t>
        </is>
      </c>
      <c r="L37" s="38" t="n">
        <v>180</v>
      </c>
      <c r="M37" s="375" t="inlineStr">
        <is>
          <t>Пельмени Grandmeni с говядиной в сливочном соусе Grandmeni 0,75 Сфера Горячая штучка</t>
        </is>
      </c>
      <c r="N37" s="363" t="n"/>
      <c r="O37" s="363" t="n"/>
      <c r="P37" s="363" t="n"/>
      <c r="Q37" s="329" t="n"/>
      <c r="R37" s="40" t="inlineStr"/>
      <c r="S37" s="40" t="inlineStr"/>
      <c r="T37" s="41" t="inlineStr">
        <is>
          <t>кор</t>
        </is>
      </c>
      <c r="U37" s="364" t="n">
        <v>0</v>
      </c>
      <c r="V37" s="365">
        <f>IFERROR(IF(U37="","",U37),"")</f>
        <v/>
      </c>
      <c r="W37" s="42">
        <f>IFERROR(IF(U37="","",U37*0.0155),"")</f>
        <v/>
      </c>
      <c r="X37" s="69" t="inlineStr"/>
      <c r="Y37" s="70" t="inlineStr"/>
      <c r="AC37" s="81" t="inlineStr">
        <is>
          <t>ЗПФ</t>
        </is>
      </c>
    </row>
    <row r="38" ht="27" customHeight="1">
      <c r="A38" s="64" t="inlineStr">
        <is>
          <t>SU002320</t>
        </is>
      </c>
      <c r="B38" s="64" t="inlineStr">
        <is>
          <t>P002782</t>
        </is>
      </c>
      <c r="C38" s="37" t="n">
        <v>4301070884</v>
      </c>
      <c r="D38" s="172" t="n">
        <v>4607111036315</v>
      </c>
      <c r="E38" s="329" t="n"/>
      <c r="F38" s="361" t="n">
        <v>0.75</v>
      </c>
      <c r="G38" s="38" t="n">
        <v>8</v>
      </c>
      <c r="H38" s="361" t="n">
        <v>6</v>
      </c>
      <c r="I38" s="361" t="n">
        <v>6.27</v>
      </c>
      <c r="J38" s="38" t="n">
        <v>84</v>
      </c>
      <c r="K38" s="39" t="inlineStr">
        <is>
          <t>МГ</t>
        </is>
      </c>
      <c r="L38" s="38" t="n">
        <v>180</v>
      </c>
      <c r="M38" s="376">
        <f>HYPERLINK("https://abi.ru/products/Замороженные/Горячая штучка/Grandmeni/Пельмени/P002782/","Пельмени Grandmeni с говядиной и свининой Grandmeni 0,75 Сфера Горячая штучка")</f>
        <v/>
      </c>
      <c r="N38" s="363" t="n"/>
      <c r="O38" s="363" t="n"/>
      <c r="P38" s="363" t="n"/>
      <c r="Q38" s="329" t="n"/>
      <c r="R38" s="40" t="inlineStr"/>
      <c r="S38" s="40" t="inlineStr"/>
      <c r="T38" s="41" t="inlineStr">
        <is>
          <t>кор</t>
        </is>
      </c>
      <c r="U38" s="364" t="n">
        <v>0</v>
      </c>
      <c r="V38" s="365">
        <f>IFERROR(IF(U38="","",U38),"")</f>
        <v/>
      </c>
      <c r="W38" s="42">
        <f>IFERROR(IF(U38="","",U38*0.0155),"")</f>
        <v/>
      </c>
      <c r="X38" s="69" t="inlineStr"/>
      <c r="Y38" s="70" t="inlineStr"/>
      <c r="AC38" s="82" t="inlineStr">
        <is>
          <t>ЗПФ</t>
        </is>
      </c>
    </row>
    <row r="39" ht="27" customHeight="1">
      <c r="A39" s="64" t="inlineStr">
        <is>
          <t>SU002345</t>
        </is>
      </c>
      <c r="B39" s="64" t="inlineStr">
        <is>
          <t>P002645</t>
        </is>
      </c>
      <c r="C39" s="37" t="n">
        <v>4301070864</v>
      </c>
      <c r="D39" s="172" t="n">
        <v>4607111036292</v>
      </c>
      <c r="E39" s="329" t="n"/>
      <c r="F39" s="361" t="n">
        <v>0.75</v>
      </c>
      <c r="G39" s="38" t="n">
        <v>8</v>
      </c>
      <c r="H39" s="361" t="n">
        <v>6</v>
      </c>
      <c r="I39" s="361" t="n">
        <v>6.27</v>
      </c>
      <c r="J39" s="38" t="n">
        <v>84</v>
      </c>
      <c r="K39" s="39" t="inlineStr">
        <is>
          <t>МГ</t>
        </is>
      </c>
      <c r="L39" s="38" t="n">
        <v>180</v>
      </c>
      <c r="M39" s="377">
        <f>HYPERLINK("https://abi.ru/products/Замороженные/Горячая штучка/Grandmeni/Пельмени/P002645/","Пельмени Grandmeni со сливочным маслом Grandmeni 0,75 Сфера Горячая штучка")</f>
        <v/>
      </c>
      <c r="N39" s="363" t="n"/>
      <c r="O39" s="363" t="n"/>
      <c r="P39" s="363" t="n"/>
      <c r="Q39" s="329" t="n"/>
      <c r="R39" s="40" t="inlineStr"/>
      <c r="S39" s="40" t="inlineStr"/>
      <c r="T39" s="41" t="inlineStr">
        <is>
          <t>кор</t>
        </is>
      </c>
      <c r="U39" s="364" t="n">
        <v>8</v>
      </c>
      <c r="V39" s="365">
        <f>IFERROR(IF(U39="","",U39),"")</f>
        <v/>
      </c>
      <c r="W39" s="42">
        <f>IFERROR(IF(U39="","",U39*0.0155),"")</f>
        <v/>
      </c>
      <c r="X39" s="69" t="inlineStr"/>
      <c r="Y39" s="70" t="inlineStr"/>
      <c r="AC39" s="83" t="inlineStr">
        <is>
          <t>ЗПФ</t>
        </is>
      </c>
    </row>
    <row r="40">
      <c r="A40" s="167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366" t="n"/>
      <c r="M40" s="367" t="inlineStr">
        <is>
          <t>Итого</t>
        </is>
      </c>
      <c r="N40" s="337" t="n"/>
      <c r="O40" s="337" t="n"/>
      <c r="P40" s="337" t="n"/>
      <c r="Q40" s="337" t="n"/>
      <c r="R40" s="337" t="n"/>
      <c r="S40" s="338" t="n"/>
      <c r="T40" s="43" t="inlineStr">
        <is>
          <t>кор</t>
        </is>
      </c>
      <c r="U40" s="368">
        <f>IFERROR(SUM(U36:U39),"0")</f>
        <v/>
      </c>
      <c r="V40" s="368">
        <f>IFERROR(SUM(V36:V39),"0")</f>
        <v/>
      </c>
      <c r="W40" s="368">
        <f>IFERROR(IF(W36="",0,W36),"0")+IFERROR(IF(W37="",0,W37),"0")+IFERROR(IF(W38="",0,W38),"0")+IFERROR(IF(W39="",0,W39),"0")</f>
        <v/>
      </c>
      <c r="X40" s="369" t="n"/>
      <c r="Y40" s="369" t="n"/>
    </row>
    <row r="41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366" t="n"/>
      <c r="M41" s="367" t="inlineStr">
        <is>
          <t>Итого</t>
        </is>
      </c>
      <c r="N41" s="337" t="n"/>
      <c r="O41" s="337" t="n"/>
      <c r="P41" s="337" t="n"/>
      <c r="Q41" s="337" t="n"/>
      <c r="R41" s="337" t="n"/>
      <c r="S41" s="338" t="n"/>
      <c r="T41" s="43" t="inlineStr">
        <is>
          <t>кг</t>
        </is>
      </c>
      <c r="U41" s="368">
        <f>IFERROR(SUMPRODUCT(U36:U39*H36:H39),"0")</f>
        <v/>
      </c>
      <c r="V41" s="368">
        <f>IFERROR(SUMPRODUCT(V36:V39*H36:H39),"0")</f>
        <v/>
      </c>
      <c r="W41" s="43" t="n"/>
      <c r="X41" s="369" t="n"/>
      <c r="Y41" s="369" t="n"/>
    </row>
    <row r="42" ht="16.5" customHeight="1">
      <c r="A42" s="176" t="inlineStr">
        <is>
          <t>Чебупай</t>
        </is>
      </c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76" t="n"/>
      <c r="Y42" s="176" t="n"/>
    </row>
    <row r="43" ht="14.25" customHeight="1">
      <c r="A43" s="177" t="inlineStr">
        <is>
          <t>Изделия хлебобулочные</t>
        </is>
      </c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77" t="n"/>
      <c r="Y43" s="177" t="n"/>
    </row>
    <row r="44" ht="27" customHeight="1">
      <c r="A44" s="64" t="inlineStr">
        <is>
          <t>SU002492</t>
        </is>
      </c>
      <c r="B44" s="64" t="inlineStr">
        <is>
          <t>P003183</t>
        </is>
      </c>
      <c r="C44" s="37" t="n">
        <v>4301190014</v>
      </c>
      <c r="D44" s="172" t="n">
        <v>4607111037053</v>
      </c>
      <c r="E44" s="329" t="n"/>
      <c r="F44" s="361" t="n">
        <v>0.2</v>
      </c>
      <c r="G44" s="38" t="n">
        <v>6</v>
      </c>
      <c r="H44" s="361" t="n">
        <v>1.2</v>
      </c>
      <c r="I44" s="361" t="n">
        <v>1.5918</v>
      </c>
      <c r="J44" s="38" t="n">
        <v>130</v>
      </c>
      <c r="K44" s="39" t="inlineStr">
        <is>
          <t>МГ</t>
        </is>
      </c>
      <c r="L44" s="38" t="n">
        <v>365</v>
      </c>
      <c r="M44" s="378">
        <f>HYPERLINK("https://abi.ru/products/Замороженные/Горячая штучка/Чебупай/Изделия хлебобулочные/P003183/","Чебупай сочное яблоко Чебупай Фикс.вес 0,2 Лоток Горячая штучка")</f>
        <v/>
      </c>
      <c r="N44" s="363" t="n"/>
      <c r="O44" s="363" t="n"/>
      <c r="P44" s="363" t="n"/>
      <c r="Q44" s="329" t="n"/>
      <c r="R44" s="40" t="inlineStr"/>
      <c r="S44" s="40" t="inlineStr"/>
      <c r="T44" s="41" t="inlineStr">
        <is>
          <t>кор</t>
        </is>
      </c>
      <c r="U44" s="364" t="n">
        <v>0</v>
      </c>
      <c r="V44" s="365">
        <f>IFERROR(IF(U44="","",U44),"")</f>
        <v/>
      </c>
      <c r="W44" s="42">
        <f>IFERROR(IF(U44="","",U44*0.0095),"")</f>
        <v/>
      </c>
      <c r="X44" s="69" t="inlineStr"/>
      <c r="Y44" s="70" t="inlineStr"/>
      <c r="AC44" s="84" t="inlineStr">
        <is>
          <t>ПГП</t>
        </is>
      </c>
    </row>
    <row r="45" ht="27" customHeight="1">
      <c r="A45" s="64" t="inlineStr">
        <is>
          <t>SU002582</t>
        </is>
      </c>
      <c r="B45" s="64" t="inlineStr">
        <is>
          <t>P003184</t>
        </is>
      </c>
      <c r="C45" s="37" t="n">
        <v>4301190015</v>
      </c>
      <c r="D45" s="172" t="n">
        <v>4607111037060</v>
      </c>
      <c r="E45" s="329" t="n"/>
      <c r="F45" s="361" t="n">
        <v>0.2</v>
      </c>
      <c r="G45" s="38" t="n">
        <v>6</v>
      </c>
      <c r="H45" s="361" t="n">
        <v>1.2</v>
      </c>
      <c r="I45" s="361" t="n">
        <v>1.5918</v>
      </c>
      <c r="J45" s="38" t="n">
        <v>130</v>
      </c>
      <c r="K45" s="39" t="inlineStr">
        <is>
          <t>МГ</t>
        </is>
      </c>
      <c r="L45" s="38" t="n">
        <v>365</v>
      </c>
      <c r="M45" s="379">
        <f>HYPERLINK("https://abi.ru/products/Замороженные/Горячая штучка/Чебупай/Изделия хлебобулочные/P003184/","Чебупай спелая вишня Чебупай Фикс.вес 0,2 Лоток Горячая штучка")</f>
        <v/>
      </c>
      <c r="N45" s="363" t="n"/>
      <c r="O45" s="363" t="n"/>
      <c r="P45" s="363" t="n"/>
      <c r="Q45" s="329" t="n"/>
      <c r="R45" s="40" t="inlineStr"/>
      <c r="S45" s="40" t="inlineStr"/>
      <c r="T45" s="41" t="inlineStr">
        <is>
          <t>кор</t>
        </is>
      </c>
      <c r="U45" s="364" t="n">
        <v>0</v>
      </c>
      <c r="V45" s="365">
        <f>IFERROR(IF(U45="","",U45),"")</f>
        <v/>
      </c>
      <c r="W45" s="42">
        <f>IFERROR(IF(U45="","",U45*0.0095),"")</f>
        <v/>
      </c>
      <c r="X45" s="69" t="inlineStr"/>
      <c r="Y45" s="70" t="inlineStr"/>
      <c r="AC45" s="85" t="inlineStr">
        <is>
          <t>ПГП</t>
        </is>
      </c>
    </row>
    <row r="46">
      <c r="A46" s="167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366" t="n"/>
      <c r="M46" s="367" t="inlineStr">
        <is>
          <t>Итого</t>
        </is>
      </c>
      <c r="N46" s="337" t="n"/>
      <c r="O46" s="337" t="n"/>
      <c r="P46" s="337" t="n"/>
      <c r="Q46" s="337" t="n"/>
      <c r="R46" s="337" t="n"/>
      <c r="S46" s="338" t="n"/>
      <c r="T46" s="43" t="inlineStr">
        <is>
          <t>кор</t>
        </is>
      </c>
      <c r="U46" s="368">
        <f>IFERROR(SUM(U44:U45),"0")</f>
        <v/>
      </c>
      <c r="V46" s="368">
        <f>IFERROR(SUM(V44:V45),"0")</f>
        <v/>
      </c>
      <c r="W46" s="368">
        <f>IFERROR(IF(W44="",0,W44),"0")+IFERROR(IF(W45="",0,W45),"0")</f>
        <v/>
      </c>
      <c r="X46" s="369" t="n"/>
      <c r="Y46" s="369" t="n"/>
    </row>
    <row r="47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366" t="n"/>
      <c r="M47" s="367" t="inlineStr">
        <is>
          <t>Итого</t>
        </is>
      </c>
      <c r="N47" s="337" t="n"/>
      <c r="O47" s="337" t="n"/>
      <c r="P47" s="337" t="n"/>
      <c r="Q47" s="337" t="n"/>
      <c r="R47" s="337" t="n"/>
      <c r="S47" s="338" t="n"/>
      <c r="T47" s="43" t="inlineStr">
        <is>
          <t>кг</t>
        </is>
      </c>
      <c r="U47" s="368">
        <f>IFERROR(SUMPRODUCT(U44:U45*H44:H45),"0")</f>
        <v/>
      </c>
      <c r="V47" s="368">
        <f>IFERROR(SUMPRODUCT(V44:V45*H44:H45),"0")</f>
        <v/>
      </c>
      <c r="W47" s="43" t="n"/>
      <c r="X47" s="369" t="n"/>
      <c r="Y47" s="369" t="n"/>
    </row>
    <row r="48" ht="16.5" customHeight="1">
      <c r="A48" s="176" t="inlineStr">
        <is>
          <t>Бигбули ГШ</t>
        </is>
      </c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76" t="n"/>
      <c r="Y48" s="176" t="n"/>
    </row>
    <row r="49" ht="14.25" customHeight="1">
      <c r="A49" s="177" t="inlineStr">
        <is>
          <t>Пельмени</t>
        </is>
      </c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77" t="n"/>
      <c r="Y49" s="177" t="n"/>
    </row>
    <row r="50" ht="27" customHeight="1">
      <c r="A50" s="64" t="inlineStr">
        <is>
          <t>SU002771</t>
        </is>
      </c>
      <c r="B50" s="64" t="inlineStr">
        <is>
          <t>P003155</t>
        </is>
      </c>
      <c r="C50" s="37" t="n">
        <v>4301070935</v>
      </c>
      <c r="D50" s="172" t="n">
        <v>4607111037190</v>
      </c>
      <c r="E50" s="329" t="n"/>
      <c r="F50" s="361" t="n">
        <v>0.43</v>
      </c>
      <c r="G50" s="38" t="n">
        <v>16</v>
      </c>
      <c r="H50" s="361" t="n">
        <v>6.88</v>
      </c>
      <c r="I50" s="361" t="n">
        <v>7.1996</v>
      </c>
      <c r="J50" s="38" t="n">
        <v>84</v>
      </c>
      <c r="K50" s="39" t="inlineStr">
        <is>
          <t>МГ</t>
        </is>
      </c>
      <c r="L50" s="38" t="n">
        <v>150</v>
      </c>
      <c r="M50" s="380">
        <f>HYPERLINK("https://abi.ru/products/Замороженные/Горячая штучка/Бигбули ГШ/Пельмени/P003155/","Пельмени Бигбули #МЕГАВКУСИЩЕ с сочной грудинкой Бигбули ГШ 0,43 сфера Горячая штучка")</f>
        <v/>
      </c>
      <c r="N50" s="363" t="n"/>
      <c r="O50" s="363" t="n"/>
      <c r="P50" s="363" t="n"/>
      <c r="Q50" s="329" t="n"/>
      <c r="R50" s="40" t="inlineStr"/>
      <c r="S50" s="40" t="inlineStr"/>
      <c r="T50" s="41" t="inlineStr">
        <is>
          <t>кор</t>
        </is>
      </c>
      <c r="U50" s="364" t="n">
        <v>0</v>
      </c>
      <c r="V50" s="365">
        <f>IFERROR(IF(U50="","",U50),"")</f>
        <v/>
      </c>
      <c r="W50" s="42">
        <f>IFERROR(IF(U50="","",U50*0.0155),"")</f>
        <v/>
      </c>
      <c r="X50" s="69" t="inlineStr"/>
      <c r="Y50" s="70" t="inlineStr"/>
      <c r="AC50" s="86" t="inlineStr">
        <is>
          <t>ЗПФ</t>
        </is>
      </c>
    </row>
    <row r="51" ht="27" customHeight="1">
      <c r="A51" s="64" t="inlineStr">
        <is>
          <t>SU002708</t>
        </is>
      </c>
      <c r="B51" s="64" t="inlineStr">
        <is>
          <t>P003085</t>
        </is>
      </c>
      <c r="C51" s="37" t="n">
        <v>4301070929</v>
      </c>
      <c r="D51" s="172" t="n">
        <v>4607111037183</v>
      </c>
      <c r="E51" s="329" t="n"/>
      <c r="F51" s="361" t="n">
        <v>0.9</v>
      </c>
      <c r="G51" s="38" t="n">
        <v>8</v>
      </c>
      <c r="H51" s="361" t="n">
        <v>7.2</v>
      </c>
      <c r="I51" s="361" t="n">
        <v>7.486</v>
      </c>
      <c r="J51" s="38" t="n">
        <v>84</v>
      </c>
      <c r="K51" s="39" t="inlineStr">
        <is>
          <t>МГ</t>
        </is>
      </c>
      <c r="L51" s="38" t="n">
        <v>150</v>
      </c>
      <c r="M51" s="381">
        <f>HYPERLINK("https://abi.ru/products/Замороженные/Горячая штучка/Бигбули ГШ/Пельмени/P003085/","Пельмени Бигбули #МЕГАВКУСИЩЕ с сочной грудинкой Бигбули ГШ 0,9 сфера Горячая штучка")</f>
        <v/>
      </c>
      <c r="N51" s="363" t="n"/>
      <c r="O51" s="363" t="n"/>
      <c r="P51" s="363" t="n"/>
      <c r="Q51" s="329" t="n"/>
      <c r="R51" s="40" t="inlineStr"/>
      <c r="S51" s="40" t="inlineStr"/>
      <c r="T51" s="41" t="inlineStr">
        <is>
          <t>кор</t>
        </is>
      </c>
      <c r="U51" s="364" t="n">
        <v>0</v>
      </c>
      <c r="V51" s="365">
        <f>IFERROR(IF(U51="","",U51),"")</f>
        <v/>
      </c>
      <c r="W51" s="42">
        <f>IFERROR(IF(U51="","",U51*0.0155),"")</f>
        <v/>
      </c>
      <c r="X51" s="69" t="inlineStr"/>
      <c r="Y51" s="70" t="inlineStr"/>
      <c r="AC51" s="87" t="inlineStr">
        <is>
          <t>ЗПФ</t>
        </is>
      </c>
    </row>
    <row r="52" ht="27" customHeight="1">
      <c r="A52" s="64" t="inlineStr">
        <is>
          <t>SU002707</t>
        </is>
      </c>
      <c r="B52" s="64" t="inlineStr">
        <is>
          <t>P003081</t>
        </is>
      </c>
      <c r="C52" s="37" t="n">
        <v>4301070928</v>
      </c>
      <c r="D52" s="172" t="n">
        <v>4607111037091</v>
      </c>
      <c r="E52" s="329" t="n"/>
      <c r="F52" s="361" t="n">
        <v>0.43</v>
      </c>
      <c r="G52" s="38" t="n">
        <v>16</v>
      </c>
      <c r="H52" s="361" t="n">
        <v>6.88</v>
      </c>
      <c r="I52" s="361" t="n">
        <v>7.11</v>
      </c>
      <c r="J52" s="38" t="n">
        <v>84</v>
      </c>
      <c r="K52" s="39" t="inlineStr">
        <is>
          <t>МГ</t>
        </is>
      </c>
      <c r="L52" s="38" t="n">
        <v>150</v>
      </c>
      <c r="M52" s="382">
        <f>HYPERLINK("https://abi.ru/products/Замороженные/Горячая штучка/Бигбули ГШ/Пельмени/P003081/","Пельмени Бигбули #МЕГАМАСЛИЩЕ со сливочным маслом Бигбули ГШ 0,43 сфера Горячая штучка")</f>
        <v/>
      </c>
      <c r="N52" s="363" t="n"/>
      <c r="O52" s="363" t="n"/>
      <c r="P52" s="363" t="n"/>
      <c r="Q52" s="329" t="n"/>
      <c r="R52" s="40" t="inlineStr"/>
      <c r="S52" s="40" t="inlineStr"/>
      <c r="T52" s="41" t="inlineStr">
        <is>
          <t>кор</t>
        </is>
      </c>
      <c r="U52" s="364" t="n">
        <v>0</v>
      </c>
      <c r="V52" s="365">
        <f>IFERROR(IF(U52="","",U52),"")</f>
        <v/>
      </c>
      <c r="W52" s="42">
        <f>IFERROR(IF(U52="","",U52*0.0155),"")</f>
        <v/>
      </c>
      <c r="X52" s="69" t="inlineStr"/>
      <c r="Y52" s="70" t="inlineStr"/>
      <c r="AC52" s="88" t="inlineStr">
        <is>
          <t>ЗПФ</t>
        </is>
      </c>
    </row>
    <row r="53" ht="27" customHeight="1">
      <c r="A53" s="64" t="inlineStr">
        <is>
          <t>SU002838</t>
        </is>
      </c>
      <c r="B53" s="64" t="inlineStr">
        <is>
          <t>P003251</t>
        </is>
      </c>
      <c r="C53" s="37" t="n">
        <v>4301070944</v>
      </c>
      <c r="D53" s="172" t="n">
        <v>4607111036902</v>
      </c>
      <c r="E53" s="329" t="n"/>
      <c r="F53" s="361" t="n">
        <v>0.9</v>
      </c>
      <c r="G53" s="38" t="n">
        <v>8</v>
      </c>
      <c r="H53" s="361" t="n">
        <v>7.2</v>
      </c>
      <c r="I53" s="361" t="n">
        <v>7.43</v>
      </c>
      <c r="J53" s="38" t="n">
        <v>84</v>
      </c>
      <c r="K53" s="39" t="inlineStr">
        <is>
          <t>МГ</t>
        </is>
      </c>
      <c r="L53" s="38" t="n">
        <v>150</v>
      </c>
      <c r="M53" s="383">
        <f>HYPERLINK("https://abi.ru/products/Замороженные/Горячая штучка/Бигбули ГШ/Пельмени/P003251/","Пельмени Бигбули #МЕГАМАСЛИЩЕ со сливочным маслом Бигбули ГШ ф/в 0,9 Горячая штучка")</f>
        <v/>
      </c>
      <c r="N53" s="363" t="n"/>
      <c r="O53" s="363" t="n"/>
      <c r="P53" s="363" t="n"/>
      <c r="Q53" s="329" t="n"/>
      <c r="R53" s="40" t="inlineStr"/>
      <c r="S53" s="40" t="inlineStr"/>
      <c r="T53" s="41" t="inlineStr">
        <is>
          <t>кор</t>
        </is>
      </c>
      <c r="U53" s="364" t="n">
        <v>13</v>
      </c>
      <c r="V53" s="365">
        <f>IFERROR(IF(U53="","",U53),"")</f>
        <v/>
      </c>
      <c r="W53" s="42">
        <f>IFERROR(IF(U53="","",U53*0.0155),"")</f>
        <v/>
      </c>
      <c r="X53" s="69" t="inlineStr"/>
      <c r="Y53" s="70" t="inlineStr"/>
      <c r="AC53" s="89" t="inlineStr">
        <is>
          <t>ЗПФ</t>
        </is>
      </c>
    </row>
    <row r="54" ht="27" customHeight="1">
      <c r="A54" s="64" t="inlineStr">
        <is>
          <t>SU002625</t>
        </is>
      </c>
      <c r="B54" s="64" t="inlineStr">
        <is>
          <t>P002963</t>
        </is>
      </c>
      <c r="C54" s="37" t="n">
        <v>4301070938</v>
      </c>
      <c r="D54" s="172" t="n">
        <v>4607111036858</v>
      </c>
      <c r="E54" s="329" t="n"/>
      <c r="F54" s="361" t="n">
        <v>0.43</v>
      </c>
      <c r="G54" s="38" t="n">
        <v>16</v>
      </c>
      <c r="H54" s="361" t="n">
        <v>6.88</v>
      </c>
      <c r="I54" s="361" t="n">
        <v>7.1996</v>
      </c>
      <c r="J54" s="38" t="n">
        <v>84</v>
      </c>
      <c r="K54" s="39" t="inlineStr">
        <is>
          <t>МГ</t>
        </is>
      </c>
      <c r="L54" s="38" t="n">
        <v>150</v>
      </c>
      <c r="M54" s="384">
        <f>HYPERLINK("https://abi.ru/products/Замороженные/Горячая штучка/Бигбули ГШ/Пельмени/P002963/","Пельмени Бигбули с мясом Бигбули ГШ 0,43 Сфера Горячая штучка")</f>
        <v/>
      </c>
      <c r="N54" s="363" t="n"/>
      <c r="O54" s="363" t="n"/>
      <c r="P54" s="363" t="n"/>
      <c r="Q54" s="329" t="n"/>
      <c r="R54" s="40" t="inlineStr"/>
      <c r="S54" s="40" t="inlineStr"/>
      <c r="T54" s="41" t="inlineStr">
        <is>
          <t>кор</t>
        </is>
      </c>
      <c r="U54" s="364" t="n">
        <v>0</v>
      </c>
      <c r="V54" s="365">
        <f>IFERROR(IF(U54="","",U54),"")</f>
        <v/>
      </c>
      <c r="W54" s="42">
        <f>IFERROR(IF(U54="","",U54*0.0155),"")</f>
        <v/>
      </c>
      <c r="X54" s="69" t="inlineStr"/>
      <c r="Y54" s="70" t="inlineStr"/>
      <c r="AC54" s="90" t="inlineStr">
        <is>
          <t>ЗПФ</t>
        </is>
      </c>
    </row>
    <row r="55" ht="27" customHeight="1">
      <c r="A55" s="64" t="inlineStr">
        <is>
          <t>SU002624</t>
        </is>
      </c>
      <c r="B55" s="64" t="inlineStr">
        <is>
          <t>P002962</t>
        </is>
      </c>
      <c r="C55" s="37" t="n">
        <v>4301070909</v>
      </c>
      <c r="D55" s="172" t="n">
        <v>4607111036889</v>
      </c>
      <c r="E55" s="329" t="n"/>
      <c r="F55" s="361" t="n">
        <v>0.9</v>
      </c>
      <c r="G55" s="38" t="n">
        <v>8</v>
      </c>
      <c r="H55" s="361" t="n">
        <v>7.2</v>
      </c>
      <c r="I55" s="361" t="n">
        <v>7.486</v>
      </c>
      <c r="J55" s="38" t="n">
        <v>84</v>
      </c>
      <c r="K55" s="39" t="inlineStr">
        <is>
          <t>МГ</t>
        </is>
      </c>
      <c r="L55" s="38" t="n">
        <v>150</v>
      </c>
      <c r="M55" s="385">
        <f>HYPERLINK("https://abi.ru/products/Замороженные/Горячая штучка/Бигбули ГШ/Пельмени/P002962/","Пельмени Бигбули с мясом Бигбули ГШ 0,9 Сфера Горячая штучка")</f>
        <v/>
      </c>
      <c r="N55" s="363" t="n"/>
      <c r="O55" s="363" t="n"/>
      <c r="P55" s="363" t="n"/>
      <c r="Q55" s="329" t="n"/>
      <c r="R55" s="40" t="inlineStr"/>
      <c r="S55" s="40" t="inlineStr"/>
      <c r="T55" s="41" t="inlineStr">
        <is>
          <t>кор</t>
        </is>
      </c>
      <c r="U55" s="364" t="n">
        <v>0</v>
      </c>
      <c r="V55" s="365">
        <f>IFERROR(IF(U55="","",U55),"")</f>
        <v/>
      </c>
      <c r="W55" s="42">
        <f>IFERROR(IF(U55="","",U55*0.0155),"")</f>
        <v/>
      </c>
      <c r="X55" s="69" t="inlineStr"/>
      <c r="Y55" s="70" t="inlineStr"/>
      <c r="AC55" s="91" t="inlineStr">
        <is>
          <t>ЗПФ</t>
        </is>
      </c>
    </row>
    <row r="56">
      <c r="A56" s="167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366" t="n"/>
      <c r="M56" s="367" t="inlineStr">
        <is>
          <t>Итого</t>
        </is>
      </c>
      <c r="N56" s="337" t="n"/>
      <c r="O56" s="337" t="n"/>
      <c r="P56" s="337" t="n"/>
      <c r="Q56" s="337" t="n"/>
      <c r="R56" s="337" t="n"/>
      <c r="S56" s="338" t="n"/>
      <c r="T56" s="43" t="inlineStr">
        <is>
          <t>кор</t>
        </is>
      </c>
      <c r="U56" s="368">
        <f>IFERROR(SUM(U50:U55),"0")</f>
        <v/>
      </c>
      <c r="V56" s="368">
        <f>IFERROR(SUM(V50:V55),"0")</f>
        <v/>
      </c>
      <c r="W56" s="368">
        <f>IFERROR(IF(W50="",0,W50),"0")+IFERROR(IF(W51="",0,W51),"0")+IFERROR(IF(W52="",0,W52),"0")+IFERROR(IF(W53="",0,W53),"0")+IFERROR(IF(W54="",0,W54),"0")+IFERROR(IF(W55="",0,W55),"0")</f>
        <v/>
      </c>
      <c r="X56" s="369" t="n"/>
      <c r="Y56" s="369" t="n"/>
    </row>
    <row r="57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366" t="n"/>
      <c r="M57" s="367" t="inlineStr">
        <is>
          <t>Итого</t>
        </is>
      </c>
      <c r="N57" s="337" t="n"/>
      <c r="O57" s="337" t="n"/>
      <c r="P57" s="337" t="n"/>
      <c r="Q57" s="337" t="n"/>
      <c r="R57" s="337" t="n"/>
      <c r="S57" s="338" t="n"/>
      <c r="T57" s="43" t="inlineStr">
        <is>
          <t>кг</t>
        </is>
      </c>
      <c r="U57" s="368">
        <f>IFERROR(SUMPRODUCT(U50:U55*H50:H55),"0")</f>
        <v/>
      </c>
      <c r="V57" s="368">
        <f>IFERROR(SUMPRODUCT(V50:V55*H50:H55),"0")</f>
        <v/>
      </c>
      <c r="W57" s="43" t="n"/>
      <c r="X57" s="369" t="n"/>
      <c r="Y57" s="369" t="n"/>
    </row>
    <row r="58" ht="16.5" customHeight="1">
      <c r="A58" s="176" t="inlineStr">
        <is>
          <t>Бульмени вес ГШ</t>
        </is>
      </c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76" t="n"/>
      <c r="Y58" s="176" t="n"/>
    </row>
    <row r="59" ht="14.25" customHeight="1">
      <c r="A59" s="177" t="inlineStr">
        <is>
          <t>Пельмени</t>
        </is>
      </c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77" t="n"/>
      <c r="Y59" s="177" t="n"/>
    </row>
    <row r="60" ht="27" customHeight="1">
      <c r="A60" s="64" t="inlineStr">
        <is>
          <t>SU002798</t>
        </is>
      </c>
      <c r="B60" s="64" t="inlineStr">
        <is>
          <t>P003220</t>
        </is>
      </c>
      <c r="C60" s="37" t="n">
        <v>4301070939</v>
      </c>
      <c r="D60" s="172" t="n">
        <v>4607111037411</v>
      </c>
      <c r="E60" s="329" t="n"/>
      <c r="F60" s="361" t="n">
        <v>2.7</v>
      </c>
      <c r="G60" s="38" t="n">
        <v>1</v>
      </c>
      <c r="H60" s="361" t="n">
        <v>2.7</v>
      </c>
      <c r="I60" s="361" t="n">
        <v>2.8132</v>
      </c>
      <c r="J60" s="38" t="n">
        <v>234</v>
      </c>
      <c r="K60" s="39" t="inlineStr">
        <is>
          <t>МГ</t>
        </is>
      </c>
      <c r="L60" s="38" t="n">
        <v>150</v>
      </c>
      <c r="M60" s="386">
        <f>HYPERLINK("https://abi.ru/products/Замороженные/Горячая штучка/Бульмени вес ГШ/Пельмени/P003220/","Пельмени Бульмени с говядиной и свининой Наваристые Бульмени ГШ Весовые Сфера Горячая штучка 2,7 кг")</f>
        <v/>
      </c>
      <c r="N60" s="363" t="n"/>
      <c r="O60" s="363" t="n"/>
      <c r="P60" s="363" t="n"/>
      <c r="Q60" s="329" t="n"/>
      <c r="R60" s="40" t="inlineStr"/>
      <c r="S60" s="40" t="inlineStr"/>
      <c r="T60" s="41" t="inlineStr">
        <is>
          <t>кор</t>
        </is>
      </c>
      <c r="U60" s="364" t="n">
        <v>0</v>
      </c>
      <c r="V60" s="365">
        <f>IFERROR(IF(U60="","",U60),"")</f>
        <v/>
      </c>
      <c r="W60" s="42">
        <f>IFERROR(IF(U60="","",U60*0.00502),"")</f>
        <v/>
      </c>
      <c r="X60" s="69" t="inlineStr"/>
      <c r="Y60" s="70" t="inlineStr"/>
      <c r="AC60" s="92" t="inlineStr">
        <is>
          <t>ЗПФ</t>
        </is>
      </c>
    </row>
    <row r="61" ht="27" customHeight="1">
      <c r="A61" s="64" t="inlineStr">
        <is>
          <t>SU002595</t>
        </is>
      </c>
      <c r="B61" s="64" t="inlineStr">
        <is>
          <t>P002917</t>
        </is>
      </c>
      <c r="C61" s="37" t="n">
        <v>4301070897</v>
      </c>
      <c r="D61" s="172" t="n">
        <v>4607111036728</v>
      </c>
      <c r="E61" s="329" t="n"/>
      <c r="F61" s="361" t="n">
        <v>5</v>
      </c>
      <c r="G61" s="38" t="n">
        <v>1</v>
      </c>
      <c r="H61" s="361" t="n">
        <v>5</v>
      </c>
      <c r="I61" s="361" t="n">
        <v>5.2132</v>
      </c>
      <c r="J61" s="38" t="n">
        <v>108</v>
      </c>
      <c r="K61" s="39" t="inlineStr">
        <is>
          <t>МГ</t>
        </is>
      </c>
      <c r="L61" s="38" t="n">
        <v>150</v>
      </c>
      <c r="M61" s="387">
        <f>HYPERLINK("https://abi.ru/products/Замороженные/Горячая штучка/Бульмени вес ГШ/Пельмени/P002917/","Пельмени Бульмени с говядиной и свининой Наваристые Бульмени ГШ Весовые Сфера Горячая штучка 5 кг")</f>
        <v/>
      </c>
      <c r="N61" s="363" t="n"/>
      <c r="O61" s="363" t="n"/>
      <c r="P61" s="363" t="n"/>
      <c r="Q61" s="329" t="n"/>
      <c r="R61" s="40" t="inlineStr"/>
      <c r="S61" s="40" t="inlineStr"/>
      <c r="T61" s="41" t="inlineStr">
        <is>
          <t>кор</t>
        </is>
      </c>
      <c r="U61" s="364" t="n">
        <v>59</v>
      </c>
      <c r="V61" s="365">
        <f>IFERROR(IF(U61="","",U61),"")</f>
        <v/>
      </c>
      <c r="W61" s="42">
        <f>IFERROR(IF(U61="","",U61*0.00855),"")</f>
        <v/>
      </c>
      <c r="X61" s="69" t="inlineStr"/>
      <c r="Y61" s="70" t="inlineStr"/>
      <c r="AC61" s="93" t="inlineStr">
        <is>
          <t>ЗПФ</t>
        </is>
      </c>
    </row>
    <row r="62">
      <c r="A62" s="167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366" t="n"/>
      <c r="M62" s="367" t="inlineStr">
        <is>
          <t>Итого</t>
        </is>
      </c>
      <c r="N62" s="337" t="n"/>
      <c r="O62" s="337" t="n"/>
      <c r="P62" s="337" t="n"/>
      <c r="Q62" s="337" t="n"/>
      <c r="R62" s="337" t="n"/>
      <c r="S62" s="338" t="n"/>
      <c r="T62" s="43" t="inlineStr">
        <is>
          <t>кор</t>
        </is>
      </c>
      <c r="U62" s="368">
        <f>IFERROR(SUM(U60:U61),"0")</f>
        <v/>
      </c>
      <c r="V62" s="368">
        <f>IFERROR(SUM(V60:V61),"0")</f>
        <v/>
      </c>
      <c r="W62" s="368">
        <f>IFERROR(IF(W60="",0,W60),"0")+IFERROR(IF(W61="",0,W61),"0")</f>
        <v/>
      </c>
      <c r="X62" s="369" t="n"/>
      <c r="Y62" s="369" t="n"/>
    </row>
    <row r="63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366" t="n"/>
      <c r="M63" s="367" t="inlineStr">
        <is>
          <t>Итого</t>
        </is>
      </c>
      <c r="N63" s="337" t="n"/>
      <c r="O63" s="337" t="n"/>
      <c r="P63" s="337" t="n"/>
      <c r="Q63" s="337" t="n"/>
      <c r="R63" s="337" t="n"/>
      <c r="S63" s="338" t="n"/>
      <c r="T63" s="43" t="inlineStr">
        <is>
          <t>кг</t>
        </is>
      </c>
      <c r="U63" s="368">
        <f>IFERROR(SUMPRODUCT(U60:U61*H60:H61),"0")</f>
        <v/>
      </c>
      <c r="V63" s="368">
        <f>IFERROR(SUMPRODUCT(V60:V61*H60:H61),"0")</f>
        <v/>
      </c>
      <c r="W63" s="43" t="n"/>
      <c r="X63" s="369" t="n"/>
      <c r="Y63" s="369" t="n"/>
    </row>
    <row r="64" ht="16.5" customHeight="1">
      <c r="A64" s="176" t="inlineStr">
        <is>
          <t>Бельмеши</t>
        </is>
      </c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76" t="n"/>
      <c r="Y64" s="176" t="n"/>
    </row>
    <row r="65" ht="14.25" customHeight="1">
      <c r="A65" s="177" t="inlineStr">
        <is>
          <t>Снеки</t>
        </is>
      </c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77" t="n"/>
      <c r="Y65" s="177" t="n"/>
    </row>
    <row r="66" ht="27" customHeight="1">
      <c r="A66" s="64" t="inlineStr">
        <is>
          <t>SU002560</t>
        </is>
      </c>
      <c r="B66" s="64" t="inlineStr">
        <is>
          <t>P002878</t>
        </is>
      </c>
      <c r="C66" s="37" t="n">
        <v>4301135113</v>
      </c>
      <c r="D66" s="172" t="n">
        <v>4607111033659</v>
      </c>
      <c r="E66" s="329" t="n"/>
      <c r="F66" s="361" t="n">
        <v>0.3</v>
      </c>
      <c r="G66" s="38" t="n">
        <v>12</v>
      </c>
      <c r="H66" s="361" t="n">
        <v>3.6</v>
      </c>
      <c r="I66" s="361" t="n">
        <v>4.3036</v>
      </c>
      <c r="J66" s="38" t="n">
        <v>70</v>
      </c>
      <c r="K66" s="39" t="inlineStr">
        <is>
          <t>МГ</t>
        </is>
      </c>
      <c r="L66" s="38" t="n">
        <v>180</v>
      </c>
      <c r="M66" s="388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/>
      </c>
      <c r="N66" s="363" t="n"/>
      <c r="O66" s="363" t="n"/>
      <c r="P66" s="363" t="n"/>
      <c r="Q66" s="329" t="n"/>
      <c r="R66" s="40" t="inlineStr"/>
      <c r="S66" s="40" t="inlineStr"/>
      <c r="T66" s="41" t="inlineStr">
        <is>
          <t>кор</t>
        </is>
      </c>
      <c r="U66" s="364" t="n">
        <v>0</v>
      </c>
      <c r="V66" s="365">
        <f>IFERROR(IF(U66="","",U66),"")</f>
        <v/>
      </c>
      <c r="W66" s="42">
        <f>IFERROR(IF(U66="","",U66*0.01788),"")</f>
        <v/>
      </c>
      <c r="X66" s="69" t="inlineStr"/>
      <c r="Y66" s="70" t="inlineStr"/>
      <c r="AC66" s="94" t="inlineStr">
        <is>
          <t>ПГП</t>
        </is>
      </c>
    </row>
    <row r="67">
      <c r="A67" s="167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366" t="n"/>
      <c r="M67" s="367" t="inlineStr">
        <is>
          <t>Итого</t>
        </is>
      </c>
      <c r="N67" s="337" t="n"/>
      <c r="O67" s="337" t="n"/>
      <c r="P67" s="337" t="n"/>
      <c r="Q67" s="337" t="n"/>
      <c r="R67" s="337" t="n"/>
      <c r="S67" s="338" t="n"/>
      <c r="T67" s="43" t="inlineStr">
        <is>
          <t>кор</t>
        </is>
      </c>
      <c r="U67" s="368">
        <f>IFERROR(SUM(U66:U66),"0")</f>
        <v/>
      </c>
      <c r="V67" s="368">
        <f>IFERROR(SUM(V66:V66),"0")</f>
        <v/>
      </c>
      <c r="W67" s="368">
        <f>IFERROR(IF(W66="",0,W66),"0")</f>
        <v/>
      </c>
      <c r="X67" s="369" t="n"/>
      <c r="Y67" s="369" t="n"/>
    </row>
    <row r="6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366" t="n"/>
      <c r="M68" s="367" t="inlineStr">
        <is>
          <t>Итого</t>
        </is>
      </c>
      <c r="N68" s="337" t="n"/>
      <c r="O68" s="337" t="n"/>
      <c r="P68" s="337" t="n"/>
      <c r="Q68" s="337" t="n"/>
      <c r="R68" s="337" t="n"/>
      <c r="S68" s="338" t="n"/>
      <c r="T68" s="43" t="inlineStr">
        <is>
          <t>кг</t>
        </is>
      </c>
      <c r="U68" s="368">
        <f>IFERROR(SUMPRODUCT(U66:U66*H66:H66),"0")</f>
        <v/>
      </c>
      <c r="V68" s="368">
        <f>IFERROR(SUMPRODUCT(V66:V66*H66:H66),"0")</f>
        <v/>
      </c>
      <c r="W68" s="43" t="n"/>
      <c r="X68" s="369" t="n"/>
      <c r="Y68" s="369" t="n"/>
    </row>
    <row r="69" ht="16.5" customHeight="1">
      <c r="A69" s="176" t="inlineStr">
        <is>
          <t>Крылышки ГШ</t>
        </is>
      </c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76" t="n"/>
      <c r="Y69" s="176" t="n"/>
    </row>
    <row r="70" ht="14.25" customHeight="1">
      <c r="A70" s="177" t="inlineStr">
        <is>
          <t>Крылья</t>
        </is>
      </c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77" t="n"/>
      <c r="Y70" s="177" t="n"/>
    </row>
    <row r="71" ht="27" customHeight="1">
      <c r="A71" s="64" t="inlineStr">
        <is>
          <t>SU002564</t>
        </is>
      </c>
      <c r="B71" s="64" t="inlineStr">
        <is>
          <t>P002882</t>
        </is>
      </c>
      <c r="C71" s="37" t="n">
        <v>4301131012</v>
      </c>
      <c r="D71" s="172" t="n">
        <v>4607111034137</v>
      </c>
      <c r="E71" s="329" t="n"/>
      <c r="F71" s="361" t="n">
        <v>0.3</v>
      </c>
      <c r="G71" s="38" t="n">
        <v>12</v>
      </c>
      <c r="H71" s="361" t="n">
        <v>3.6</v>
      </c>
      <c r="I71" s="361" t="n">
        <v>4.3036</v>
      </c>
      <c r="J71" s="38" t="n">
        <v>70</v>
      </c>
      <c r="K71" s="39" t="inlineStr">
        <is>
          <t>МГ</t>
        </is>
      </c>
      <c r="L71" s="38" t="n">
        <v>180</v>
      </c>
      <c r="M71" s="389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/>
      </c>
      <c r="N71" s="363" t="n"/>
      <c r="O71" s="363" t="n"/>
      <c r="P71" s="363" t="n"/>
      <c r="Q71" s="329" t="n"/>
      <c r="R71" s="40" t="inlineStr"/>
      <c r="S71" s="40" t="inlineStr"/>
      <c r="T71" s="41" t="inlineStr">
        <is>
          <t>кор</t>
        </is>
      </c>
      <c r="U71" s="364" t="n">
        <v>10</v>
      </c>
      <c r="V71" s="365">
        <f>IFERROR(IF(U71="","",U71),"")</f>
        <v/>
      </c>
      <c r="W71" s="42">
        <f>IFERROR(IF(U71="","",U71*0.01788),"")</f>
        <v/>
      </c>
      <c r="X71" s="69" t="inlineStr"/>
      <c r="Y71" s="70" t="inlineStr"/>
      <c r="AC71" s="95" t="inlineStr">
        <is>
          <t>ПГП</t>
        </is>
      </c>
    </row>
    <row r="72" ht="27" customHeight="1">
      <c r="A72" s="64" t="inlineStr">
        <is>
          <t>SU002563</t>
        </is>
      </c>
      <c r="B72" s="64" t="inlineStr">
        <is>
          <t>P002881</t>
        </is>
      </c>
      <c r="C72" s="37" t="n">
        <v>4301131011</v>
      </c>
      <c r="D72" s="172" t="n">
        <v>4607111034120</v>
      </c>
      <c r="E72" s="329" t="n"/>
      <c r="F72" s="361" t="n">
        <v>0.3</v>
      </c>
      <c r="G72" s="38" t="n">
        <v>12</v>
      </c>
      <c r="H72" s="361" t="n">
        <v>3.6</v>
      </c>
      <c r="I72" s="361" t="n">
        <v>4.3036</v>
      </c>
      <c r="J72" s="38" t="n">
        <v>70</v>
      </c>
      <c r="K72" s="39" t="inlineStr">
        <is>
          <t>МГ</t>
        </is>
      </c>
      <c r="L72" s="38" t="n">
        <v>180</v>
      </c>
      <c r="M72" s="390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/>
      </c>
      <c r="N72" s="363" t="n"/>
      <c r="O72" s="363" t="n"/>
      <c r="P72" s="363" t="n"/>
      <c r="Q72" s="329" t="n"/>
      <c r="R72" s="40" t="inlineStr"/>
      <c r="S72" s="40" t="inlineStr"/>
      <c r="T72" s="41" t="inlineStr">
        <is>
          <t>кор</t>
        </is>
      </c>
      <c r="U72" s="364" t="n">
        <v>3</v>
      </c>
      <c r="V72" s="365">
        <f>IFERROR(IF(U72="","",U72),"")</f>
        <v/>
      </c>
      <c r="W72" s="42">
        <f>IFERROR(IF(U72="","",U72*0.01788),"")</f>
        <v/>
      </c>
      <c r="X72" s="69" t="inlineStr"/>
      <c r="Y72" s="70" t="inlineStr"/>
      <c r="AC72" s="96" t="inlineStr">
        <is>
          <t>ПГП</t>
        </is>
      </c>
    </row>
    <row r="73">
      <c r="A73" s="167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366" t="n"/>
      <c r="M73" s="367" t="inlineStr">
        <is>
          <t>Итого</t>
        </is>
      </c>
      <c r="N73" s="337" t="n"/>
      <c r="O73" s="337" t="n"/>
      <c r="P73" s="337" t="n"/>
      <c r="Q73" s="337" t="n"/>
      <c r="R73" s="337" t="n"/>
      <c r="S73" s="338" t="n"/>
      <c r="T73" s="43" t="inlineStr">
        <is>
          <t>кор</t>
        </is>
      </c>
      <c r="U73" s="368">
        <f>IFERROR(SUM(U71:U72),"0")</f>
        <v/>
      </c>
      <c r="V73" s="368">
        <f>IFERROR(SUM(V71:V72),"0")</f>
        <v/>
      </c>
      <c r="W73" s="368">
        <f>IFERROR(IF(W71="",0,W71),"0")+IFERROR(IF(W72="",0,W72),"0")</f>
        <v/>
      </c>
      <c r="X73" s="369" t="n"/>
      <c r="Y73" s="369" t="n"/>
    </row>
    <row r="74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366" t="n"/>
      <c r="M74" s="367" t="inlineStr">
        <is>
          <t>Итого</t>
        </is>
      </c>
      <c r="N74" s="337" t="n"/>
      <c r="O74" s="337" t="n"/>
      <c r="P74" s="337" t="n"/>
      <c r="Q74" s="337" t="n"/>
      <c r="R74" s="337" t="n"/>
      <c r="S74" s="338" t="n"/>
      <c r="T74" s="43" t="inlineStr">
        <is>
          <t>кг</t>
        </is>
      </c>
      <c r="U74" s="368">
        <f>IFERROR(SUMPRODUCT(U71:U72*H71:H72),"0")</f>
        <v/>
      </c>
      <c r="V74" s="368">
        <f>IFERROR(SUMPRODUCT(V71:V72*H71:H72),"0")</f>
        <v/>
      </c>
      <c r="W74" s="43" t="n"/>
      <c r="X74" s="369" t="n"/>
      <c r="Y74" s="369" t="n"/>
    </row>
    <row r="75" ht="16.5" customHeight="1">
      <c r="A75" s="176" t="inlineStr">
        <is>
          <t>Чебупели</t>
        </is>
      </c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76" t="n"/>
      <c r="Y75" s="176" t="n"/>
    </row>
    <row r="76" ht="14.25" customHeight="1">
      <c r="A76" s="177" t="inlineStr">
        <is>
          <t>Снеки</t>
        </is>
      </c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77" t="n"/>
      <c r="Y76" s="177" t="n"/>
    </row>
    <row r="77" ht="27" customHeight="1">
      <c r="A77" s="64" t="inlineStr">
        <is>
          <t>SU002293</t>
        </is>
      </c>
      <c r="B77" s="64" t="inlineStr">
        <is>
          <t>P002566</t>
        </is>
      </c>
      <c r="C77" s="37" t="n">
        <v>4301135053</v>
      </c>
      <c r="D77" s="172" t="n">
        <v>4607111036407</v>
      </c>
      <c r="E77" s="329" t="n"/>
      <c r="F77" s="361" t="n">
        <v>0.3</v>
      </c>
      <c r="G77" s="38" t="n">
        <v>14</v>
      </c>
      <c r="H77" s="361" t="n">
        <v>4.2</v>
      </c>
      <c r="I77" s="361" t="n">
        <v>4.5292</v>
      </c>
      <c r="J77" s="38" t="n">
        <v>70</v>
      </c>
      <c r="K77" s="39" t="inlineStr">
        <is>
          <t>МГ</t>
        </is>
      </c>
      <c r="L77" s="38" t="n">
        <v>180</v>
      </c>
      <c r="M77" s="391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/>
      </c>
      <c r="N77" s="363" t="n"/>
      <c r="O77" s="363" t="n"/>
      <c r="P77" s="363" t="n"/>
      <c r="Q77" s="329" t="n"/>
      <c r="R77" s="40" t="inlineStr"/>
      <c r="S77" s="40" t="inlineStr"/>
      <c r="T77" s="41" t="inlineStr">
        <is>
          <t>кор</t>
        </is>
      </c>
      <c r="U77" s="364" t="n">
        <v>0</v>
      </c>
      <c r="V77" s="365">
        <f>IFERROR(IF(U77="","",U77),"")</f>
        <v/>
      </c>
      <c r="W77" s="42">
        <f>IFERROR(IF(U77="","",U77*0.01788),"")</f>
        <v/>
      </c>
      <c r="X77" s="69" t="inlineStr"/>
      <c r="Y77" s="70" t="inlineStr"/>
      <c r="AC77" s="97" t="inlineStr">
        <is>
          <t>ПГП</t>
        </is>
      </c>
    </row>
    <row r="78" ht="16.5" customHeight="1">
      <c r="A78" s="64" t="inlineStr">
        <is>
          <t>SU002568</t>
        </is>
      </c>
      <c r="B78" s="64" t="inlineStr">
        <is>
          <t>P002892</t>
        </is>
      </c>
      <c r="C78" s="37" t="n">
        <v>4301135122</v>
      </c>
      <c r="D78" s="172" t="n">
        <v>4607111033628</v>
      </c>
      <c r="E78" s="329" t="n"/>
      <c r="F78" s="361" t="n">
        <v>0.3</v>
      </c>
      <c r="G78" s="38" t="n">
        <v>12</v>
      </c>
      <c r="H78" s="361" t="n">
        <v>3.6</v>
      </c>
      <c r="I78" s="361" t="n">
        <v>4.3036</v>
      </c>
      <c r="J78" s="38" t="n">
        <v>70</v>
      </c>
      <c r="K78" s="39" t="inlineStr">
        <is>
          <t>МГ</t>
        </is>
      </c>
      <c r="L78" s="38" t="n">
        <v>180</v>
      </c>
      <c r="M78" s="392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/>
      </c>
      <c r="N78" s="363" t="n"/>
      <c r="O78" s="363" t="n"/>
      <c r="P78" s="363" t="n"/>
      <c r="Q78" s="329" t="n"/>
      <c r="R78" s="40" t="inlineStr"/>
      <c r="S78" s="40" t="inlineStr"/>
      <c r="T78" s="41" t="inlineStr">
        <is>
          <t>кор</t>
        </is>
      </c>
      <c r="U78" s="364" t="n">
        <v>4</v>
      </c>
      <c r="V78" s="365">
        <f>IFERROR(IF(U78="","",U78),"")</f>
        <v/>
      </c>
      <c r="W78" s="42">
        <f>IFERROR(IF(U78="","",U78*0.01788),"")</f>
        <v/>
      </c>
      <c r="X78" s="69" t="inlineStr"/>
      <c r="Y78" s="70" t="inlineStr"/>
      <c r="AC78" s="98" t="inlineStr">
        <is>
          <t>ПГП</t>
        </is>
      </c>
    </row>
    <row r="79" ht="27" customHeight="1">
      <c r="A79" s="64" t="inlineStr">
        <is>
          <t>SU000419</t>
        </is>
      </c>
      <c r="B79" s="64" t="inlineStr">
        <is>
          <t>P000419</t>
        </is>
      </c>
      <c r="C79" s="37" t="n">
        <v>4301130400</v>
      </c>
      <c r="D79" s="172" t="n">
        <v>4607111033451</v>
      </c>
      <c r="E79" s="329" t="n"/>
      <c r="F79" s="361" t="n">
        <v>0.3</v>
      </c>
      <c r="G79" s="38" t="n">
        <v>12</v>
      </c>
      <c r="H79" s="361" t="n">
        <v>3.6</v>
      </c>
      <c r="I79" s="361" t="n">
        <v>4.3036</v>
      </c>
      <c r="J79" s="38" t="n">
        <v>70</v>
      </c>
      <c r="K79" s="39" t="inlineStr">
        <is>
          <t>МГ</t>
        </is>
      </c>
      <c r="L79" s="38" t="n">
        <v>180</v>
      </c>
      <c r="M79" s="393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/>
      </c>
      <c r="N79" s="363" t="n"/>
      <c r="O79" s="363" t="n"/>
      <c r="P79" s="363" t="n"/>
      <c r="Q79" s="329" t="n"/>
      <c r="R79" s="40" t="inlineStr"/>
      <c r="S79" s="40" t="inlineStr"/>
      <c r="T79" s="41" t="inlineStr">
        <is>
          <t>кор</t>
        </is>
      </c>
      <c r="U79" s="364" t="n">
        <v>1</v>
      </c>
      <c r="V79" s="365">
        <f>IFERROR(IF(U79="","",U79),"")</f>
        <v/>
      </c>
      <c r="W79" s="42">
        <f>IFERROR(IF(U79="","",U79*0.01788),"")</f>
        <v/>
      </c>
      <c r="X79" s="69" t="inlineStr"/>
      <c r="Y79" s="70" t="inlineStr"/>
      <c r="AC79" s="99" t="inlineStr">
        <is>
          <t>ПГП</t>
        </is>
      </c>
    </row>
    <row r="80" ht="27" customHeight="1">
      <c r="A80" s="64" t="inlineStr">
        <is>
          <t>SU002572</t>
        </is>
      </c>
      <c r="B80" s="64" t="inlineStr">
        <is>
          <t>P002888</t>
        </is>
      </c>
      <c r="C80" s="37" t="n">
        <v>4301135120</v>
      </c>
      <c r="D80" s="172" t="n">
        <v>4607111035141</v>
      </c>
      <c r="E80" s="329" t="n"/>
      <c r="F80" s="361" t="n">
        <v>0.3</v>
      </c>
      <c r="G80" s="38" t="n">
        <v>12</v>
      </c>
      <c r="H80" s="361" t="n">
        <v>3.6</v>
      </c>
      <c r="I80" s="361" t="n">
        <v>4.3036</v>
      </c>
      <c r="J80" s="38" t="n">
        <v>70</v>
      </c>
      <c r="K80" s="39" t="inlineStr">
        <is>
          <t>МГ</t>
        </is>
      </c>
      <c r="L80" s="38" t="n">
        <v>180</v>
      </c>
      <c r="M80" s="394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/>
      </c>
      <c r="N80" s="363" t="n"/>
      <c r="O80" s="363" t="n"/>
      <c r="P80" s="363" t="n"/>
      <c r="Q80" s="329" t="n"/>
      <c r="R80" s="40" t="inlineStr"/>
      <c r="S80" s="40" t="inlineStr"/>
      <c r="T80" s="41" t="inlineStr">
        <is>
          <t>кор</t>
        </is>
      </c>
      <c r="U80" s="364" t="n">
        <v>0</v>
      </c>
      <c r="V80" s="365">
        <f>IFERROR(IF(U80="","",U80),"")</f>
        <v/>
      </c>
      <c r="W80" s="42">
        <f>IFERROR(IF(U80="","",U80*0.01788),"")</f>
        <v/>
      </c>
      <c r="X80" s="69" t="inlineStr"/>
      <c r="Y80" s="70" t="inlineStr"/>
      <c r="AC80" s="100" t="inlineStr">
        <is>
          <t>ПГП</t>
        </is>
      </c>
    </row>
    <row r="81" ht="27" customHeight="1">
      <c r="A81" s="64" t="inlineStr">
        <is>
          <t>SU002571</t>
        </is>
      </c>
      <c r="B81" s="64" t="inlineStr">
        <is>
          <t>P002876</t>
        </is>
      </c>
      <c r="C81" s="37" t="n">
        <v>4301135111</v>
      </c>
      <c r="D81" s="172" t="n">
        <v>4607111035028</v>
      </c>
      <c r="E81" s="329" t="n"/>
      <c r="F81" s="361" t="n">
        <v>0.48</v>
      </c>
      <c r="G81" s="38" t="n">
        <v>8</v>
      </c>
      <c r="H81" s="361" t="n">
        <v>3.84</v>
      </c>
      <c r="I81" s="361" t="n">
        <v>4.4488</v>
      </c>
      <c r="J81" s="38" t="n">
        <v>70</v>
      </c>
      <c r="K81" s="39" t="inlineStr">
        <is>
          <t>МГ</t>
        </is>
      </c>
      <c r="L81" s="38" t="n">
        <v>180</v>
      </c>
      <c r="M81" s="395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/>
      </c>
      <c r="N81" s="363" t="n"/>
      <c r="O81" s="363" t="n"/>
      <c r="P81" s="363" t="n"/>
      <c r="Q81" s="329" t="n"/>
      <c r="R81" s="40" t="inlineStr"/>
      <c r="S81" s="40" t="inlineStr"/>
      <c r="T81" s="41" t="inlineStr">
        <is>
          <t>кор</t>
        </is>
      </c>
      <c r="U81" s="364" t="n">
        <v>0</v>
      </c>
      <c r="V81" s="365">
        <f>IFERROR(IF(U81="","",U81),"")</f>
        <v/>
      </c>
      <c r="W81" s="42">
        <f>IFERROR(IF(U81="","",U81*0.01788),"")</f>
        <v/>
      </c>
      <c r="X81" s="69" t="inlineStr"/>
      <c r="Y81" s="70" t="inlineStr"/>
      <c r="AC81" s="101" t="inlineStr">
        <is>
          <t>ПГП</t>
        </is>
      </c>
    </row>
    <row r="82" ht="27" customHeight="1">
      <c r="A82" s="64" t="inlineStr">
        <is>
          <t>SU002559</t>
        </is>
      </c>
      <c r="B82" s="64" t="inlineStr">
        <is>
          <t>P002874</t>
        </is>
      </c>
      <c r="C82" s="37" t="n">
        <v>4301135109</v>
      </c>
      <c r="D82" s="172" t="n">
        <v>4607111033444</v>
      </c>
      <c r="E82" s="329" t="n"/>
      <c r="F82" s="361" t="n">
        <v>0.3</v>
      </c>
      <c r="G82" s="38" t="n">
        <v>12</v>
      </c>
      <c r="H82" s="361" t="n">
        <v>3.6</v>
      </c>
      <c r="I82" s="361" t="n">
        <v>4.3036</v>
      </c>
      <c r="J82" s="38" t="n">
        <v>70</v>
      </c>
      <c r="K82" s="39" t="inlineStr">
        <is>
          <t>МГ</t>
        </is>
      </c>
      <c r="L82" s="38" t="n">
        <v>180</v>
      </c>
      <c r="M82" s="396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/>
      </c>
      <c r="N82" s="363" t="n"/>
      <c r="O82" s="363" t="n"/>
      <c r="P82" s="363" t="n"/>
      <c r="Q82" s="329" t="n"/>
      <c r="R82" s="40" t="inlineStr"/>
      <c r="S82" s="40" t="inlineStr"/>
      <c r="T82" s="41" t="inlineStr">
        <is>
          <t>кор</t>
        </is>
      </c>
      <c r="U82" s="364" t="n">
        <v>2</v>
      </c>
      <c r="V82" s="365">
        <f>IFERROR(IF(U82="","",U82),"")</f>
        <v/>
      </c>
      <c r="W82" s="42">
        <f>IFERROR(IF(U82="","",U82*0.01788),"")</f>
        <v/>
      </c>
      <c r="X82" s="69" t="inlineStr"/>
      <c r="Y82" s="70" t="inlineStr"/>
      <c r="AC82" s="102" t="inlineStr">
        <is>
          <t>ПГП</t>
        </is>
      </c>
    </row>
    <row r="83">
      <c r="A83" s="167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366" t="n"/>
      <c r="M83" s="367" t="inlineStr">
        <is>
          <t>Итого</t>
        </is>
      </c>
      <c r="N83" s="337" t="n"/>
      <c r="O83" s="337" t="n"/>
      <c r="P83" s="337" t="n"/>
      <c r="Q83" s="337" t="n"/>
      <c r="R83" s="337" t="n"/>
      <c r="S83" s="338" t="n"/>
      <c r="T83" s="43" t="inlineStr">
        <is>
          <t>кор</t>
        </is>
      </c>
      <c r="U83" s="368">
        <f>IFERROR(SUM(U77:U82),"0")</f>
        <v/>
      </c>
      <c r="V83" s="368">
        <f>IFERROR(SUM(V77:V82),"0")</f>
        <v/>
      </c>
      <c r="W83" s="368">
        <f>IFERROR(IF(W77="",0,W77),"0")+IFERROR(IF(W78="",0,W78),"0")+IFERROR(IF(W79="",0,W79),"0")+IFERROR(IF(W80="",0,W80),"0")+IFERROR(IF(W81="",0,W81),"0")+IFERROR(IF(W82="",0,W82),"0")</f>
        <v/>
      </c>
      <c r="X83" s="369" t="n"/>
      <c r="Y83" s="369" t="n"/>
    </row>
    <row r="84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366" t="n"/>
      <c r="M84" s="367" t="inlineStr">
        <is>
          <t>Итого</t>
        </is>
      </c>
      <c r="N84" s="337" t="n"/>
      <c r="O84" s="337" t="n"/>
      <c r="P84" s="337" t="n"/>
      <c r="Q84" s="337" t="n"/>
      <c r="R84" s="337" t="n"/>
      <c r="S84" s="338" t="n"/>
      <c r="T84" s="43" t="inlineStr">
        <is>
          <t>кг</t>
        </is>
      </c>
      <c r="U84" s="368">
        <f>IFERROR(SUMPRODUCT(U77:U82*H77:H82),"0")</f>
        <v/>
      </c>
      <c r="V84" s="368">
        <f>IFERROR(SUMPRODUCT(V77:V82*H77:H82),"0")</f>
        <v/>
      </c>
      <c r="W84" s="43" t="n"/>
      <c r="X84" s="369" t="n"/>
      <c r="Y84" s="369" t="n"/>
    </row>
    <row r="85" ht="16.5" customHeight="1">
      <c r="A85" s="176" t="inlineStr">
        <is>
          <t>Чебуреки</t>
        </is>
      </c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76" t="n"/>
      <c r="Y85" s="176" t="n"/>
    </row>
    <row r="86" ht="14.25" customHeight="1">
      <c r="A86" s="177" t="inlineStr">
        <is>
          <t>Чебуреки</t>
        </is>
      </c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77" t="n"/>
      <c r="Y86" s="177" t="n"/>
    </row>
    <row r="87" ht="27" customHeight="1">
      <c r="A87" s="64" t="inlineStr">
        <is>
          <t>SU002573</t>
        </is>
      </c>
      <c r="B87" s="64" t="inlineStr">
        <is>
          <t>P002893</t>
        </is>
      </c>
      <c r="C87" s="37" t="n">
        <v>4301136013</v>
      </c>
      <c r="D87" s="172" t="n">
        <v>4607025784012</v>
      </c>
      <c r="E87" s="329" t="n"/>
      <c r="F87" s="361" t="n">
        <v>0.09</v>
      </c>
      <c r="G87" s="38" t="n">
        <v>24</v>
      </c>
      <c r="H87" s="361" t="n">
        <v>2.16</v>
      </c>
      <c r="I87" s="361" t="n">
        <v>2.4912</v>
      </c>
      <c r="J87" s="38" t="n">
        <v>126</v>
      </c>
      <c r="K87" s="39" t="inlineStr">
        <is>
          <t>МГ</t>
        </is>
      </c>
      <c r="L87" s="38" t="n">
        <v>180</v>
      </c>
      <c r="M87" s="397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/>
      </c>
      <c r="N87" s="363" t="n"/>
      <c r="O87" s="363" t="n"/>
      <c r="P87" s="363" t="n"/>
      <c r="Q87" s="329" t="n"/>
      <c r="R87" s="40" t="inlineStr"/>
      <c r="S87" s="40" t="inlineStr"/>
      <c r="T87" s="41" t="inlineStr">
        <is>
          <t>кор</t>
        </is>
      </c>
      <c r="U87" s="364" t="n">
        <v>7</v>
      </c>
      <c r="V87" s="365">
        <f>IFERROR(IF(U87="","",U87),"")</f>
        <v/>
      </c>
      <c r="W87" s="42">
        <f>IFERROR(IF(U87="","",U87*0.00936),"")</f>
        <v/>
      </c>
      <c r="X87" s="69" t="inlineStr"/>
      <c r="Y87" s="70" t="inlineStr"/>
      <c r="AC87" s="103" t="inlineStr">
        <is>
          <t>ПГП</t>
        </is>
      </c>
    </row>
    <row r="88" ht="27" customHeight="1">
      <c r="A88" s="64" t="inlineStr">
        <is>
          <t>SU002558</t>
        </is>
      </c>
      <c r="B88" s="64" t="inlineStr">
        <is>
          <t>P002889</t>
        </is>
      </c>
      <c r="C88" s="37" t="n">
        <v>4301136012</v>
      </c>
      <c r="D88" s="172" t="n">
        <v>4607025784319</v>
      </c>
      <c r="E88" s="329" t="n"/>
      <c r="F88" s="361" t="n">
        <v>0.36</v>
      </c>
      <c r="G88" s="38" t="n">
        <v>10</v>
      </c>
      <c r="H88" s="361" t="n">
        <v>3.6</v>
      </c>
      <c r="I88" s="361" t="n">
        <v>4.244</v>
      </c>
      <c r="J88" s="38" t="n">
        <v>70</v>
      </c>
      <c r="K88" s="39" t="inlineStr">
        <is>
          <t>МГ</t>
        </is>
      </c>
      <c r="L88" s="38" t="n">
        <v>180</v>
      </c>
      <c r="M88" s="398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/>
      </c>
      <c r="N88" s="363" t="n"/>
      <c r="O88" s="363" t="n"/>
      <c r="P88" s="363" t="n"/>
      <c r="Q88" s="329" t="n"/>
      <c r="R88" s="40" t="inlineStr"/>
      <c r="S88" s="40" t="inlineStr"/>
      <c r="T88" s="41" t="inlineStr">
        <is>
          <t>кор</t>
        </is>
      </c>
      <c r="U88" s="364" t="n">
        <v>0</v>
      </c>
      <c r="V88" s="365">
        <f>IFERROR(IF(U88="","",U88),"")</f>
        <v/>
      </c>
      <c r="W88" s="42">
        <f>IFERROR(IF(U88="","",U88*0.01788),"")</f>
        <v/>
      </c>
      <c r="X88" s="69" t="inlineStr"/>
      <c r="Y88" s="70" t="inlineStr"/>
      <c r="AC88" s="104" t="inlineStr">
        <is>
          <t>ПГП</t>
        </is>
      </c>
    </row>
    <row r="89" ht="16.5" customHeight="1">
      <c r="A89" s="64" t="inlineStr">
        <is>
          <t>SU002570</t>
        </is>
      </c>
      <c r="B89" s="64" t="inlineStr">
        <is>
          <t>P002894</t>
        </is>
      </c>
      <c r="C89" s="37" t="n">
        <v>4301136014</v>
      </c>
      <c r="D89" s="172" t="n">
        <v>4607111035370</v>
      </c>
      <c r="E89" s="329" t="n"/>
      <c r="F89" s="361" t="n">
        <v>0.14</v>
      </c>
      <c r="G89" s="38" t="n">
        <v>22</v>
      </c>
      <c r="H89" s="361" t="n">
        <v>3.08</v>
      </c>
      <c r="I89" s="361" t="n">
        <v>3.464</v>
      </c>
      <c r="J89" s="38" t="n">
        <v>84</v>
      </c>
      <c r="K89" s="39" t="inlineStr">
        <is>
          <t>МГ</t>
        </is>
      </c>
      <c r="L89" s="38" t="n">
        <v>180</v>
      </c>
      <c r="M89" s="399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/>
      </c>
      <c r="N89" s="363" t="n"/>
      <c r="O89" s="363" t="n"/>
      <c r="P89" s="363" t="n"/>
      <c r="Q89" s="329" t="n"/>
      <c r="R89" s="40" t="inlineStr"/>
      <c r="S89" s="40" t="inlineStr"/>
      <c r="T89" s="41" t="inlineStr">
        <is>
          <t>кор</t>
        </is>
      </c>
      <c r="U89" s="364" t="n">
        <v>10</v>
      </c>
      <c r="V89" s="365">
        <f>IFERROR(IF(U89="","",U89),"")</f>
        <v/>
      </c>
      <c r="W89" s="42">
        <f>IFERROR(IF(U89="","",U89*0.0155),"")</f>
        <v/>
      </c>
      <c r="X89" s="69" t="inlineStr"/>
      <c r="Y89" s="70" t="inlineStr"/>
      <c r="AC89" s="105" t="inlineStr">
        <is>
          <t>ПГП</t>
        </is>
      </c>
    </row>
    <row r="90">
      <c r="A90" s="167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366" t="n"/>
      <c r="M90" s="367" t="inlineStr">
        <is>
          <t>Итого</t>
        </is>
      </c>
      <c r="N90" s="337" t="n"/>
      <c r="O90" s="337" t="n"/>
      <c r="P90" s="337" t="n"/>
      <c r="Q90" s="337" t="n"/>
      <c r="R90" s="337" t="n"/>
      <c r="S90" s="338" t="n"/>
      <c r="T90" s="43" t="inlineStr">
        <is>
          <t>кор</t>
        </is>
      </c>
      <c r="U90" s="368">
        <f>IFERROR(SUM(U87:U89),"0")</f>
        <v/>
      </c>
      <c r="V90" s="368">
        <f>IFERROR(SUM(V87:V89),"0")</f>
        <v/>
      </c>
      <c r="W90" s="368">
        <f>IFERROR(IF(W87="",0,W87),"0")+IFERROR(IF(W88="",0,W88),"0")+IFERROR(IF(W89="",0,W89),"0")</f>
        <v/>
      </c>
      <c r="X90" s="369" t="n"/>
      <c r="Y90" s="369" t="n"/>
    </row>
    <row r="91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366" t="n"/>
      <c r="M91" s="367" t="inlineStr">
        <is>
          <t>Итого</t>
        </is>
      </c>
      <c r="N91" s="337" t="n"/>
      <c r="O91" s="337" t="n"/>
      <c r="P91" s="337" t="n"/>
      <c r="Q91" s="337" t="n"/>
      <c r="R91" s="337" t="n"/>
      <c r="S91" s="338" t="n"/>
      <c r="T91" s="43" t="inlineStr">
        <is>
          <t>кг</t>
        </is>
      </c>
      <c r="U91" s="368">
        <f>IFERROR(SUMPRODUCT(U87:U89*H87:H89),"0")</f>
        <v/>
      </c>
      <c r="V91" s="368">
        <f>IFERROR(SUMPRODUCT(V87:V89*H87:H89),"0")</f>
        <v/>
      </c>
      <c r="W91" s="43" t="n"/>
      <c r="X91" s="369" t="n"/>
      <c r="Y91" s="369" t="n"/>
    </row>
    <row r="92" ht="16.5" customHeight="1">
      <c r="A92" s="176" t="inlineStr">
        <is>
          <t>Бульмени ГШ</t>
        </is>
      </c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76" t="n"/>
      <c r="Y92" s="176" t="n"/>
    </row>
    <row r="93" ht="14.25" customHeight="1">
      <c r="A93" s="177" t="inlineStr">
        <is>
          <t>Пельмени</t>
        </is>
      </c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77" t="n"/>
      <c r="Y93" s="177" t="n"/>
    </row>
    <row r="94" ht="27" customHeight="1">
      <c r="A94" s="64" t="inlineStr">
        <is>
          <t>SU002626</t>
        </is>
      </c>
      <c r="B94" s="64" t="inlineStr">
        <is>
          <t>P002959</t>
        </is>
      </c>
      <c r="C94" s="37" t="n">
        <v>4301070906</v>
      </c>
      <c r="D94" s="172" t="n">
        <v>4607111033970</v>
      </c>
      <c r="E94" s="329" t="n"/>
      <c r="F94" s="361" t="n">
        <v>0.43</v>
      </c>
      <c r="G94" s="38" t="n">
        <v>16</v>
      </c>
      <c r="H94" s="361" t="n">
        <v>6.88</v>
      </c>
      <c r="I94" s="361" t="n">
        <v>7.1996</v>
      </c>
      <c r="J94" s="38" t="n">
        <v>84</v>
      </c>
      <c r="K94" s="39" t="inlineStr">
        <is>
          <t>МГ</t>
        </is>
      </c>
      <c r="L94" s="38" t="n">
        <v>150</v>
      </c>
      <c r="M94" s="400">
        <f>HYPERLINK("https://abi.ru/products/Замороженные/Горячая штучка/Бульмени ГШ/Пельмени/P002959/","Пельмени Бульмени с говядиной и свининой Бульмени ГШ 0,43 Сфера Горячая штучка")</f>
        <v/>
      </c>
      <c r="N94" s="363" t="n"/>
      <c r="O94" s="363" t="n"/>
      <c r="P94" s="363" t="n"/>
      <c r="Q94" s="329" t="n"/>
      <c r="R94" s="40" t="inlineStr"/>
      <c r="S94" s="40" t="inlineStr"/>
      <c r="T94" s="41" t="inlineStr">
        <is>
          <t>кор</t>
        </is>
      </c>
      <c r="U94" s="364" t="n">
        <v>5</v>
      </c>
      <c r="V94" s="365">
        <f>IFERROR(IF(U94="","",U94),"")</f>
        <v/>
      </c>
      <c r="W94" s="42">
        <f>IFERROR(IF(U94="","",U94*0.0155),"")</f>
        <v/>
      </c>
      <c r="X94" s="69" t="inlineStr"/>
      <c r="Y94" s="70" t="inlineStr"/>
      <c r="AC94" s="106" t="inlineStr">
        <is>
          <t>ЗПФ</t>
        </is>
      </c>
    </row>
    <row r="95" ht="27" customHeight="1">
      <c r="A95" s="64" t="inlineStr">
        <is>
          <t>SU002627</t>
        </is>
      </c>
      <c r="B95" s="64" t="inlineStr">
        <is>
          <t>P002960</t>
        </is>
      </c>
      <c r="C95" s="37" t="n">
        <v>4301070907</v>
      </c>
      <c r="D95" s="172" t="n">
        <v>4607111034144</v>
      </c>
      <c r="E95" s="329" t="n"/>
      <c r="F95" s="361" t="n">
        <v>0.9</v>
      </c>
      <c r="G95" s="38" t="n">
        <v>8</v>
      </c>
      <c r="H95" s="361" t="n">
        <v>7.2</v>
      </c>
      <c r="I95" s="361" t="n">
        <v>7.486</v>
      </c>
      <c r="J95" s="38" t="n">
        <v>84</v>
      </c>
      <c r="K95" s="39" t="inlineStr">
        <is>
          <t>МГ</t>
        </is>
      </c>
      <c r="L95" s="38" t="n">
        <v>150</v>
      </c>
      <c r="M95" s="401">
        <f>HYPERLINK("https://abi.ru/products/Замороженные/Горячая штучка/Бульмени ГШ/Пельмени/P002960/","Пельмени Бульмени с говядиной и свининой Бульмени ГШ 0,9 Сфера Горячая штучка")</f>
        <v/>
      </c>
      <c r="N95" s="363" t="n"/>
      <c r="O95" s="363" t="n"/>
      <c r="P95" s="363" t="n"/>
      <c r="Q95" s="329" t="n"/>
      <c r="R95" s="40" t="inlineStr"/>
      <c r="S95" s="40" t="inlineStr"/>
      <c r="T95" s="41" t="inlineStr">
        <is>
          <t>кор</t>
        </is>
      </c>
      <c r="U95" s="364" t="n">
        <v>17</v>
      </c>
      <c r="V95" s="365">
        <f>IFERROR(IF(U95="","",U95),"")</f>
        <v/>
      </c>
      <c r="W95" s="42">
        <f>IFERROR(IF(U95="","",U95*0.0155),"")</f>
        <v/>
      </c>
      <c r="X95" s="69" t="inlineStr"/>
      <c r="Y95" s="70" t="inlineStr"/>
      <c r="AC95" s="107" t="inlineStr">
        <is>
          <t>ЗПФ</t>
        </is>
      </c>
    </row>
    <row r="96" ht="27" customHeight="1">
      <c r="A96" s="64" t="inlineStr">
        <is>
          <t>SU002622</t>
        </is>
      </c>
      <c r="B96" s="64" t="inlineStr">
        <is>
          <t>P002956</t>
        </is>
      </c>
      <c r="C96" s="37" t="n">
        <v>4301070904</v>
      </c>
      <c r="D96" s="172" t="n">
        <v>4607111033987</v>
      </c>
      <c r="E96" s="329" t="n"/>
      <c r="F96" s="361" t="n">
        <v>0.43</v>
      </c>
      <c r="G96" s="38" t="n">
        <v>16</v>
      </c>
      <c r="H96" s="361" t="n">
        <v>6.88</v>
      </c>
      <c r="I96" s="361" t="n">
        <v>7.1996</v>
      </c>
      <c r="J96" s="38" t="n">
        <v>84</v>
      </c>
      <c r="K96" s="39" t="inlineStr">
        <is>
          <t>МГ</t>
        </is>
      </c>
      <c r="L96" s="38" t="n">
        <v>150</v>
      </c>
      <c r="M96" s="402">
        <f>HYPERLINK("https://abi.ru/products/Замороженные/Горячая штучка/Бульмени ГШ/Пельмени/P002956/","Пельмени Бульмени со сливочным маслом Бульмени ГШ 0,43 Сфера Горячая штучка")</f>
        <v/>
      </c>
      <c r="N96" s="363" t="n"/>
      <c r="O96" s="363" t="n"/>
      <c r="P96" s="363" t="n"/>
      <c r="Q96" s="329" t="n"/>
      <c r="R96" s="40" t="inlineStr"/>
      <c r="S96" s="40" t="inlineStr"/>
      <c r="T96" s="41" t="inlineStr">
        <is>
          <t>кор</t>
        </is>
      </c>
      <c r="U96" s="364" t="n">
        <v>2</v>
      </c>
      <c r="V96" s="365">
        <f>IFERROR(IF(U96="","",U96),"")</f>
        <v/>
      </c>
      <c r="W96" s="42">
        <f>IFERROR(IF(U96="","",U96*0.0155),"")</f>
        <v/>
      </c>
      <c r="X96" s="69" t="inlineStr"/>
      <c r="Y96" s="70" t="inlineStr"/>
      <c r="AC96" s="108" t="inlineStr">
        <is>
          <t>ЗПФ</t>
        </is>
      </c>
    </row>
    <row r="97" ht="27" customHeight="1">
      <c r="A97" s="64" t="inlineStr">
        <is>
          <t>SU002623</t>
        </is>
      </c>
      <c r="B97" s="64" t="inlineStr">
        <is>
          <t>P002957</t>
        </is>
      </c>
      <c r="C97" s="37" t="n">
        <v>4301070905</v>
      </c>
      <c r="D97" s="172" t="n">
        <v>4607111034151</v>
      </c>
      <c r="E97" s="329" t="n"/>
      <c r="F97" s="361" t="n">
        <v>0.9</v>
      </c>
      <c r="G97" s="38" t="n">
        <v>8</v>
      </c>
      <c r="H97" s="361" t="n">
        <v>7.2</v>
      </c>
      <c r="I97" s="361" t="n">
        <v>7.486</v>
      </c>
      <c r="J97" s="38" t="n">
        <v>84</v>
      </c>
      <c r="K97" s="39" t="inlineStr">
        <is>
          <t>МГ</t>
        </is>
      </c>
      <c r="L97" s="38" t="n">
        <v>150</v>
      </c>
      <c r="M97" s="403">
        <f>HYPERLINK("https://abi.ru/products/Замороженные/Горячая штучка/Бульмени ГШ/Пельмени/P002957/","Пельмени Бульмени со сливочным маслом Бульмени ГШ 0,9 Сфера Горячая штучка")</f>
        <v/>
      </c>
      <c r="N97" s="363" t="n"/>
      <c r="O97" s="363" t="n"/>
      <c r="P97" s="363" t="n"/>
      <c r="Q97" s="329" t="n"/>
      <c r="R97" s="40" t="inlineStr"/>
      <c r="S97" s="40" t="inlineStr"/>
      <c r="T97" s="41" t="inlineStr">
        <is>
          <t>кор</t>
        </is>
      </c>
      <c r="U97" s="364" t="n">
        <v>30</v>
      </c>
      <c r="V97" s="365">
        <f>IFERROR(IF(U97="","",U97),"")</f>
        <v/>
      </c>
      <c r="W97" s="42">
        <f>IFERROR(IF(U97="","",U97*0.0155),"")</f>
        <v/>
      </c>
      <c r="X97" s="69" t="inlineStr"/>
      <c r="Y97" s="70" t="inlineStr"/>
      <c r="AC97" s="109" t="inlineStr">
        <is>
          <t>ЗПФ</t>
        </is>
      </c>
    </row>
    <row r="98">
      <c r="A98" s="167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366" t="n"/>
      <c r="M98" s="367" t="inlineStr">
        <is>
          <t>Итого</t>
        </is>
      </c>
      <c r="N98" s="337" t="n"/>
      <c r="O98" s="337" t="n"/>
      <c r="P98" s="337" t="n"/>
      <c r="Q98" s="337" t="n"/>
      <c r="R98" s="337" t="n"/>
      <c r="S98" s="338" t="n"/>
      <c r="T98" s="43" t="inlineStr">
        <is>
          <t>кор</t>
        </is>
      </c>
      <c r="U98" s="368">
        <f>IFERROR(SUM(U94:U97),"0")</f>
        <v/>
      </c>
      <c r="V98" s="368">
        <f>IFERROR(SUM(V94:V97),"0")</f>
        <v/>
      </c>
      <c r="W98" s="368">
        <f>IFERROR(IF(W94="",0,W94),"0")+IFERROR(IF(W95="",0,W95),"0")+IFERROR(IF(W96="",0,W96),"0")+IFERROR(IF(W97="",0,W97),"0")</f>
        <v/>
      </c>
      <c r="X98" s="369" t="n"/>
      <c r="Y98" s="369" t="n"/>
    </row>
    <row r="99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366" t="n"/>
      <c r="M99" s="367" t="inlineStr">
        <is>
          <t>Итого</t>
        </is>
      </c>
      <c r="N99" s="337" t="n"/>
      <c r="O99" s="337" t="n"/>
      <c r="P99" s="337" t="n"/>
      <c r="Q99" s="337" t="n"/>
      <c r="R99" s="337" t="n"/>
      <c r="S99" s="338" t="n"/>
      <c r="T99" s="43" t="inlineStr">
        <is>
          <t>кг</t>
        </is>
      </c>
      <c r="U99" s="368">
        <f>IFERROR(SUMPRODUCT(U94:U97*H94:H97),"0")</f>
        <v/>
      </c>
      <c r="V99" s="368">
        <f>IFERROR(SUMPRODUCT(V94:V97*H94:H97),"0")</f>
        <v/>
      </c>
      <c r="W99" s="43" t="n"/>
      <c r="X99" s="369" t="n"/>
      <c r="Y99" s="369" t="n"/>
    </row>
    <row r="100" ht="16.5" customHeight="1">
      <c r="A100" s="176" t="inlineStr">
        <is>
          <t>Чебупицца</t>
        </is>
      </c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76" t="n"/>
      <c r="Y100" s="176" t="n"/>
    </row>
    <row r="101" ht="14.25" customHeight="1">
      <c r="A101" s="177" t="inlineStr">
        <is>
          <t>Снеки</t>
        </is>
      </c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77" t="n"/>
      <c r="Y101" s="177" t="n"/>
    </row>
    <row r="102" ht="27" customHeight="1">
      <c r="A102" s="64" t="inlineStr">
        <is>
          <t>SU002562</t>
        </is>
      </c>
      <c r="B102" s="64" t="inlineStr">
        <is>
          <t>P003286</t>
        </is>
      </c>
      <c r="C102" s="37" t="n">
        <v>4301135162</v>
      </c>
      <c r="D102" s="172" t="n">
        <v>4607111034014</v>
      </c>
      <c r="E102" s="329" t="n"/>
      <c r="F102" s="361" t="n">
        <v>0.25</v>
      </c>
      <c r="G102" s="38" t="n">
        <v>12</v>
      </c>
      <c r="H102" s="361" t="n">
        <v>3</v>
      </c>
      <c r="I102" s="361" t="n">
        <v>3.7036</v>
      </c>
      <c r="J102" s="38" t="n">
        <v>70</v>
      </c>
      <c r="K102" s="39" t="inlineStr">
        <is>
          <t>МГ</t>
        </is>
      </c>
      <c r="L102" s="38" t="n">
        <v>180</v>
      </c>
      <c r="M102" s="404" t="inlineStr">
        <is>
          <t>"Чебупицца курочка По-итальянски" Фикс.вес 0,25 Лоток ТМ "Горячая штучка"</t>
        </is>
      </c>
      <c r="N102" s="363" t="n"/>
      <c r="O102" s="363" t="n"/>
      <c r="P102" s="363" t="n"/>
      <c r="Q102" s="329" t="n"/>
      <c r="R102" s="40" t="inlineStr"/>
      <c r="S102" s="40" t="inlineStr"/>
      <c r="T102" s="41" t="inlineStr">
        <is>
          <t>кор</t>
        </is>
      </c>
      <c r="U102" s="364" t="n">
        <v>0</v>
      </c>
      <c r="V102" s="365">
        <f>IFERROR(IF(U102="","",U102),"")</f>
        <v/>
      </c>
      <c r="W102" s="42">
        <f>IFERROR(IF(U102="","",U102*0.01788),"")</f>
        <v/>
      </c>
      <c r="X102" s="69" t="inlineStr"/>
      <c r="Y102" s="70" t="inlineStr"/>
      <c r="AC102" s="110" t="inlineStr">
        <is>
          <t>ПГП</t>
        </is>
      </c>
    </row>
    <row r="103" ht="27" customHeight="1">
      <c r="A103" s="64" t="inlineStr">
        <is>
          <t>SU002561</t>
        </is>
      </c>
      <c r="B103" s="64" t="inlineStr">
        <is>
          <t>P002884</t>
        </is>
      </c>
      <c r="C103" s="37" t="n">
        <v>4301135117</v>
      </c>
      <c r="D103" s="172" t="n">
        <v>4607111033994</v>
      </c>
      <c r="E103" s="329" t="n"/>
      <c r="F103" s="361" t="n">
        <v>0.25</v>
      </c>
      <c r="G103" s="38" t="n">
        <v>12</v>
      </c>
      <c r="H103" s="361" t="n">
        <v>3</v>
      </c>
      <c r="I103" s="361" t="n">
        <v>3.7036</v>
      </c>
      <c r="J103" s="38" t="n">
        <v>70</v>
      </c>
      <c r="K103" s="39" t="inlineStr">
        <is>
          <t>МГ</t>
        </is>
      </c>
      <c r="L103" s="38" t="n">
        <v>180</v>
      </c>
      <c r="M103" s="405">
        <f>HYPERLINK("https://abi.ru/products/Замороженные/Горячая штучка/Чебупицца/Снеки/P002884/","Чебупицца Пепперони Чебупицца Фикс.вес 0,25 Лоток Горячая штучка")</f>
        <v/>
      </c>
      <c r="N103" s="363" t="n"/>
      <c r="O103" s="363" t="n"/>
      <c r="P103" s="363" t="n"/>
      <c r="Q103" s="329" t="n"/>
      <c r="R103" s="40" t="inlineStr"/>
      <c r="S103" s="40" t="inlineStr"/>
      <c r="T103" s="41" t="inlineStr">
        <is>
          <t>кор</t>
        </is>
      </c>
      <c r="U103" s="364" t="n">
        <v>0</v>
      </c>
      <c r="V103" s="365">
        <f>IFERROR(IF(U103="","",U103),"")</f>
        <v/>
      </c>
      <c r="W103" s="42">
        <f>IFERROR(IF(U103="","",U103*0.01788),"")</f>
        <v/>
      </c>
      <c r="X103" s="69" t="inlineStr"/>
      <c r="Y103" s="70" t="inlineStr"/>
      <c r="AC103" s="111" t="inlineStr">
        <is>
          <t>ПГП</t>
        </is>
      </c>
    </row>
    <row r="104">
      <c r="A104" s="167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366" t="n"/>
      <c r="M104" s="367" t="inlineStr">
        <is>
          <t>Итого</t>
        </is>
      </c>
      <c r="N104" s="337" t="n"/>
      <c r="O104" s="337" t="n"/>
      <c r="P104" s="337" t="n"/>
      <c r="Q104" s="337" t="n"/>
      <c r="R104" s="337" t="n"/>
      <c r="S104" s="338" t="n"/>
      <c r="T104" s="43" t="inlineStr">
        <is>
          <t>кор</t>
        </is>
      </c>
      <c r="U104" s="368">
        <f>IFERROR(SUM(U102:U103),"0")</f>
        <v/>
      </c>
      <c r="V104" s="368">
        <f>IFERROR(SUM(V102:V103),"0")</f>
        <v/>
      </c>
      <c r="W104" s="368">
        <f>IFERROR(IF(W102="",0,W102),"0")+IFERROR(IF(W103="",0,W103),"0")</f>
        <v/>
      </c>
      <c r="X104" s="369" t="n"/>
      <c r="Y104" s="369" t="n"/>
    </row>
    <row r="105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366" t="n"/>
      <c r="M105" s="367" t="inlineStr">
        <is>
          <t>Итого</t>
        </is>
      </c>
      <c r="N105" s="337" t="n"/>
      <c r="O105" s="337" t="n"/>
      <c r="P105" s="337" t="n"/>
      <c r="Q105" s="337" t="n"/>
      <c r="R105" s="337" t="n"/>
      <c r="S105" s="338" t="n"/>
      <c r="T105" s="43" t="inlineStr">
        <is>
          <t>кг</t>
        </is>
      </c>
      <c r="U105" s="368">
        <f>IFERROR(SUMPRODUCT(U102:U103*H102:H103),"0")</f>
        <v/>
      </c>
      <c r="V105" s="368">
        <f>IFERROR(SUMPRODUCT(V102:V103*H102:H103),"0")</f>
        <v/>
      </c>
      <c r="W105" s="43" t="n"/>
      <c r="X105" s="369" t="n"/>
      <c r="Y105" s="369" t="n"/>
    </row>
    <row r="106" ht="16.5" customHeight="1">
      <c r="A106" s="176" t="inlineStr">
        <is>
          <t>Хотстеры</t>
        </is>
      </c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76" t="n"/>
      <c r="Y106" s="176" t="n"/>
    </row>
    <row r="107" ht="14.25" customHeight="1">
      <c r="A107" s="177" t="inlineStr">
        <is>
          <t>Снеки</t>
        </is>
      </c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77" t="n"/>
      <c r="Y107" s="177" t="n"/>
    </row>
    <row r="108" ht="16.5" customHeight="1">
      <c r="A108" s="64" t="inlineStr">
        <is>
          <t>SU002565</t>
        </is>
      </c>
      <c r="B108" s="64" t="inlineStr">
        <is>
          <t>P002877</t>
        </is>
      </c>
      <c r="C108" s="37" t="n">
        <v>4301135112</v>
      </c>
      <c r="D108" s="172" t="n">
        <v>4607111034199</v>
      </c>
      <c r="E108" s="329" t="n"/>
      <c r="F108" s="361" t="n">
        <v>0.25</v>
      </c>
      <c r="G108" s="38" t="n">
        <v>12</v>
      </c>
      <c r="H108" s="361" t="n">
        <v>3</v>
      </c>
      <c r="I108" s="361" t="n">
        <v>3.7036</v>
      </c>
      <c r="J108" s="38" t="n">
        <v>70</v>
      </c>
      <c r="K108" s="39" t="inlineStr">
        <is>
          <t>МГ</t>
        </is>
      </c>
      <c r="L108" s="38" t="n">
        <v>180</v>
      </c>
      <c r="M108" s="406">
        <f>HYPERLINK("https://abi.ru/products/Замороженные/Горячая штучка/Хотстеры/Снеки/P002877/","Хотстеры Хотстеры Фикс.вес 0,25 Лоток Горячая штучка")</f>
        <v/>
      </c>
      <c r="N108" s="363" t="n"/>
      <c r="O108" s="363" t="n"/>
      <c r="P108" s="363" t="n"/>
      <c r="Q108" s="329" t="n"/>
      <c r="R108" s="40" t="inlineStr"/>
      <c r="S108" s="40" t="inlineStr"/>
      <c r="T108" s="41" t="inlineStr">
        <is>
          <t>кор</t>
        </is>
      </c>
      <c r="U108" s="364" t="n">
        <v>0</v>
      </c>
      <c r="V108" s="365">
        <f>IFERROR(IF(U108="","",U108),"")</f>
        <v/>
      </c>
      <c r="W108" s="42">
        <f>IFERROR(IF(U108="","",U108*0.01788),"")</f>
        <v/>
      </c>
      <c r="X108" s="69" t="inlineStr"/>
      <c r="Y108" s="70" t="inlineStr"/>
      <c r="AC108" s="112" t="inlineStr">
        <is>
          <t>ПГП</t>
        </is>
      </c>
    </row>
    <row r="109">
      <c r="A109" s="167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366" t="n"/>
      <c r="M109" s="367" t="inlineStr">
        <is>
          <t>Итого</t>
        </is>
      </c>
      <c r="N109" s="337" t="n"/>
      <c r="O109" s="337" t="n"/>
      <c r="P109" s="337" t="n"/>
      <c r="Q109" s="337" t="n"/>
      <c r="R109" s="337" t="n"/>
      <c r="S109" s="338" t="n"/>
      <c r="T109" s="43" t="inlineStr">
        <is>
          <t>кор</t>
        </is>
      </c>
      <c r="U109" s="368">
        <f>IFERROR(SUM(U108:U108),"0")</f>
        <v/>
      </c>
      <c r="V109" s="368">
        <f>IFERROR(SUM(V108:V108),"0")</f>
        <v/>
      </c>
      <c r="W109" s="368">
        <f>IFERROR(IF(W108="",0,W108),"0")</f>
        <v/>
      </c>
      <c r="X109" s="369" t="n"/>
      <c r="Y109" s="369" t="n"/>
    </row>
    <row r="110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366" t="n"/>
      <c r="M110" s="367" t="inlineStr">
        <is>
          <t>Итого</t>
        </is>
      </c>
      <c r="N110" s="337" t="n"/>
      <c r="O110" s="337" t="n"/>
      <c r="P110" s="337" t="n"/>
      <c r="Q110" s="337" t="n"/>
      <c r="R110" s="337" t="n"/>
      <c r="S110" s="338" t="n"/>
      <c r="T110" s="43" t="inlineStr">
        <is>
          <t>кг</t>
        </is>
      </c>
      <c r="U110" s="368">
        <f>IFERROR(SUMPRODUCT(U108:U108*H108:H108),"0")</f>
        <v/>
      </c>
      <c r="V110" s="368">
        <f>IFERROR(SUMPRODUCT(V108:V108*H108:H108),"0")</f>
        <v/>
      </c>
      <c r="W110" s="43" t="n"/>
      <c r="X110" s="369" t="n"/>
      <c r="Y110" s="369" t="n"/>
    </row>
    <row r="111" ht="16.5" customHeight="1">
      <c r="A111" s="176" t="inlineStr">
        <is>
          <t>Круггетсы</t>
        </is>
      </c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76" t="n"/>
      <c r="Y111" s="176" t="n"/>
    </row>
    <row r="112" ht="14.25" customHeight="1">
      <c r="A112" s="177" t="inlineStr">
        <is>
          <t>Снеки</t>
        </is>
      </c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77" t="n"/>
      <c r="Y112" s="177" t="n"/>
    </row>
    <row r="113" ht="27" customHeight="1">
      <c r="A113" s="64" t="inlineStr">
        <is>
          <t>SU001950</t>
        </is>
      </c>
      <c r="B113" s="64" t="inlineStr">
        <is>
          <t>P001982</t>
        </is>
      </c>
      <c r="C113" s="37" t="n">
        <v>4301130006</v>
      </c>
      <c r="D113" s="172" t="n">
        <v>4607111034670</v>
      </c>
      <c r="E113" s="329" t="n"/>
      <c r="F113" s="361" t="n">
        <v>3</v>
      </c>
      <c r="G113" s="38" t="n">
        <v>1</v>
      </c>
      <c r="H113" s="361" t="n">
        <v>3</v>
      </c>
      <c r="I113" s="361" t="n">
        <v>3.195</v>
      </c>
      <c r="J113" s="38" t="n">
        <v>126</v>
      </c>
      <c r="K113" s="39" t="inlineStr">
        <is>
          <t>МГ</t>
        </is>
      </c>
      <c r="L113" s="38" t="n">
        <v>180</v>
      </c>
      <c r="M113" s="407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/>
      </c>
      <c r="N113" s="363" t="n"/>
      <c r="O113" s="363" t="n"/>
      <c r="P113" s="363" t="n"/>
      <c r="Q113" s="329" t="n"/>
      <c r="R113" s="40" t="inlineStr"/>
      <c r="S113" s="40" t="inlineStr"/>
      <c r="T113" s="41" t="inlineStr">
        <is>
          <t>кор</t>
        </is>
      </c>
      <c r="U113" s="364" t="n">
        <v>0</v>
      </c>
      <c r="V113" s="365">
        <f>IFERROR(IF(U113="","",U113),"")</f>
        <v/>
      </c>
      <c r="W113" s="42">
        <f>IFERROR(IF(U113="","",U113*0.00936),"")</f>
        <v/>
      </c>
      <c r="X113" s="69" t="inlineStr">
        <is>
          <t>ВЕСОВОЙ ФОРМАТ</t>
        </is>
      </c>
      <c r="Y113" s="70" t="inlineStr"/>
      <c r="AC113" s="113" t="inlineStr">
        <is>
          <t>ПГП</t>
        </is>
      </c>
    </row>
    <row r="114" ht="27" customHeight="1">
      <c r="A114" s="64" t="inlineStr">
        <is>
          <t>SU001949</t>
        </is>
      </c>
      <c r="B114" s="64" t="inlineStr">
        <is>
          <t>P001980</t>
        </is>
      </c>
      <c r="C114" s="37" t="n">
        <v>4301130003</v>
      </c>
      <c r="D114" s="172" t="n">
        <v>4607111034687</v>
      </c>
      <c r="E114" s="329" t="n"/>
      <c r="F114" s="361" t="n">
        <v>3</v>
      </c>
      <c r="G114" s="38" t="n">
        <v>1</v>
      </c>
      <c r="H114" s="361" t="n">
        <v>3</v>
      </c>
      <c r="I114" s="361" t="n">
        <v>3.195</v>
      </c>
      <c r="J114" s="38" t="n">
        <v>126</v>
      </c>
      <c r="K114" s="39" t="inlineStr">
        <is>
          <t>МГ</t>
        </is>
      </c>
      <c r="L114" s="38" t="n">
        <v>180</v>
      </c>
      <c r="M114" s="408" t="inlineStr">
        <is>
          <t>Круггетсы сочные Хорека Весовые Пакет 3 кг Горячая штучка</t>
        </is>
      </c>
      <c r="N114" s="363" t="n"/>
      <c r="O114" s="363" t="n"/>
      <c r="P114" s="363" t="n"/>
      <c r="Q114" s="329" t="n"/>
      <c r="R114" s="40" t="inlineStr"/>
      <c r="S114" s="40" t="inlineStr"/>
      <c r="T114" s="41" t="inlineStr">
        <is>
          <t>кор</t>
        </is>
      </c>
      <c r="U114" s="364" t="n">
        <v>0</v>
      </c>
      <c r="V114" s="365">
        <f>IFERROR(IF(U114="","",U114),"")</f>
        <v/>
      </c>
      <c r="W114" s="42">
        <f>IFERROR(IF(U114="","",U114*0.00936),"")</f>
        <v/>
      </c>
      <c r="X114" s="69" t="inlineStr">
        <is>
          <t>ВЕСОВОЙ ФОРМАТ</t>
        </is>
      </c>
      <c r="Y114" s="70" t="inlineStr"/>
      <c r="AC114" s="114" t="inlineStr">
        <is>
          <t>ПГП</t>
        </is>
      </c>
    </row>
    <row r="115" ht="27" customHeight="1">
      <c r="A115" s="64" t="inlineStr">
        <is>
          <t>SU002566</t>
        </is>
      </c>
      <c r="B115" s="64" t="inlineStr">
        <is>
          <t>P002880</t>
        </is>
      </c>
      <c r="C115" s="37" t="n">
        <v>4301135115</v>
      </c>
      <c r="D115" s="172" t="n">
        <v>4607111034380</v>
      </c>
      <c r="E115" s="329" t="n"/>
      <c r="F115" s="361" t="n">
        <v>0.25</v>
      </c>
      <c r="G115" s="38" t="n">
        <v>12</v>
      </c>
      <c r="H115" s="361" t="n">
        <v>3</v>
      </c>
      <c r="I115" s="361" t="n">
        <v>3.7036</v>
      </c>
      <c r="J115" s="38" t="n">
        <v>70</v>
      </c>
      <c r="K115" s="39" t="inlineStr">
        <is>
          <t>МГ</t>
        </is>
      </c>
      <c r="L115" s="38" t="n">
        <v>180</v>
      </c>
      <c r="M115" s="409" t="inlineStr">
        <is>
          <t>"Круггетсы с сырным соусом" Фикс.вес 0,25 Лоток ТМ "Горячая штучка"</t>
        </is>
      </c>
      <c r="N115" s="363" t="n"/>
      <c r="O115" s="363" t="n"/>
      <c r="P115" s="363" t="n"/>
      <c r="Q115" s="329" t="n"/>
      <c r="R115" s="40" t="inlineStr"/>
      <c r="S115" s="40" t="inlineStr"/>
      <c r="T115" s="41" t="inlineStr">
        <is>
          <t>кор</t>
        </is>
      </c>
      <c r="U115" s="364" t="n">
        <v>0</v>
      </c>
      <c r="V115" s="365">
        <f>IFERROR(IF(U115="","",U115),"")</f>
        <v/>
      </c>
      <c r="W115" s="42">
        <f>IFERROR(IF(U115="","",U115*0.01788),"")</f>
        <v/>
      </c>
      <c r="X115" s="69" t="inlineStr"/>
      <c r="Y115" s="70" t="inlineStr"/>
      <c r="AC115" s="115" t="inlineStr">
        <is>
          <t>ПГП</t>
        </is>
      </c>
    </row>
    <row r="116" ht="27" customHeight="1">
      <c r="A116" s="64" t="inlineStr">
        <is>
          <t>SU000195</t>
        </is>
      </c>
      <c r="B116" s="64" t="inlineStr">
        <is>
          <t>P000195</t>
        </is>
      </c>
      <c r="C116" s="37" t="n">
        <v>4301130446</v>
      </c>
      <c r="D116" s="172" t="n">
        <v>4607111034397</v>
      </c>
      <c r="E116" s="329" t="n"/>
      <c r="F116" s="361" t="n">
        <v>0.25</v>
      </c>
      <c r="G116" s="38" t="n">
        <v>12</v>
      </c>
      <c r="H116" s="361" t="n">
        <v>3</v>
      </c>
      <c r="I116" s="361" t="n">
        <v>3.7036</v>
      </c>
      <c r="J116" s="38" t="n">
        <v>70</v>
      </c>
      <c r="K116" s="39" t="inlineStr">
        <is>
          <t>МГ</t>
        </is>
      </c>
      <c r="L116" s="38" t="n">
        <v>180</v>
      </c>
      <c r="M116" s="410">
        <f>HYPERLINK("https://abi.ru/products/Замороженные/Горячая штучка/Круггетсы/Снеки/P000195/","Круггетсы Сочные Круггетсы Фикс.вес 0,25 Лоток Горячая штучка")</f>
        <v/>
      </c>
      <c r="N116" s="363" t="n"/>
      <c r="O116" s="363" t="n"/>
      <c r="P116" s="363" t="n"/>
      <c r="Q116" s="329" t="n"/>
      <c r="R116" s="40" t="inlineStr"/>
      <c r="S116" s="40" t="inlineStr"/>
      <c r="T116" s="41" t="inlineStr">
        <is>
          <t>кор</t>
        </is>
      </c>
      <c r="U116" s="364" t="n">
        <v>2</v>
      </c>
      <c r="V116" s="365">
        <f>IFERROR(IF(U116="","",U116),"")</f>
        <v/>
      </c>
      <c r="W116" s="42">
        <f>IFERROR(IF(U116="","",U116*0.01788),"")</f>
        <v/>
      </c>
      <c r="X116" s="69" t="inlineStr"/>
      <c r="Y116" s="70" t="inlineStr"/>
      <c r="AC116" s="116" t="inlineStr">
        <is>
          <t>ПГП</t>
        </is>
      </c>
    </row>
    <row r="117">
      <c r="A117" s="167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366" t="n"/>
      <c r="M117" s="367" t="inlineStr">
        <is>
          <t>Итого</t>
        </is>
      </c>
      <c r="N117" s="337" t="n"/>
      <c r="O117" s="337" t="n"/>
      <c r="P117" s="337" t="n"/>
      <c r="Q117" s="337" t="n"/>
      <c r="R117" s="337" t="n"/>
      <c r="S117" s="338" t="n"/>
      <c r="T117" s="43" t="inlineStr">
        <is>
          <t>кор</t>
        </is>
      </c>
      <c r="U117" s="368">
        <f>IFERROR(SUM(U113:U116),"0")</f>
        <v/>
      </c>
      <c r="V117" s="368">
        <f>IFERROR(SUM(V113:V116),"0")</f>
        <v/>
      </c>
      <c r="W117" s="368">
        <f>IFERROR(IF(W113="",0,W113),"0")+IFERROR(IF(W114="",0,W114),"0")+IFERROR(IF(W115="",0,W115),"0")+IFERROR(IF(W116="",0,W116),"0")</f>
        <v/>
      </c>
      <c r="X117" s="369" t="n"/>
      <c r="Y117" s="369" t="n"/>
    </row>
    <row r="11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366" t="n"/>
      <c r="M118" s="367" t="inlineStr">
        <is>
          <t>Итого</t>
        </is>
      </c>
      <c r="N118" s="337" t="n"/>
      <c r="O118" s="337" t="n"/>
      <c r="P118" s="337" t="n"/>
      <c r="Q118" s="337" t="n"/>
      <c r="R118" s="337" t="n"/>
      <c r="S118" s="338" t="n"/>
      <c r="T118" s="43" t="inlineStr">
        <is>
          <t>кг</t>
        </is>
      </c>
      <c r="U118" s="368">
        <f>IFERROR(SUMPRODUCT(U113:U116*H113:H116),"0")</f>
        <v/>
      </c>
      <c r="V118" s="368">
        <f>IFERROR(SUMPRODUCT(V113:V116*H113:H116),"0")</f>
        <v/>
      </c>
      <c r="W118" s="43" t="n"/>
      <c r="X118" s="369" t="n"/>
      <c r="Y118" s="369" t="n"/>
    </row>
    <row r="119" ht="16.5" customHeight="1">
      <c r="A119" s="176" t="inlineStr">
        <is>
          <t>Пекерсы</t>
        </is>
      </c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76" t="n"/>
      <c r="Y119" s="176" t="n"/>
    </row>
    <row r="120" ht="14.25" customHeight="1">
      <c r="A120" s="177" t="inlineStr">
        <is>
          <t>Снеки</t>
        </is>
      </c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77" t="n"/>
      <c r="Y120" s="177" t="n"/>
    </row>
    <row r="121" ht="27" customHeight="1">
      <c r="A121" s="64" t="inlineStr">
        <is>
          <t>SU002669</t>
        </is>
      </c>
      <c r="B121" s="64" t="inlineStr">
        <is>
          <t>P003041</t>
        </is>
      </c>
      <c r="C121" s="37" t="n">
        <v>4301135134</v>
      </c>
      <c r="D121" s="172" t="n">
        <v>4607111035806</v>
      </c>
      <c r="E121" s="329" t="n"/>
      <c r="F121" s="361" t="n">
        <v>0.25</v>
      </c>
      <c r="G121" s="38" t="n">
        <v>12</v>
      </c>
      <c r="H121" s="361" t="n">
        <v>3</v>
      </c>
      <c r="I121" s="361" t="n">
        <v>3.7036</v>
      </c>
      <c r="J121" s="38" t="n">
        <v>70</v>
      </c>
      <c r="K121" s="39" t="inlineStr">
        <is>
          <t>МГ</t>
        </is>
      </c>
      <c r="L121" s="38" t="n">
        <v>180</v>
      </c>
      <c r="M121" s="411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/>
      </c>
      <c r="N121" s="363" t="n"/>
      <c r="O121" s="363" t="n"/>
      <c r="P121" s="363" t="n"/>
      <c r="Q121" s="329" t="n"/>
      <c r="R121" s="40" t="inlineStr"/>
      <c r="S121" s="40" t="inlineStr"/>
      <c r="T121" s="41" t="inlineStr">
        <is>
          <t>кор</t>
        </is>
      </c>
      <c r="U121" s="364" t="n">
        <v>0</v>
      </c>
      <c r="V121" s="365">
        <f>IFERROR(IF(U121="","",U121),"")</f>
        <v/>
      </c>
      <c r="W121" s="42">
        <f>IFERROR(IF(U121="","",U121*0.01788),"")</f>
        <v/>
      </c>
      <c r="X121" s="69" t="inlineStr"/>
      <c r="Y121" s="70" t="inlineStr"/>
      <c r="AC121" s="117" t="inlineStr">
        <is>
          <t>ПГП</t>
        </is>
      </c>
    </row>
    <row r="122">
      <c r="A122" s="167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366" t="n"/>
      <c r="M122" s="367" t="inlineStr">
        <is>
          <t>Итого</t>
        </is>
      </c>
      <c r="N122" s="337" t="n"/>
      <c r="O122" s="337" t="n"/>
      <c r="P122" s="337" t="n"/>
      <c r="Q122" s="337" t="n"/>
      <c r="R122" s="337" t="n"/>
      <c r="S122" s="338" t="n"/>
      <c r="T122" s="43" t="inlineStr">
        <is>
          <t>кор</t>
        </is>
      </c>
      <c r="U122" s="368">
        <f>IFERROR(SUM(U121:U121),"0")</f>
        <v/>
      </c>
      <c r="V122" s="368">
        <f>IFERROR(SUM(V121:V121),"0")</f>
        <v/>
      </c>
      <c r="W122" s="368">
        <f>IFERROR(IF(W121="",0,W121),"0")</f>
        <v/>
      </c>
      <c r="X122" s="369" t="n"/>
      <c r="Y122" s="369" t="n"/>
    </row>
    <row r="123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366" t="n"/>
      <c r="M123" s="367" t="inlineStr">
        <is>
          <t>Итого</t>
        </is>
      </c>
      <c r="N123" s="337" t="n"/>
      <c r="O123" s="337" t="n"/>
      <c r="P123" s="337" t="n"/>
      <c r="Q123" s="337" t="n"/>
      <c r="R123" s="337" t="n"/>
      <c r="S123" s="338" t="n"/>
      <c r="T123" s="43" t="inlineStr">
        <is>
          <t>кг</t>
        </is>
      </c>
      <c r="U123" s="368">
        <f>IFERROR(SUMPRODUCT(U121:U121*H121:H121),"0")</f>
        <v/>
      </c>
      <c r="V123" s="368">
        <f>IFERROR(SUMPRODUCT(V121:V121*H121:H121),"0")</f>
        <v/>
      </c>
      <c r="W123" s="43" t="n"/>
      <c r="X123" s="369" t="n"/>
      <c r="Y123" s="369" t="n"/>
    </row>
    <row r="124" ht="16.5" customHeight="1">
      <c r="A124" s="176" t="inlineStr">
        <is>
          <t>Супермени</t>
        </is>
      </c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76" t="n"/>
      <c r="Y124" s="176" t="n"/>
    </row>
    <row r="125" ht="14.25" customHeight="1">
      <c r="A125" s="177" t="inlineStr">
        <is>
          <t>Пельмени ПГП</t>
        </is>
      </c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77" t="n"/>
      <c r="Y125" s="177" t="n"/>
    </row>
    <row r="126" ht="27" customHeight="1">
      <c r="A126" s="64" t="inlineStr">
        <is>
          <t>SU002008</t>
        </is>
      </c>
      <c r="B126" s="64" t="inlineStr">
        <is>
          <t>P002098</t>
        </is>
      </c>
      <c r="C126" s="37" t="n">
        <v>4301070768</v>
      </c>
      <c r="D126" s="172" t="n">
        <v>4607111035639</v>
      </c>
      <c r="E126" s="329" t="n"/>
      <c r="F126" s="361" t="n">
        <v>0.2</v>
      </c>
      <c r="G126" s="38" t="n">
        <v>12</v>
      </c>
      <c r="H126" s="361" t="n">
        <v>2.4</v>
      </c>
      <c r="I126" s="361" t="n">
        <v>3.13</v>
      </c>
      <c r="J126" s="38" t="n">
        <v>48</v>
      </c>
      <c r="K126" s="39" t="inlineStr">
        <is>
          <t>МГ</t>
        </is>
      </c>
      <c r="L126" s="38" t="n">
        <v>180</v>
      </c>
      <c r="M126" s="412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/>
      </c>
      <c r="N126" s="363" t="n"/>
      <c r="O126" s="363" t="n"/>
      <c r="P126" s="363" t="n"/>
      <c r="Q126" s="329" t="n"/>
      <c r="R126" s="40" t="inlineStr"/>
      <c r="S126" s="40" t="inlineStr"/>
      <c r="T126" s="41" t="inlineStr">
        <is>
          <t>кор</t>
        </is>
      </c>
      <c r="U126" s="364" t="n">
        <v>0</v>
      </c>
      <c r="V126" s="365">
        <f>IFERROR(IF(U126="","",U126),"")</f>
        <v/>
      </c>
      <c r="W126" s="42">
        <f>IFERROR(IF(U126="","",U126*0.01786),"")</f>
        <v/>
      </c>
      <c r="X126" s="69" t="inlineStr"/>
      <c r="Y126" s="70" t="inlineStr"/>
      <c r="AC126" s="118" t="inlineStr">
        <is>
          <t>ПГП</t>
        </is>
      </c>
    </row>
    <row r="127" ht="27" customHeight="1">
      <c r="A127" s="64" t="inlineStr">
        <is>
          <t>SU002009</t>
        </is>
      </c>
      <c r="B127" s="64" t="inlineStr">
        <is>
          <t>P002099</t>
        </is>
      </c>
      <c r="C127" s="37" t="n">
        <v>4301070769</v>
      </c>
      <c r="D127" s="172" t="n">
        <v>4607111035646</v>
      </c>
      <c r="E127" s="329" t="n"/>
      <c r="F127" s="361" t="n">
        <v>0.2</v>
      </c>
      <c r="G127" s="38" t="n">
        <v>12</v>
      </c>
      <c r="H127" s="361" t="n">
        <v>2.4</v>
      </c>
      <c r="I127" s="361" t="n">
        <v>3.13</v>
      </c>
      <c r="J127" s="38" t="n">
        <v>48</v>
      </c>
      <c r="K127" s="39" t="inlineStr">
        <is>
          <t>МГ</t>
        </is>
      </c>
      <c r="L127" s="38" t="n">
        <v>180</v>
      </c>
      <c r="M127" s="413">
        <f>HYPERLINK("https://abi.ru/products/Замороженные/Горячая штучка/Супермени/Пельмени ПГП/P002099/","Пельмени Супермени со сливочным маслом Супермени 0,2 Сфера Горячая штучка")</f>
        <v/>
      </c>
      <c r="N127" s="363" t="n"/>
      <c r="O127" s="363" t="n"/>
      <c r="P127" s="363" t="n"/>
      <c r="Q127" s="329" t="n"/>
      <c r="R127" s="40" t="inlineStr"/>
      <c r="S127" s="40" t="inlineStr"/>
      <c r="T127" s="41" t="inlineStr">
        <is>
          <t>кор</t>
        </is>
      </c>
      <c r="U127" s="364" t="n">
        <v>0</v>
      </c>
      <c r="V127" s="365">
        <f>IFERROR(IF(U127="","",U127),"")</f>
        <v/>
      </c>
      <c r="W127" s="42">
        <f>IFERROR(IF(U127="","",U127*0.01786),"")</f>
        <v/>
      </c>
      <c r="X127" s="69" t="inlineStr"/>
      <c r="Y127" s="70" t="inlineStr"/>
      <c r="AC127" s="119" t="inlineStr">
        <is>
          <t>ПГП</t>
        </is>
      </c>
    </row>
    <row r="128">
      <c r="A128" s="167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366" t="n"/>
      <c r="M128" s="367" t="inlineStr">
        <is>
          <t>Итого</t>
        </is>
      </c>
      <c r="N128" s="337" t="n"/>
      <c r="O128" s="337" t="n"/>
      <c r="P128" s="337" t="n"/>
      <c r="Q128" s="337" t="n"/>
      <c r="R128" s="337" t="n"/>
      <c r="S128" s="338" t="n"/>
      <c r="T128" s="43" t="inlineStr">
        <is>
          <t>кор</t>
        </is>
      </c>
      <c r="U128" s="368">
        <f>IFERROR(SUM(U126:U127),"0")</f>
        <v/>
      </c>
      <c r="V128" s="368">
        <f>IFERROR(SUM(V126:V127),"0")</f>
        <v/>
      </c>
      <c r="W128" s="368">
        <f>IFERROR(IF(W126="",0,W126),"0")+IFERROR(IF(W127="",0,W127),"0")</f>
        <v/>
      </c>
      <c r="X128" s="369" t="n"/>
      <c r="Y128" s="369" t="n"/>
    </row>
    <row r="129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366" t="n"/>
      <c r="M129" s="367" t="inlineStr">
        <is>
          <t>Итого</t>
        </is>
      </c>
      <c r="N129" s="337" t="n"/>
      <c r="O129" s="337" t="n"/>
      <c r="P129" s="337" t="n"/>
      <c r="Q129" s="337" t="n"/>
      <c r="R129" s="337" t="n"/>
      <c r="S129" s="338" t="n"/>
      <c r="T129" s="43" t="inlineStr">
        <is>
          <t>кг</t>
        </is>
      </c>
      <c r="U129" s="368">
        <f>IFERROR(SUMPRODUCT(U126:U127*H126:H127),"0")</f>
        <v/>
      </c>
      <c r="V129" s="368">
        <f>IFERROR(SUMPRODUCT(V126:V127*H126:H127),"0")</f>
        <v/>
      </c>
      <c r="W129" s="43" t="n"/>
      <c r="X129" s="369" t="n"/>
      <c r="Y129" s="369" t="n"/>
    </row>
    <row r="130" ht="16.5" customHeight="1">
      <c r="A130" s="176" t="inlineStr">
        <is>
          <t>Чебуманы</t>
        </is>
      </c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76" t="n"/>
      <c r="Y130" s="176" t="n"/>
    </row>
    <row r="131" ht="14.25" customHeight="1">
      <c r="A131" s="177" t="inlineStr">
        <is>
          <t>Снеки</t>
        </is>
      </c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77" t="n"/>
      <c r="Y131" s="177" t="n"/>
    </row>
    <row r="132" ht="27" customHeight="1">
      <c r="A132" s="64" t="inlineStr">
        <is>
          <t>SU002289</t>
        </is>
      </c>
      <c r="B132" s="64" t="inlineStr">
        <is>
          <t>P002492</t>
        </is>
      </c>
      <c r="C132" s="37" t="n">
        <v>4301135026</v>
      </c>
      <c r="D132" s="172" t="n">
        <v>4607111036124</v>
      </c>
      <c r="E132" s="329" t="n"/>
      <c r="F132" s="361" t="n">
        <v>0.4</v>
      </c>
      <c r="G132" s="38" t="n">
        <v>12</v>
      </c>
      <c r="H132" s="361" t="n">
        <v>4.8</v>
      </c>
      <c r="I132" s="361" t="n">
        <v>5.126</v>
      </c>
      <c r="J132" s="38" t="n">
        <v>84</v>
      </c>
      <c r="K132" s="39" t="inlineStr">
        <is>
          <t>МГ</t>
        </is>
      </c>
      <c r="L132" s="38" t="n">
        <v>180</v>
      </c>
      <c r="M132" s="414">
        <f>HYPERLINK("https://abi.ru/products/Замороженные/Горячая штучка/Чебуманы/Снеки/P002492/","Снеки Чебуманы с говядиной Чебуманы Фикс.вес 0,4 пакет Горячая штучка")</f>
        <v/>
      </c>
      <c r="N132" s="363" t="n"/>
      <c r="O132" s="363" t="n"/>
      <c r="P132" s="363" t="n"/>
      <c r="Q132" s="329" t="n"/>
      <c r="R132" s="40" t="inlineStr"/>
      <c r="S132" s="40" t="inlineStr"/>
      <c r="T132" s="41" t="inlineStr">
        <is>
          <t>кор</t>
        </is>
      </c>
      <c r="U132" s="364" t="n">
        <v>0</v>
      </c>
      <c r="V132" s="365">
        <f>IFERROR(IF(U132="","",U132),"")</f>
        <v/>
      </c>
      <c r="W132" s="42">
        <f>IFERROR(IF(U132="","",U132*0.0155),"")</f>
        <v/>
      </c>
      <c r="X132" s="69" t="inlineStr"/>
      <c r="Y132" s="70" t="inlineStr"/>
      <c r="AC132" s="120" t="inlineStr">
        <is>
          <t>ПГП</t>
        </is>
      </c>
    </row>
    <row r="133">
      <c r="A133" s="167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366" t="n"/>
      <c r="M133" s="367" t="inlineStr">
        <is>
          <t>Итого</t>
        </is>
      </c>
      <c r="N133" s="337" t="n"/>
      <c r="O133" s="337" t="n"/>
      <c r="P133" s="337" t="n"/>
      <c r="Q133" s="337" t="n"/>
      <c r="R133" s="337" t="n"/>
      <c r="S133" s="338" t="n"/>
      <c r="T133" s="43" t="inlineStr">
        <is>
          <t>кор</t>
        </is>
      </c>
      <c r="U133" s="368">
        <f>IFERROR(SUM(U132:U132),"0")</f>
        <v/>
      </c>
      <c r="V133" s="368">
        <f>IFERROR(SUM(V132:V132),"0")</f>
        <v/>
      </c>
      <c r="W133" s="368">
        <f>IFERROR(IF(W132="",0,W132),"0")</f>
        <v/>
      </c>
      <c r="X133" s="369" t="n"/>
      <c r="Y133" s="369" t="n"/>
    </row>
    <row r="134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366" t="n"/>
      <c r="M134" s="367" t="inlineStr">
        <is>
          <t>Итого</t>
        </is>
      </c>
      <c r="N134" s="337" t="n"/>
      <c r="O134" s="337" t="n"/>
      <c r="P134" s="337" t="n"/>
      <c r="Q134" s="337" t="n"/>
      <c r="R134" s="337" t="n"/>
      <c r="S134" s="338" t="n"/>
      <c r="T134" s="43" t="inlineStr">
        <is>
          <t>кг</t>
        </is>
      </c>
      <c r="U134" s="368">
        <f>IFERROR(SUMPRODUCT(U132:U132*H132:H132),"0")</f>
        <v/>
      </c>
      <c r="V134" s="368">
        <f>IFERROR(SUMPRODUCT(V132:V132*H132:H132),"0")</f>
        <v/>
      </c>
      <c r="W134" s="43" t="n"/>
      <c r="X134" s="369" t="n"/>
      <c r="Y134" s="369" t="n"/>
    </row>
    <row r="135" ht="27.75" customHeight="1">
      <c r="A135" s="180" t="inlineStr">
        <is>
          <t>No Name</t>
        </is>
      </c>
      <c r="B135" s="360" t="n"/>
      <c r="C135" s="360" t="n"/>
      <c r="D135" s="360" t="n"/>
      <c r="E135" s="360" t="n"/>
      <c r="F135" s="360" t="n"/>
      <c r="G135" s="360" t="n"/>
      <c r="H135" s="360" t="n"/>
      <c r="I135" s="360" t="n"/>
      <c r="J135" s="360" t="n"/>
      <c r="K135" s="360" t="n"/>
      <c r="L135" s="360" t="n"/>
      <c r="M135" s="360" t="n"/>
      <c r="N135" s="360" t="n"/>
      <c r="O135" s="360" t="n"/>
      <c r="P135" s="360" t="n"/>
      <c r="Q135" s="360" t="n"/>
      <c r="R135" s="360" t="n"/>
      <c r="S135" s="360" t="n"/>
      <c r="T135" s="360" t="n"/>
      <c r="U135" s="360" t="n"/>
      <c r="V135" s="360" t="n"/>
      <c r="W135" s="360" t="n"/>
      <c r="X135" s="55" t="n"/>
      <c r="Y135" s="55" t="n"/>
    </row>
    <row r="136" ht="16.5" customHeight="1">
      <c r="A136" s="176" t="inlineStr">
        <is>
          <t>No Name ПГП</t>
        </is>
      </c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76" t="n"/>
      <c r="Y136" s="176" t="n"/>
    </row>
    <row r="137" ht="14.25" customHeight="1">
      <c r="A137" s="177" t="inlineStr">
        <is>
          <t>Крылья</t>
        </is>
      </c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77" t="n"/>
      <c r="Y137" s="177" t="n"/>
    </row>
    <row r="138" ht="27" customHeight="1">
      <c r="A138" s="64" t="inlineStr">
        <is>
          <t>SU002975</t>
        </is>
      </c>
      <c r="B138" s="64" t="inlineStr">
        <is>
          <t>P003432</t>
        </is>
      </c>
      <c r="C138" s="37" t="n">
        <v>4301131018</v>
      </c>
      <c r="D138" s="172" t="n">
        <v>4607111037930</v>
      </c>
      <c r="E138" s="329" t="n"/>
      <c r="F138" s="361" t="n">
        <v>1.8</v>
      </c>
      <c r="G138" s="38" t="n">
        <v>1</v>
      </c>
      <c r="H138" s="361" t="n">
        <v>1.8</v>
      </c>
      <c r="I138" s="361" t="n">
        <v>1.915</v>
      </c>
      <c r="J138" s="38" t="n">
        <v>234</v>
      </c>
      <c r="K138" s="39" t="inlineStr">
        <is>
          <t>МГ</t>
        </is>
      </c>
      <c r="L138" s="38" t="n">
        <v>180</v>
      </c>
      <c r="M138" s="415" t="inlineStr">
        <is>
          <t>Крылья "Хрустящие крылышки" Весовой ТМ "No Name"</t>
        </is>
      </c>
      <c r="N138" s="363" t="n"/>
      <c r="O138" s="363" t="n"/>
      <c r="P138" s="363" t="n"/>
      <c r="Q138" s="329" t="n"/>
      <c r="R138" s="40" t="inlineStr"/>
      <c r="S138" s="40" t="inlineStr"/>
      <c r="T138" s="41" t="inlineStr">
        <is>
          <t>кор</t>
        </is>
      </c>
      <c r="U138" s="364" t="n">
        <v>28</v>
      </c>
      <c r="V138" s="365">
        <f>IFERROR(IF(U138="","",U138),"")</f>
        <v/>
      </c>
      <c r="W138" s="42">
        <f>IFERROR(IF(U138="","",U138*0.00502),"")</f>
        <v/>
      </c>
      <c r="X138" s="69" t="inlineStr"/>
      <c r="Y138" s="70" t="inlineStr"/>
      <c r="AC138" s="121" t="inlineStr">
        <is>
          <t>ПГП</t>
        </is>
      </c>
    </row>
    <row r="139">
      <c r="A139" s="167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366" t="n"/>
      <c r="M139" s="367" t="inlineStr">
        <is>
          <t>Итого</t>
        </is>
      </c>
      <c r="N139" s="337" t="n"/>
      <c r="O139" s="337" t="n"/>
      <c r="P139" s="337" t="n"/>
      <c r="Q139" s="337" t="n"/>
      <c r="R139" s="337" t="n"/>
      <c r="S139" s="338" t="n"/>
      <c r="T139" s="43" t="inlineStr">
        <is>
          <t>кор</t>
        </is>
      </c>
      <c r="U139" s="368">
        <f>IFERROR(SUM(U138:U138),"0")</f>
        <v/>
      </c>
      <c r="V139" s="368">
        <f>IFERROR(SUM(V138:V138),"0")</f>
        <v/>
      </c>
      <c r="W139" s="368">
        <f>IFERROR(IF(W138="",0,W138),"0")</f>
        <v/>
      </c>
      <c r="X139" s="369" t="n"/>
      <c r="Y139" s="369" t="n"/>
    </row>
    <row r="140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366" t="n"/>
      <c r="M140" s="367" t="inlineStr">
        <is>
          <t>Итого</t>
        </is>
      </c>
      <c r="N140" s="337" t="n"/>
      <c r="O140" s="337" t="n"/>
      <c r="P140" s="337" t="n"/>
      <c r="Q140" s="337" t="n"/>
      <c r="R140" s="337" t="n"/>
      <c r="S140" s="338" t="n"/>
      <c r="T140" s="43" t="inlineStr">
        <is>
          <t>кг</t>
        </is>
      </c>
      <c r="U140" s="368">
        <f>IFERROR(SUMPRODUCT(U138:U138*H138:H138),"0")</f>
        <v/>
      </c>
      <c r="V140" s="368">
        <f>IFERROR(SUMPRODUCT(V138:V138*H138:H138),"0")</f>
        <v/>
      </c>
      <c r="W140" s="43" t="n"/>
      <c r="X140" s="369" t="n"/>
      <c r="Y140" s="369" t="n"/>
    </row>
    <row r="141" ht="14.25" customHeight="1">
      <c r="A141" s="177" t="inlineStr">
        <is>
          <t>Наггетсы</t>
        </is>
      </c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77" t="n"/>
      <c r="Y141" s="177" t="n"/>
    </row>
    <row r="142" ht="27" customHeight="1">
      <c r="A142" s="64" t="inlineStr">
        <is>
          <t>SU002644</t>
        </is>
      </c>
      <c r="B142" s="64" t="inlineStr">
        <is>
          <t>P003016</t>
        </is>
      </c>
      <c r="C142" s="37" t="n">
        <v>4301132052</v>
      </c>
      <c r="D142" s="172" t="n">
        <v>4607111036872</v>
      </c>
      <c r="E142" s="329" t="n"/>
      <c r="F142" s="361" t="n">
        <v>1</v>
      </c>
      <c r="G142" s="38" t="n">
        <v>6</v>
      </c>
      <c r="H142" s="361" t="n">
        <v>6</v>
      </c>
      <c r="I142" s="361" t="n">
        <v>6.26</v>
      </c>
      <c r="J142" s="38" t="n">
        <v>84</v>
      </c>
      <c r="K142" s="39" t="inlineStr">
        <is>
          <t>МГ</t>
        </is>
      </c>
      <c r="L142" s="38" t="n">
        <v>180</v>
      </c>
      <c r="M142" s="416" t="inlineStr">
        <is>
          <t>Наггетсы Хрустящие No Name Весовые No Name 6 кг ТОП-ЛКК, дистр</t>
        </is>
      </c>
      <c r="N142" s="363" t="n"/>
      <c r="O142" s="363" t="n"/>
      <c r="P142" s="363" t="n"/>
      <c r="Q142" s="329" t="n"/>
      <c r="R142" s="40" t="inlineStr"/>
      <c r="S142" s="40" t="inlineStr"/>
      <c r="T142" s="41" t="inlineStr">
        <is>
          <t>кор</t>
        </is>
      </c>
      <c r="U142" s="364" t="n">
        <v>31</v>
      </c>
      <c r="V142" s="365">
        <f>IFERROR(IF(U142="","",U142),"")</f>
        <v/>
      </c>
      <c r="W142" s="42">
        <f>IFERROR(IF(U142="","",U142*0.0155),"")</f>
        <v/>
      </c>
      <c r="X142" s="69" t="inlineStr"/>
      <c r="Y142" s="70" t="inlineStr"/>
      <c r="AC142" s="122" t="inlineStr">
        <is>
          <t>ПГП</t>
        </is>
      </c>
    </row>
    <row r="143">
      <c r="A143" s="167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366" t="n"/>
      <c r="M143" s="367" t="inlineStr">
        <is>
          <t>Итого</t>
        </is>
      </c>
      <c r="N143" s="337" t="n"/>
      <c r="O143" s="337" t="n"/>
      <c r="P143" s="337" t="n"/>
      <c r="Q143" s="337" t="n"/>
      <c r="R143" s="337" t="n"/>
      <c r="S143" s="338" t="n"/>
      <c r="T143" s="43" t="inlineStr">
        <is>
          <t>кор</t>
        </is>
      </c>
      <c r="U143" s="368">
        <f>IFERROR(SUM(U142:U142),"0")</f>
        <v/>
      </c>
      <c r="V143" s="368">
        <f>IFERROR(SUM(V142:V142),"0")</f>
        <v/>
      </c>
      <c r="W143" s="368">
        <f>IFERROR(IF(W142="",0,W142),"0")</f>
        <v/>
      </c>
      <c r="X143" s="369" t="n"/>
      <c r="Y143" s="369" t="n"/>
    </row>
    <row r="144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366" t="n"/>
      <c r="M144" s="367" t="inlineStr">
        <is>
          <t>Итого</t>
        </is>
      </c>
      <c r="N144" s="337" t="n"/>
      <c r="O144" s="337" t="n"/>
      <c r="P144" s="337" t="n"/>
      <c r="Q144" s="337" t="n"/>
      <c r="R144" s="337" t="n"/>
      <c r="S144" s="338" t="n"/>
      <c r="T144" s="43" t="inlineStr">
        <is>
          <t>кг</t>
        </is>
      </c>
      <c r="U144" s="368">
        <f>IFERROR(SUMPRODUCT(U142:U142*H142:H142),"0")</f>
        <v/>
      </c>
      <c r="V144" s="368">
        <f>IFERROR(SUMPRODUCT(V142:V142*H142:H142),"0")</f>
        <v/>
      </c>
      <c r="W144" s="43" t="n"/>
      <c r="X144" s="369" t="n"/>
      <c r="Y144" s="369" t="n"/>
    </row>
    <row r="145" ht="14.25" customHeight="1">
      <c r="A145" s="177" t="inlineStr">
        <is>
          <t>Чебуреки</t>
        </is>
      </c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77" t="n"/>
      <c r="Y145" s="177" t="n"/>
    </row>
    <row r="146" ht="27" customHeight="1">
      <c r="A146" s="64" t="inlineStr">
        <is>
          <t>SU002406</t>
        </is>
      </c>
      <c r="B146" s="64" t="inlineStr">
        <is>
          <t>P002685</t>
        </is>
      </c>
      <c r="C146" s="37" t="n">
        <v>4301136008</v>
      </c>
      <c r="D146" s="172" t="n">
        <v>4607111036438</v>
      </c>
      <c r="E146" s="329" t="n"/>
      <c r="F146" s="361" t="n">
        <v>2.7</v>
      </c>
      <c r="G146" s="38" t="n">
        <v>1</v>
      </c>
      <c r="H146" s="361" t="n">
        <v>2.7</v>
      </c>
      <c r="I146" s="361" t="n">
        <v>2.8906</v>
      </c>
      <c r="J146" s="38" t="n">
        <v>126</v>
      </c>
      <c r="K146" s="39" t="inlineStr">
        <is>
          <t>МГ</t>
        </is>
      </c>
      <c r="L146" s="38" t="n">
        <v>180</v>
      </c>
      <c r="M146" s="417">
        <f>HYPERLINK("https://abi.ru/products/Замороженные/No Name/No Name ПГП/Чебуреки/P002685/","Чебуреки Мясные No name Весовые No name 2,7 кг")</f>
        <v/>
      </c>
      <c r="N146" s="363" t="n"/>
      <c r="O146" s="363" t="n"/>
      <c r="P146" s="363" t="n"/>
      <c r="Q146" s="329" t="n"/>
      <c r="R146" s="40" t="inlineStr"/>
      <c r="S146" s="40" t="inlineStr"/>
      <c r="T146" s="41" t="inlineStr">
        <is>
          <t>кор</t>
        </is>
      </c>
      <c r="U146" s="364" t="n">
        <v>52</v>
      </c>
      <c r="V146" s="365">
        <f>IFERROR(IF(U146="","",U146),"")</f>
        <v/>
      </c>
      <c r="W146" s="42">
        <f>IFERROR(IF(U146="","",U146*0.00936),"")</f>
        <v/>
      </c>
      <c r="X146" s="69" t="inlineStr"/>
      <c r="Y146" s="70" t="inlineStr"/>
      <c r="AC146" s="123" t="inlineStr">
        <is>
          <t>ПГП</t>
        </is>
      </c>
    </row>
    <row r="147" ht="37.5" customHeight="1">
      <c r="A147" s="64" t="inlineStr">
        <is>
          <t>SU002407</t>
        </is>
      </c>
      <c r="B147" s="64" t="inlineStr">
        <is>
          <t>P002684</t>
        </is>
      </c>
      <c r="C147" s="37" t="n">
        <v>4301136007</v>
      </c>
      <c r="D147" s="172" t="n">
        <v>4607111036636</v>
      </c>
      <c r="E147" s="329" t="n"/>
      <c r="F147" s="361" t="n">
        <v>2.7</v>
      </c>
      <c r="G147" s="38" t="n">
        <v>1</v>
      </c>
      <c r="H147" s="361" t="n">
        <v>2.7</v>
      </c>
      <c r="I147" s="361" t="n">
        <v>2.892</v>
      </c>
      <c r="J147" s="38" t="n">
        <v>126</v>
      </c>
      <c r="K147" s="39" t="inlineStr">
        <is>
          <t>МГ</t>
        </is>
      </c>
      <c r="L147" s="38" t="n">
        <v>180</v>
      </c>
      <c r="M147" s="418">
        <f>HYPERLINK("https://abi.ru/products/Замороженные/No Name/No Name ПГП/Чебуреки/P002684/","Чебуреки с мясом, грибами и картофелем No name Весовые No name 2,7 кг")</f>
        <v/>
      </c>
      <c r="N147" s="363" t="n"/>
      <c r="O147" s="363" t="n"/>
      <c r="P147" s="363" t="n"/>
      <c r="Q147" s="329" t="n"/>
      <c r="R147" s="40" t="inlineStr"/>
      <c r="S147" s="40" t="inlineStr"/>
      <c r="T147" s="41" t="inlineStr">
        <is>
          <t>кор</t>
        </is>
      </c>
      <c r="U147" s="364" t="n">
        <v>0</v>
      </c>
      <c r="V147" s="365">
        <f>IFERROR(IF(U147="","",U147),"")</f>
        <v/>
      </c>
      <c r="W147" s="42">
        <f>IFERROR(IF(U147="","",U147*0.00936),"")</f>
        <v/>
      </c>
      <c r="X147" s="69" t="inlineStr"/>
      <c r="Y147" s="70" t="inlineStr"/>
      <c r="AC147" s="124" t="inlineStr">
        <is>
          <t>ПГП</t>
        </is>
      </c>
    </row>
    <row r="148" ht="27" customHeight="1">
      <c r="A148" s="64" t="inlineStr">
        <is>
          <t>SU002045</t>
        </is>
      </c>
      <c r="B148" s="64" t="inlineStr">
        <is>
          <t>P002166</t>
        </is>
      </c>
      <c r="C148" s="37" t="n">
        <v>4301136001</v>
      </c>
      <c r="D148" s="172" t="n">
        <v>4607111035714</v>
      </c>
      <c r="E148" s="329" t="n"/>
      <c r="F148" s="361" t="n">
        <v>5</v>
      </c>
      <c r="G148" s="38" t="n">
        <v>1</v>
      </c>
      <c r="H148" s="361" t="n">
        <v>5</v>
      </c>
      <c r="I148" s="361" t="n">
        <v>5.235</v>
      </c>
      <c r="J148" s="38" t="n">
        <v>84</v>
      </c>
      <c r="K148" s="39" t="inlineStr">
        <is>
          <t>МГ</t>
        </is>
      </c>
      <c r="L148" s="38" t="n">
        <v>180</v>
      </c>
      <c r="M148" s="419">
        <f>HYPERLINK("https://abi.ru/products/Замороженные/No Name/No Name ПГП/Чебуреки/P002166/","Чебуреки Чебуреки Сочные No Name Весовые No name 5 кг дистр")</f>
        <v/>
      </c>
      <c r="N148" s="363" t="n"/>
      <c r="O148" s="363" t="n"/>
      <c r="P148" s="363" t="n"/>
      <c r="Q148" s="329" t="n"/>
      <c r="R148" s="40" t="inlineStr"/>
      <c r="S148" s="40" t="inlineStr"/>
      <c r="T148" s="41" t="inlineStr">
        <is>
          <t>кор</t>
        </is>
      </c>
      <c r="U148" s="364" t="n">
        <v>38</v>
      </c>
      <c r="V148" s="365">
        <f>IFERROR(IF(U148="","",U148),"")</f>
        <v/>
      </c>
      <c r="W148" s="42">
        <f>IFERROR(IF(U148="","",U148*0.0155),"")</f>
        <v/>
      </c>
      <c r="X148" s="69" t="inlineStr"/>
      <c r="Y148" s="70" t="inlineStr"/>
      <c r="AC148" s="125" t="inlineStr">
        <is>
          <t>ПГП</t>
        </is>
      </c>
    </row>
    <row r="149" ht="27" customHeight="1">
      <c r="A149" s="64" t="inlineStr">
        <is>
          <t>SU002976</t>
        </is>
      </c>
      <c r="B149" s="64" t="inlineStr">
        <is>
          <t>P003435</t>
        </is>
      </c>
      <c r="C149" s="37" t="n">
        <v>4301136025</v>
      </c>
      <c r="D149" s="172" t="n">
        <v>4607111038029</v>
      </c>
      <c r="E149" s="329" t="n"/>
      <c r="F149" s="361" t="n">
        <v>2.24</v>
      </c>
      <c r="G149" s="38" t="n">
        <v>1</v>
      </c>
      <c r="H149" s="361" t="n">
        <v>2.24</v>
      </c>
      <c r="I149" s="361" t="n">
        <v>2.432</v>
      </c>
      <c r="J149" s="38" t="n">
        <v>126</v>
      </c>
      <c r="K149" s="39" t="inlineStr">
        <is>
          <t>МГ</t>
        </is>
      </c>
      <c r="L149" s="38" t="n">
        <v>180</v>
      </c>
      <c r="M149" s="420" t="inlineStr">
        <is>
          <t>Чебуреки "Сочный мегачебурек" Весовой ТМ "No Name"</t>
        </is>
      </c>
      <c r="N149" s="363" t="n"/>
      <c r="O149" s="363" t="n"/>
      <c r="P149" s="363" t="n"/>
      <c r="Q149" s="329" t="n"/>
      <c r="R149" s="40" t="inlineStr"/>
      <c r="S149" s="40" t="inlineStr"/>
      <c r="T149" s="41" t="inlineStr">
        <is>
          <t>кор</t>
        </is>
      </c>
      <c r="U149" s="364" t="n">
        <v>0</v>
      </c>
      <c r="V149" s="365">
        <f>IFERROR(IF(U149="","",U149),"")</f>
        <v/>
      </c>
      <c r="W149" s="42">
        <f>IFERROR(IF(U149="","",U149*0.00936),"")</f>
        <v/>
      </c>
      <c r="X149" s="69" t="inlineStr"/>
      <c r="Y149" s="70" t="inlineStr"/>
      <c r="AC149" s="126" t="inlineStr">
        <is>
          <t>ПГП</t>
        </is>
      </c>
    </row>
    <row r="150">
      <c r="A150" s="167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366" t="n"/>
      <c r="M150" s="367" t="inlineStr">
        <is>
          <t>Итого</t>
        </is>
      </c>
      <c r="N150" s="337" t="n"/>
      <c r="O150" s="337" t="n"/>
      <c r="P150" s="337" t="n"/>
      <c r="Q150" s="337" t="n"/>
      <c r="R150" s="337" t="n"/>
      <c r="S150" s="338" t="n"/>
      <c r="T150" s="43" t="inlineStr">
        <is>
          <t>кор</t>
        </is>
      </c>
      <c r="U150" s="368">
        <f>IFERROR(SUM(U146:U149),"0")</f>
        <v/>
      </c>
      <c r="V150" s="368">
        <f>IFERROR(SUM(V146:V149),"0")</f>
        <v/>
      </c>
      <c r="W150" s="368">
        <f>IFERROR(IF(W146="",0,W146),"0")+IFERROR(IF(W147="",0,W147),"0")+IFERROR(IF(W148="",0,W148),"0")+IFERROR(IF(W149="",0,W149),"0")</f>
        <v/>
      </c>
      <c r="X150" s="369" t="n"/>
      <c r="Y150" s="369" t="n"/>
    </row>
    <row r="151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366" t="n"/>
      <c r="M151" s="367" t="inlineStr">
        <is>
          <t>Итого</t>
        </is>
      </c>
      <c r="N151" s="337" t="n"/>
      <c r="O151" s="337" t="n"/>
      <c r="P151" s="337" t="n"/>
      <c r="Q151" s="337" t="n"/>
      <c r="R151" s="337" t="n"/>
      <c r="S151" s="338" t="n"/>
      <c r="T151" s="43" t="inlineStr">
        <is>
          <t>кг</t>
        </is>
      </c>
      <c r="U151" s="368">
        <f>IFERROR(SUMPRODUCT(U146:U149*H146:H149),"0")</f>
        <v/>
      </c>
      <c r="V151" s="368">
        <f>IFERROR(SUMPRODUCT(V146:V149*H146:H149),"0")</f>
        <v/>
      </c>
      <c r="W151" s="43" t="n"/>
      <c r="X151" s="369" t="n"/>
      <c r="Y151" s="369" t="n"/>
    </row>
    <row r="152" ht="14.25" customHeight="1">
      <c r="A152" s="177" t="inlineStr">
        <is>
          <t>Снеки</t>
        </is>
      </c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77" t="n"/>
      <c r="Y152" s="177" t="n"/>
    </row>
    <row r="153" ht="27" customHeight="1">
      <c r="A153" s="64" t="inlineStr">
        <is>
          <t>SU002772</t>
        </is>
      </c>
      <c r="B153" s="64" t="inlineStr">
        <is>
          <t>P003159</t>
        </is>
      </c>
      <c r="C153" s="37" t="n">
        <v>4301135156</v>
      </c>
      <c r="D153" s="172" t="n">
        <v>4607111037275</v>
      </c>
      <c r="E153" s="329" t="n"/>
      <c r="F153" s="361" t="n">
        <v>3</v>
      </c>
      <c r="G153" s="38" t="n">
        <v>1</v>
      </c>
      <c r="H153" s="361" t="n">
        <v>3</v>
      </c>
      <c r="I153" s="361" t="n">
        <v>3.192</v>
      </c>
      <c r="J153" s="38" t="n">
        <v>126</v>
      </c>
      <c r="K153" s="39" t="inlineStr">
        <is>
          <t>МГ</t>
        </is>
      </c>
      <c r="L153" s="38" t="n">
        <v>180</v>
      </c>
      <c r="M153" s="421">
        <f>HYPERLINK("https://abi.ru/products/Замороженные/No Name/No Name ПГП/Снеки/P003159/","Жар-боллы с курочкой и сыром No Name ПГП Весовой No Name")</f>
        <v/>
      </c>
      <c r="N153" s="363" t="n"/>
      <c r="O153" s="363" t="n"/>
      <c r="P153" s="363" t="n"/>
      <c r="Q153" s="329" t="n"/>
      <c r="R153" s="40" t="inlineStr"/>
      <c r="S153" s="40" t="inlineStr"/>
      <c r="T153" s="41" t="inlineStr">
        <is>
          <t>кор</t>
        </is>
      </c>
      <c r="U153" s="364" t="n">
        <v>67</v>
      </c>
      <c r="V153" s="365">
        <f>IFERROR(IF(U153="","",U153),"")</f>
        <v/>
      </c>
      <c r="W153" s="42">
        <f>IFERROR(IF(U153="","",U153*0.00936),"")</f>
        <v/>
      </c>
      <c r="X153" s="69" t="inlineStr"/>
      <c r="Y153" s="70" t="inlineStr"/>
      <c r="AC153" s="127" t="inlineStr">
        <is>
          <t>ПГП</t>
        </is>
      </c>
    </row>
    <row r="154" ht="27" customHeight="1">
      <c r="A154" s="64" t="inlineStr">
        <is>
          <t>SU002953</t>
        </is>
      </c>
      <c r="B154" s="64" t="inlineStr">
        <is>
          <t>P003377</t>
        </is>
      </c>
      <c r="C154" s="37" t="n">
        <v>4301135179</v>
      </c>
      <c r="D154" s="172" t="n">
        <v>4607111037923</v>
      </c>
      <c r="E154" s="329" t="n"/>
      <c r="F154" s="361" t="n">
        <v>3.7</v>
      </c>
      <c r="G154" s="38" t="n">
        <v>1</v>
      </c>
      <c r="H154" s="361" t="n">
        <v>3.7</v>
      </c>
      <c r="I154" s="361" t="n">
        <v>3.892</v>
      </c>
      <c r="J154" s="38" t="n">
        <v>126</v>
      </c>
      <c r="K154" s="39" t="inlineStr">
        <is>
          <t>МГ</t>
        </is>
      </c>
      <c r="L154" s="38" t="n">
        <v>180</v>
      </c>
      <c r="M154" s="422" t="inlineStr">
        <is>
          <t>"Жар-ладушки с клубникой и вишней" Весовые ТМ "No name"</t>
        </is>
      </c>
      <c r="N154" s="363" t="n"/>
      <c r="O154" s="363" t="n"/>
      <c r="P154" s="363" t="n"/>
      <c r="Q154" s="329" t="n"/>
      <c r="R154" s="40" t="inlineStr"/>
      <c r="S154" s="40" t="inlineStr"/>
      <c r="T154" s="41" t="inlineStr">
        <is>
          <t>кор</t>
        </is>
      </c>
      <c r="U154" s="364" t="n">
        <v>0</v>
      </c>
      <c r="V154" s="365">
        <f>IFERROR(IF(U154="","",U154),"")</f>
        <v/>
      </c>
      <c r="W154" s="42">
        <f>IFERROR(IF(U154="","",U154*0.00936),"")</f>
        <v/>
      </c>
      <c r="X154" s="69" t="inlineStr"/>
      <c r="Y154" s="70" t="inlineStr"/>
      <c r="AC154" s="128" t="inlineStr">
        <is>
          <t>ПГП</t>
        </is>
      </c>
    </row>
    <row r="155" ht="27" customHeight="1">
      <c r="A155" s="64" t="inlineStr">
        <is>
          <t>SU002441</t>
        </is>
      </c>
      <c r="B155" s="64" t="inlineStr">
        <is>
          <t>P002732</t>
        </is>
      </c>
      <c r="C155" s="37" t="n">
        <v>4301135085</v>
      </c>
      <c r="D155" s="172" t="n">
        <v>4607111037220</v>
      </c>
      <c r="E155" s="329" t="n"/>
      <c r="F155" s="361" t="n">
        <v>3.7</v>
      </c>
      <c r="G155" s="38" t="n">
        <v>1</v>
      </c>
      <c r="H155" s="361" t="n">
        <v>3.7</v>
      </c>
      <c r="I155" s="361" t="n">
        <v>3.892</v>
      </c>
      <c r="J155" s="38" t="n">
        <v>126</v>
      </c>
      <c r="K155" s="39" t="inlineStr">
        <is>
          <t>МГ</t>
        </is>
      </c>
      <c r="L155" s="38" t="n">
        <v>180</v>
      </c>
      <c r="M155" s="423">
        <f>HYPERLINK("https://abi.ru/products/Замороженные/No Name/No Name ПГП/Снеки/P002732/","Жар-ладушки с мясом No name ПГП Весовые No name  3,7 кг")</f>
        <v/>
      </c>
      <c r="N155" s="363" t="n"/>
      <c r="O155" s="363" t="n"/>
      <c r="P155" s="363" t="n"/>
      <c r="Q155" s="329" t="n"/>
      <c r="R155" s="40" t="inlineStr"/>
      <c r="S155" s="40" t="inlineStr"/>
      <c r="T155" s="41" t="inlineStr">
        <is>
          <t>кор</t>
        </is>
      </c>
      <c r="U155" s="364" t="n">
        <v>0</v>
      </c>
      <c r="V155" s="365">
        <f>IFERROR(IF(U155="","",U155),"")</f>
        <v/>
      </c>
      <c r="W155" s="42">
        <f>IFERROR(IF(U155="","",U155*0.00936),"")</f>
        <v/>
      </c>
      <c r="X155" s="69" t="inlineStr"/>
      <c r="Y155" s="70" t="inlineStr"/>
      <c r="AC155" s="129" t="inlineStr">
        <is>
          <t>ПГП</t>
        </is>
      </c>
    </row>
    <row r="156" ht="37.5" customHeight="1">
      <c r="A156" s="64" t="inlineStr">
        <is>
          <t>SU002494</t>
        </is>
      </c>
      <c r="B156" s="64" t="inlineStr">
        <is>
          <t>P002789</t>
        </is>
      </c>
      <c r="C156" s="37" t="n">
        <v>4301135097</v>
      </c>
      <c r="D156" s="172" t="n">
        <v>4607111037206</v>
      </c>
      <c r="E156" s="329" t="n"/>
      <c r="F156" s="361" t="n">
        <v>3.7</v>
      </c>
      <c r="G156" s="38" t="n">
        <v>1</v>
      </c>
      <c r="H156" s="361" t="n">
        <v>3.7</v>
      </c>
      <c r="I156" s="361" t="n">
        <v>3.892</v>
      </c>
      <c r="J156" s="38" t="n">
        <v>126</v>
      </c>
      <c r="K156" s="39" t="inlineStr">
        <is>
          <t>МГ</t>
        </is>
      </c>
      <c r="L156" s="38" t="n">
        <v>180</v>
      </c>
      <c r="M156" s="424">
        <f>HYPERLINK("https://abi.ru/products/Замороженные/No Name/No Name ПГП/Снеки/P002789/","Жар-ладушки с мясом, картофелем и грибами No name ПГП Весовые No name 3,7 кг")</f>
        <v/>
      </c>
      <c r="N156" s="363" t="n"/>
      <c r="O156" s="363" t="n"/>
      <c r="P156" s="363" t="n"/>
      <c r="Q156" s="329" t="n"/>
      <c r="R156" s="40" t="inlineStr"/>
      <c r="S156" s="40" t="inlineStr"/>
      <c r="T156" s="41" t="inlineStr">
        <is>
          <t>кор</t>
        </is>
      </c>
      <c r="U156" s="364" t="n">
        <v>0</v>
      </c>
      <c r="V156" s="365">
        <f>IFERROR(IF(U156="","",U156),"")</f>
        <v/>
      </c>
      <c r="W156" s="42">
        <f>IFERROR(IF(U156="","",U156*0.00936),"")</f>
        <v/>
      </c>
      <c r="X156" s="69" t="inlineStr"/>
      <c r="Y156" s="70" t="inlineStr"/>
      <c r="AC156" s="130" t="inlineStr">
        <is>
          <t>ПГП</t>
        </is>
      </c>
    </row>
    <row r="157" ht="27" customHeight="1">
      <c r="A157" s="64" t="inlineStr">
        <is>
          <t>SU002484</t>
        </is>
      </c>
      <c r="B157" s="64" t="inlineStr">
        <is>
          <t>P002778</t>
        </is>
      </c>
      <c r="C157" s="37" t="n">
        <v>4301135091</v>
      </c>
      <c r="D157" s="172" t="n">
        <v>4607111037244</v>
      </c>
      <c r="E157" s="329" t="n"/>
      <c r="F157" s="361" t="n">
        <v>3.7</v>
      </c>
      <c r="G157" s="38" t="n">
        <v>1</v>
      </c>
      <c r="H157" s="361" t="n">
        <v>3.7</v>
      </c>
      <c r="I157" s="361" t="n">
        <v>3.892</v>
      </c>
      <c r="J157" s="38" t="n">
        <v>126</v>
      </c>
      <c r="K157" s="39" t="inlineStr">
        <is>
          <t>МГ</t>
        </is>
      </c>
      <c r="L157" s="38" t="n">
        <v>180</v>
      </c>
      <c r="M157" s="425">
        <f>HYPERLINK("https://abi.ru/products/Замороженные/No Name/No Name ПГП/Снеки/P002778/","Жар-ладушки с яблоком и грушей No name ПГП Весовые No name 3,7 кг")</f>
        <v/>
      </c>
      <c r="N157" s="363" t="n"/>
      <c r="O157" s="363" t="n"/>
      <c r="P157" s="363" t="n"/>
      <c r="Q157" s="329" t="n"/>
      <c r="R157" s="40" t="inlineStr"/>
      <c r="S157" s="40" t="inlineStr"/>
      <c r="T157" s="41" t="inlineStr">
        <is>
          <t>кор</t>
        </is>
      </c>
      <c r="U157" s="364" t="n">
        <v>4</v>
      </c>
      <c r="V157" s="365">
        <f>IFERROR(IF(U157="","",U157),"")</f>
        <v/>
      </c>
      <c r="W157" s="42">
        <f>IFERROR(IF(U157="","",U157*0.00936),"")</f>
        <v/>
      </c>
      <c r="X157" s="69" t="inlineStr"/>
      <c r="Y157" s="70" t="inlineStr"/>
      <c r="AC157" s="131" t="inlineStr">
        <is>
          <t>ПГП</t>
        </is>
      </c>
    </row>
    <row r="158" ht="27" customHeight="1">
      <c r="A158" s="64" t="inlineStr">
        <is>
          <t>SU002442</t>
        </is>
      </c>
      <c r="B158" s="64" t="inlineStr">
        <is>
          <t>P002970</t>
        </is>
      </c>
      <c r="C158" s="37" t="n">
        <v>4301135128</v>
      </c>
      <c r="D158" s="172" t="n">
        <v>4607111036797</v>
      </c>
      <c r="E158" s="329" t="n"/>
      <c r="F158" s="361" t="n">
        <v>3.7</v>
      </c>
      <c r="G158" s="38" t="n">
        <v>1</v>
      </c>
      <c r="H158" s="361" t="n">
        <v>3.7</v>
      </c>
      <c r="I158" s="361" t="n">
        <v>3.892</v>
      </c>
      <c r="J158" s="38" t="n">
        <v>126</v>
      </c>
      <c r="K158" s="39" t="inlineStr">
        <is>
          <t>МГ</t>
        </is>
      </c>
      <c r="L158" s="38" t="n">
        <v>180</v>
      </c>
      <c r="M158" s="426">
        <f>HYPERLINK("https://abi.ru/products/Замороженные/No Name/No Name ПГП/Снеки/P002970/","Мини-сосиски в тесте Фрайпики No name Весовые No name 3,7 кг")</f>
        <v/>
      </c>
      <c r="N158" s="363" t="n"/>
      <c r="O158" s="363" t="n"/>
      <c r="P158" s="363" t="n"/>
      <c r="Q158" s="329" t="n"/>
      <c r="R158" s="40" t="inlineStr"/>
      <c r="S158" s="40" t="inlineStr"/>
      <c r="T158" s="41" t="inlineStr">
        <is>
          <t>кор</t>
        </is>
      </c>
      <c r="U158" s="364" t="n">
        <v>0</v>
      </c>
      <c r="V158" s="365">
        <f>IFERROR(IF(U158="","",U158),"")</f>
        <v/>
      </c>
      <c r="W158" s="42">
        <f>IFERROR(IF(U158="","",U158*0.00936),"")</f>
        <v/>
      </c>
      <c r="X158" s="69" t="inlineStr"/>
      <c r="Y158" s="70" t="inlineStr"/>
      <c r="AC158" s="132" t="inlineStr">
        <is>
          <t>ПГП</t>
        </is>
      </c>
    </row>
    <row r="159" ht="27" customHeight="1">
      <c r="A159" s="64" t="inlineStr">
        <is>
          <t>SU002046</t>
        </is>
      </c>
      <c r="B159" s="64" t="inlineStr">
        <is>
          <t>P002167</t>
        </is>
      </c>
      <c r="C159" s="37" t="n">
        <v>4301135004</v>
      </c>
      <c r="D159" s="172" t="n">
        <v>4607111035707</v>
      </c>
      <c r="E159" s="329" t="n"/>
      <c r="F159" s="361" t="n">
        <v>5.5</v>
      </c>
      <c r="G159" s="38" t="n">
        <v>1</v>
      </c>
      <c r="H159" s="361" t="n">
        <v>5.5</v>
      </c>
      <c r="I159" s="361" t="n">
        <v>5.735</v>
      </c>
      <c r="J159" s="38" t="n">
        <v>84</v>
      </c>
      <c r="K159" s="39" t="inlineStr">
        <is>
          <t>МГ</t>
        </is>
      </c>
      <c r="L159" s="38" t="n">
        <v>180</v>
      </c>
      <c r="M159" s="427">
        <f>HYPERLINK("https://abi.ru/products/Замороженные/No Name/No Name ПГП/Снеки/P002167/","Снеки Жар-мени No Name Весовые No name 5,5 кг дистр")</f>
        <v/>
      </c>
      <c r="N159" s="363" t="n"/>
      <c r="O159" s="363" t="n"/>
      <c r="P159" s="363" t="n"/>
      <c r="Q159" s="329" t="n"/>
      <c r="R159" s="40" t="inlineStr"/>
      <c r="S159" s="40" t="inlineStr"/>
      <c r="T159" s="41" t="inlineStr">
        <is>
          <t>кор</t>
        </is>
      </c>
      <c r="U159" s="364" t="n">
        <v>0</v>
      </c>
      <c r="V159" s="365">
        <f>IFERROR(IF(U159="","",U159),"")</f>
        <v/>
      </c>
      <c r="W159" s="42">
        <f>IFERROR(IF(U159="","",U159*0.0155),"")</f>
        <v/>
      </c>
      <c r="X159" s="69" t="inlineStr"/>
      <c r="Y159" s="70" t="inlineStr"/>
      <c r="AC159" s="133" t="inlineStr">
        <is>
          <t>ПГП</t>
        </is>
      </c>
    </row>
    <row r="160" ht="37.5" customHeight="1">
      <c r="A160" s="64" t="inlineStr">
        <is>
          <t>SU002405</t>
        </is>
      </c>
      <c r="B160" s="64" t="inlineStr">
        <is>
          <t>P002964</t>
        </is>
      </c>
      <c r="C160" s="37" t="n">
        <v>4301135129</v>
      </c>
      <c r="D160" s="172" t="n">
        <v>4607111036841</v>
      </c>
      <c r="E160" s="329" t="n"/>
      <c r="F160" s="361" t="n">
        <v>3.5</v>
      </c>
      <c r="G160" s="38" t="n">
        <v>1</v>
      </c>
      <c r="H160" s="361" t="n">
        <v>3.5</v>
      </c>
      <c r="I160" s="361" t="n">
        <v>3.692</v>
      </c>
      <c r="J160" s="38" t="n">
        <v>126</v>
      </c>
      <c r="K160" s="39" t="inlineStr">
        <is>
          <t>МГ</t>
        </is>
      </c>
      <c r="L160" s="38" t="n">
        <v>180</v>
      </c>
      <c r="M160" s="428">
        <f>HYPERLINK("https://abi.ru/products/Замороженные/No Name/No Name ПГП/Снеки/P002964/","Снеки Жар-мени с картофелем и сочной грудинкой No name Весовые No name 3,5 кг")</f>
        <v/>
      </c>
      <c r="N160" s="363" t="n"/>
      <c r="O160" s="363" t="n"/>
      <c r="P160" s="363" t="n"/>
      <c r="Q160" s="329" t="n"/>
      <c r="R160" s="40" t="inlineStr"/>
      <c r="S160" s="40" t="inlineStr"/>
      <c r="T160" s="41" t="inlineStr">
        <is>
          <t>кор</t>
        </is>
      </c>
      <c r="U160" s="364" t="n">
        <v>0</v>
      </c>
      <c r="V160" s="365">
        <f>IFERROR(IF(U160="","",U160),"")</f>
        <v/>
      </c>
      <c r="W160" s="42">
        <f>IFERROR(IF(U160="","",U160*0.00936),"")</f>
        <v/>
      </c>
      <c r="X160" s="69" t="inlineStr"/>
      <c r="Y160" s="70" t="inlineStr"/>
      <c r="AC160" s="134" t="inlineStr">
        <is>
          <t>ПГП</t>
        </is>
      </c>
    </row>
    <row r="161" ht="27" customHeight="1">
      <c r="A161" s="64" t="inlineStr">
        <is>
          <t>SU002889</t>
        </is>
      </c>
      <c r="B161" s="64" t="inlineStr">
        <is>
          <t>P003310</t>
        </is>
      </c>
      <c r="C161" s="37" t="n">
        <v>4301135177</v>
      </c>
      <c r="D161" s="172" t="n">
        <v>4607111037862</v>
      </c>
      <c r="E161" s="329" t="n"/>
      <c r="F161" s="361" t="n">
        <v>1.8</v>
      </c>
      <c r="G161" s="38" t="n">
        <v>1</v>
      </c>
      <c r="H161" s="361" t="n">
        <v>1.8</v>
      </c>
      <c r="I161" s="361" t="n">
        <v>1.912</v>
      </c>
      <c r="J161" s="38" t="n">
        <v>234</v>
      </c>
      <c r="K161" s="39" t="inlineStr">
        <is>
          <t>МГ</t>
        </is>
      </c>
      <c r="L161" s="38" t="n">
        <v>180</v>
      </c>
      <c r="M161" s="429" t="inlineStr">
        <is>
          <t>Мини-сосиски в тесте Фрайпики No name Весовые No name 1,8 кг</t>
        </is>
      </c>
      <c r="N161" s="363" t="n"/>
      <c r="O161" s="363" t="n"/>
      <c r="P161" s="363" t="n"/>
      <c r="Q161" s="329" t="n"/>
      <c r="R161" s="40" t="inlineStr"/>
      <c r="S161" s="40" t="inlineStr"/>
      <c r="T161" s="41" t="inlineStr">
        <is>
          <t>кор</t>
        </is>
      </c>
      <c r="U161" s="364" t="n">
        <v>0</v>
      </c>
      <c r="V161" s="365">
        <f>IFERROR(IF(U161="","",U161),"")</f>
        <v/>
      </c>
      <c r="W161" s="42">
        <f>IFERROR(IF(U161="","",U161*0.00502),"")</f>
        <v/>
      </c>
      <c r="X161" s="69" t="inlineStr"/>
      <c r="Y161" s="70" t="inlineStr"/>
      <c r="AC161" s="135" t="inlineStr">
        <is>
          <t>ПГП</t>
        </is>
      </c>
    </row>
    <row r="162" ht="27" customHeight="1">
      <c r="A162" s="64" t="inlineStr">
        <is>
          <t>SU002794</t>
        </is>
      </c>
      <c r="B162" s="64" t="inlineStr">
        <is>
          <t>P003192</t>
        </is>
      </c>
      <c r="C162" s="37" t="n">
        <v>4301135161</v>
      </c>
      <c r="D162" s="172" t="n">
        <v>4607111037305</v>
      </c>
      <c r="E162" s="329" t="n"/>
      <c r="F162" s="361" t="n">
        <v>3</v>
      </c>
      <c r="G162" s="38" t="n">
        <v>1</v>
      </c>
      <c r="H162" s="361" t="n">
        <v>3</v>
      </c>
      <c r="I162" s="361" t="n">
        <v>3.192</v>
      </c>
      <c r="J162" s="38" t="n">
        <v>126</v>
      </c>
      <c r="K162" s="39" t="inlineStr">
        <is>
          <t>МГ</t>
        </is>
      </c>
      <c r="L162" s="38" t="n">
        <v>180</v>
      </c>
      <c r="M162" s="430" t="inlineStr">
        <is>
          <t>Снеки "Фрай-пицца с ветчиной и грибами" Весовые ТМ "No name" 3 кг</t>
        </is>
      </c>
      <c r="N162" s="363" t="n"/>
      <c r="O162" s="363" t="n"/>
      <c r="P162" s="363" t="n"/>
      <c r="Q162" s="329" t="n"/>
      <c r="R162" s="40" t="inlineStr"/>
      <c r="S162" s="40" t="inlineStr"/>
      <c r="T162" s="41" t="inlineStr">
        <is>
          <t>кор</t>
        </is>
      </c>
      <c r="U162" s="364" t="n">
        <v>25</v>
      </c>
      <c r="V162" s="365">
        <f>IFERROR(IF(U162="","",U162),"")</f>
        <v/>
      </c>
      <c r="W162" s="42">
        <f>IFERROR(IF(U162="","",U162*0.00936),"")</f>
        <v/>
      </c>
      <c r="X162" s="69" t="inlineStr"/>
      <c r="Y162" s="70" t="inlineStr"/>
      <c r="AC162" s="136" t="inlineStr">
        <is>
          <t>ПГП</t>
        </is>
      </c>
    </row>
    <row r="163">
      <c r="A163" s="167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366" t="n"/>
      <c r="M163" s="367" t="inlineStr">
        <is>
          <t>Итого</t>
        </is>
      </c>
      <c r="N163" s="337" t="n"/>
      <c r="O163" s="337" t="n"/>
      <c r="P163" s="337" t="n"/>
      <c r="Q163" s="337" t="n"/>
      <c r="R163" s="337" t="n"/>
      <c r="S163" s="338" t="n"/>
      <c r="T163" s="43" t="inlineStr">
        <is>
          <t>кор</t>
        </is>
      </c>
      <c r="U163" s="368">
        <f>IFERROR(SUM(U153:U162),"0")</f>
        <v/>
      </c>
      <c r="V163" s="368">
        <f>IFERROR(SUM(V153:V162),"0")</f>
        <v/>
      </c>
      <c r="W163" s="368">
        <f>IFERROR(IF(W153="",0,W153),"0")+IFERROR(IF(W154="",0,W154),"0")+IFERROR(IF(W155="",0,W155),"0")+IFERROR(IF(W156="",0,W156),"0")+IFERROR(IF(W157="",0,W157),"0")+IFERROR(IF(W158="",0,W158),"0")+IFERROR(IF(W159="",0,W159),"0")+IFERROR(IF(W160="",0,W160),"0")+IFERROR(IF(W161="",0,W161),"0")+IFERROR(IF(W162="",0,W162),"0")</f>
        <v/>
      </c>
      <c r="X163" s="369" t="n"/>
      <c r="Y163" s="369" t="n"/>
    </row>
    <row r="164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366" t="n"/>
      <c r="M164" s="367" t="inlineStr">
        <is>
          <t>Итого</t>
        </is>
      </c>
      <c r="N164" s="337" t="n"/>
      <c r="O164" s="337" t="n"/>
      <c r="P164" s="337" t="n"/>
      <c r="Q164" s="337" t="n"/>
      <c r="R164" s="337" t="n"/>
      <c r="S164" s="338" t="n"/>
      <c r="T164" s="43" t="inlineStr">
        <is>
          <t>кг</t>
        </is>
      </c>
      <c r="U164" s="368">
        <f>IFERROR(SUMPRODUCT(U153:U162*H153:H162),"0")</f>
        <v/>
      </c>
      <c r="V164" s="368">
        <f>IFERROR(SUMPRODUCT(V153:V162*H153:H162),"0")</f>
        <v/>
      </c>
      <c r="W164" s="43" t="n"/>
      <c r="X164" s="369" t="n"/>
      <c r="Y164" s="369" t="n"/>
    </row>
    <row r="165" ht="16.5" customHeight="1">
      <c r="A165" s="176" t="inlineStr">
        <is>
          <t>Стародворье ПГП</t>
        </is>
      </c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76" t="n"/>
      <c r="Y165" s="176" t="n"/>
    </row>
    <row r="166" ht="14.25" customHeight="1">
      <c r="A166" s="177" t="inlineStr">
        <is>
          <t>Пельмени ПГП</t>
        </is>
      </c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77" t="n"/>
      <c r="Y166" s="177" t="n"/>
    </row>
    <row r="167" ht="16.5" customHeight="1">
      <c r="A167" s="64" t="inlineStr">
        <is>
          <t>SU002891</t>
        </is>
      </c>
      <c r="B167" s="64" t="inlineStr">
        <is>
          <t>P003301</t>
        </is>
      </c>
      <c r="C167" s="37" t="n">
        <v>4301071010</v>
      </c>
      <c r="D167" s="172" t="n">
        <v>4607111037701</v>
      </c>
      <c r="E167" s="329" t="n"/>
      <c r="F167" s="361" t="n">
        <v>5</v>
      </c>
      <c r="G167" s="38" t="n">
        <v>1</v>
      </c>
      <c r="H167" s="361" t="n">
        <v>5</v>
      </c>
      <c r="I167" s="361" t="n">
        <v>5.2</v>
      </c>
      <c r="J167" s="38" t="n">
        <v>144</v>
      </c>
      <c r="K167" s="39" t="inlineStr">
        <is>
          <t>МГ</t>
        </is>
      </c>
      <c r="L167" s="38" t="n">
        <v>180</v>
      </c>
      <c r="M167" s="431" t="inlineStr">
        <is>
          <t>Пельмени "Быстромени" Весовой ТМ "No Name" 5</t>
        </is>
      </c>
      <c r="N167" s="363" t="n"/>
      <c r="O167" s="363" t="n"/>
      <c r="P167" s="363" t="n"/>
      <c r="Q167" s="329" t="n"/>
      <c r="R167" s="40" t="inlineStr"/>
      <c r="S167" s="40" t="inlineStr"/>
      <c r="T167" s="41" t="inlineStr">
        <is>
          <t>кор</t>
        </is>
      </c>
      <c r="U167" s="364" t="n">
        <v>0</v>
      </c>
      <c r="V167" s="365">
        <f>IFERROR(IF(U167="","",U167),"")</f>
        <v/>
      </c>
      <c r="W167" s="42">
        <f>IFERROR(IF(U167="","",U167*0.00866),"")</f>
        <v/>
      </c>
      <c r="X167" s="69" t="inlineStr"/>
      <c r="Y167" s="70" t="inlineStr"/>
      <c r="AC167" s="137" t="inlineStr">
        <is>
          <t>ПГП</t>
        </is>
      </c>
    </row>
    <row r="168">
      <c r="A168" s="167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366" t="n"/>
      <c r="M168" s="367" t="inlineStr">
        <is>
          <t>Итого</t>
        </is>
      </c>
      <c r="N168" s="337" t="n"/>
      <c r="O168" s="337" t="n"/>
      <c r="P168" s="337" t="n"/>
      <c r="Q168" s="337" t="n"/>
      <c r="R168" s="337" t="n"/>
      <c r="S168" s="338" t="n"/>
      <c r="T168" s="43" t="inlineStr">
        <is>
          <t>кор</t>
        </is>
      </c>
      <c r="U168" s="368">
        <f>IFERROR(SUM(U167:U167),"0")</f>
        <v/>
      </c>
      <c r="V168" s="368">
        <f>IFERROR(SUM(V167:V167),"0")</f>
        <v/>
      </c>
      <c r="W168" s="368">
        <f>IFERROR(IF(W167="",0,W167),"0")</f>
        <v/>
      </c>
      <c r="X168" s="369" t="n"/>
      <c r="Y168" s="369" t="n"/>
    </row>
    <row r="169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366" t="n"/>
      <c r="M169" s="367" t="inlineStr">
        <is>
          <t>Итого</t>
        </is>
      </c>
      <c r="N169" s="337" t="n"/>
      <c r="O169" s="337" t="n"/>
      <c r="P169" s="337" t="n"/>
      <c r="Q169" s="337" t="n"/>
      <c r="R169" s="337" t="n"/>
      <c r="S169" s="338" t="n"/>
      <c r="T169" s="43" t="inlineStr">
        <is>
          <t>кг</t>
        </is>
      </c>
      <c r="U169" s="368">
        <f>IFERROR(SUMPRODUCT(U167:U167*H167:H167),"0")</f>
        <v/>
      </c>
      <c r="V169" s="368">
        <f>IFERROR(SUMPRODUCT(V167:V167*H167:H167),"0")</f>
        <v/>
      </c>
      <c r="W169" s="43" t="n"/>
      <c r="X169" s="369" t="n"/>
      <c r="Y169" s="369" t="n"/>
    </row>
    <row r="170" ht="16.5" customHeight="1">
      <c r="A170" s="176" t="inlineStr">
        <is>
          <t>No Name ЗПФ</t>
        </is>
      </c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76" t="n"/>
      <c r="Y170" s="176" t="n"/>
    </row>
    <row r="171" ht="14.25" customHeight="1">
      <c r="A171" s="177" t="inlineStr">
        <is>
          <t>Пельмени</t>
        </is>
      </c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77" t="n"/>
      <c r="Y171" s="177" t="n"/>
    </row>
    <row r="172" ht="16.5" customHeight="1">
      <c r="A172" s="64" t="inlineStr">
        <is>
          <t>SU002396</t>
        </is>
      </c>
      <c r="B172" s="64" t="inlineStr">
        <is>
          <t>P002689</t>
        </is>
      </c>
      <c r="C172" s="37" t="n">
        <v>4301070871</v>
      </c>
      <c r="D172" s="172" t="n">
        <v>4607111036384</v>
      </c>
      <c r="E172" s="329" t="n"/>
      <c r="F172" s="361" t="n">
        <v>1</v>
      </c>
      <c r="G172" s="38" t="n">
        <v>5</v>
      </c>
      <c r="H172" s="361" t="n">
        <v>5</v>
      </c>
      <c r="I172" s="361" t="n">
        <v>5.253</v>
      </c>
      <c r="J172" s="38" t="n">
        <v>144</v>
      </c>
      <c r="K172" s="39" t="inlineStr">
        <is>
          <t>МГ</t>
        </is>
      </c>
      <c r="L172" s="38" t="n">
        <v>90</v>
      </c>
      <c r="M172" s="432">
        <f>HYPERLINK("https://abi.ru/products/Замороженные/No Name/No Name ЗПФ/Пельмени/P002689/","Пельмени Зареченские No name Весовые Сфера No name 5 кг")</f>
        <v/>
      </c>
      <c r="N172" s="363" t="n"/>
      <c r="O172" s="363" t="n"/>
      <c r="P172" s="363" t="n"/>
      <c r="Q172" s="329" t="n"/>
      <c r="R172" s="40" t="inlineStr"/>
      <c r="S172" s="40" t="inlineStr"/>
      <c r="T172" s="41" t="inlineStr">
        <is>
          <t>кор</t>
        </is>
      </c>
      <c r="U172" s="364" t="n">
        <v>0</v>
      </c>
      <c r="V172" s="365">
        <f>IFERROR(IF(U172="","",U172),"")</f>
        <v/>
      </c>
      <c r="W172" s="42">
        <f>IFERROR(IF(U172="","",U172*0.00866),"")</f>
        <v/>
      </c>
      <c r="X172" s="69" t="inlineStr"/>
      <c r="Y172" s="70" t="inlineStr"/>
      <c r="AC172" s="138" t="inlineStr">
        <is>
          <t>ЗПФ</t>
        </is>
      </c>
    </row>
    <row r="173" ht="27" customHeight="1">
      <c r="A173" s="64" t="inlineStr">
        <is>
          <t>SU002314</t>
        </is>
      </c>
      <c r="B173" s="64" t="inlineStr">
        <is>
          <t>P002579</t>
        </is>
      </c>
      <c r="C173" s="37" t="n">
        <v>4301070858</v>
      </c>
      <c r="D173" s="172" t="n">
        <v>4607111036193</v>
      </c>
      <c r="E173" s="329" t="n"/>
      <c r="F173" s="361" t="n">
        <v>1</v>
      </c>
      <c r="G173" s="38" t="n">
        <v>5</v>
      </c>
      <c r="H173" s="361" t="n">
        <v>5</v>
      </c>
      <c r="I173" s="361" t="n">
        <v>5.275</v>
      </c>
      <c r="J173" s="38" t="n">
        <v>144</v>
      </c>
      <c r="K173" s="39" t="inlineStr">
        <is>
          <t>МГ</t>
        </is>
      </c>
      <c r="L173" s="38" t="n">
        <v>90</v>
      </c>
      <c r="M173" s="433">
        <f>HYPERLINK("https://abi.ru/products/Замороженные/No Name/No Name ЗПФ/Пельмени/P002579/","Пельмени Классические No name Весовые Хинкали No name 5 кг")</f>
        <v/>
      </c>
      <c r="N173" s="363" t="n"/>
      <c r="O173" s="363" t="n"/>
      <c r="P173" s="363" t="n"/>
      <c r="Q173" s="329" t="n"/>
      <c r="R173" s="40" t="inlineStr"/>
      <c r="S173" s="40" t="inlineStr"/>
      <c r="T173" s="41" t="inlineStr">
        <is>
          <t>кор</t>
        </is>
      </c>
      <c r="U173" s="364" t="n">
        <v>0</v>
      </c>
      <c r="V173" s="365">
        <f>IFERROR(IF(U173="","",U173),"")</f>
        <v/>
      </c>
      <c r="W173" s="42">
        <f>IFERROR(IF(U173="","",U173*0.00866),"")</f>
        <v/>
      </c>
      <c r="X173" s="69" t="inlineStr"/>
      <c r="Y173" s="70" t="inlineStr"/>
      <c r="AC173" s="139" t="inlineStr">
        <is>
          <t>ЗПФ</t>
        </is>
      </c>
    </row>
    <row r="174" ht="27" customHeight="1">
      <c r="A174" s="64" t="inlineStr">
        <is>
          <t>SU000197</t>
        </is>
      </c>
      <c r="B174" s="64" t="inlineStr">
        <is>
          <t>P002413</t>
        </is>
      </c>
      <c r="C174" s="37" t="n">
        <v>4301070827</v>
      </c>
      <c r="D174" s="172" t="n">
        <v>4607111036216</v>
      </c>
      <c r="E174" s="329" t="n"/>
      <c r="F174" s="361" t="n">
        <v>1</v>
      </c>
      <c r="G174" s="38" t="n">
        <v>5</v>
      </c>
      <c r="H174" s="361" t="n">
        <v>5</v>
      </c>
      <c r="I174" s="361" t="n">
        <v>5.266</v>
      </c>
      <c r="J174" s="38" t="n">
        <v>144</v>
      </c>
      <c r="K174" s="39" t="inlineStr">
        <is>
          <t>МГ</t>
        </is>
      </c>
      <c r="L174" s="38" t="n">
        <v>90</v>
      </c>
      <c r="M174" s="434">
        <f>HYPERLINK("https://abi.ru/products/Замороженные/No Name/No Name ЗПФ/Пельмени/P002413/","Пельмени Пуговки с говядиной и свининой No Name Весовые Сфера No Name 5 кг")</f>
        <v/>
      </c>
      <c r="N174" s="363" t="n"/>
      <c r="O174" s="363" t="n"/>
      <c r="P174" s="363" t="n"/>
      <c r="Q174" s="329" t="n"/>
      <c r="R174" s="40" t="inlineStr"/>
      <c r="S174" s="40" t="inlineStr"/>
      <c r="T174" s="41" t="inlineStr">
        <is>
          <t>кор</t>
        </is>
      </c>
      <c r="U174" s="364" t="n">
        <v>30</v>
      </c>
      <c r="V174" s="365">
        <f>IFERROR(IF(U174="","",U174),"")</f>
        <v/>
      </c>
      <c r="W174" s="42">
        <f>IFERROR(IF(U174="","",U174*0.00866),"")</f>
        <v/>
      </c>
      <c r="X174" s="69" t="inlineStr"/>
      <c r="Y174" s="70" t="inlineStr"/>
      <c r="AC174" s="140" t="inlineStr">
        <is>
          <t>ЗПФ</t>
        </is>
      </c>
    </row>
    <row r="175" ht="27" customHeight="1">
      <c r="A175" s="64" t="inlineStr">
        <is>
          <t>SU002335</t>
        </is>
      </c>
      <c r="B175" s="64" t="inlineStr">
        <is>
          <t>P002980</t>
        </is>
      </c>
      <c r="C175" s="37" t="n">
        <v>4301070911</v>
      </c>
      <c r="D175" s="172" t="n">
        <v>4607111036278</v>
      </c>
      <c r="E175" s="329" t="n"/>
      <c r="F175" s="361" t="n">
        <v>1</v>
      </c>
      <c r="G175" s="38" t="n">
        <v>5</v>
      </c>
      <c r="H175" s="361" t="n">
        <v>5</v>
      </c>
      <c r="I175" s="361" t="n">
        <v>5.283</v>
      </c>
      <c r="J175" s="38" t="n">
        <v>84</v>
      </c>
      <c r="K175" s="39" t="inlineStr">
        <is>
          <t>МГ</t>
        </is>
      </c>
      <c r="L175" s="38" t="n">
        <v>120</v>
      </c>
      <c r="M175" s="435">
        <f>HYPERLINK("https://abi.ru/products/Замороженные/No Name/No Name ЗПФ/Пельмени/P002980/","Пельмени Умелый повар No name Весовые Равиоли No name 5 кг")</f>
        <v/>
      </c>
      <c r="N175" s="363" t="n"/>
      <c r="O175" s="363" t="n"/>
      <c r="P175" s="363" t="n"/>
      <c r="Q175" s="329" t="n"/>
      <c r="R175" s="40" t="inlineStr"/>
      <c r="S175" s="40" t="inlineStr"/>
      <c r="T175" s="41" t="inlineStr">
        <is>
          <t>кор</t>
        </is>
      </c>
      <c r="U175" s="364" t="n">
        <v>0</v>
      </c>
      <c r="V175" s="365">
        <f>IFERROR(IF(U175="","",U175),"")</f>
        <v/>
      </c>
      <c r="W175" s="42">
        <f>IFERROR(IF(U175="","",U175*0.0155),"")</f>
        <v/>
      </c>
      <c r="X175" s="69" t="inlineStr"/>
      <c r="Y175" s="70" t="inlineStr"/>
      <c r="AC175" s="141" t="inlineStr">
        <is>
          <t>ЗПФ</t>
        </is>
      </c>
    </row>
    <row r="176">
      <c r="A176" s="167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366" t="n"/>
      <c r="M176" s="367" t="inlineStr">
        <is>
          <t>Итого</t>
        </is>
      </c>
      <c r="N176" s="337" t="n"/>
      <c r="O176" s="337" t="n"/>
      <c r="P176" s="337" t="n"/>
      <c r="Q176" s="337" t="n"/>
      <c r="R176" s="337" t="n"/>
      <c r="S176" s="338" t="n"/>
      <c r="T176" s="43" t="inlineStr">
        <is>
          <t>кор</t>
        </is>
      </c>
      <c r="U176" s="368">
        <f>IFERROR(SUM(U172:U175),"0")</f>
        <v/>
      </c>
      <c r="V176" s="368">
        <f>IFERROR(SUM(V172:V175),"0")</f>
        <v/>
      </c>
      <c r="W176" s="368">
        <f>IFERROR(IF(W172="",0,W172),"0")+IFERROR(IF(W173="",0,W173),"0")+IFERROR(IF(W174="",0,W174),"0")+IFERROR(IF(W175="",0,W175),"0")</f>
        <v/>
      </c>
      <c r="X176" s="369" t="n"/>
      <c r="Y176" s="369" t="n"/>
    </row>
    <row r="177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366" t="n"/>
      <c r="M177" s="367" t="inlineStr">
        <is>
          <t>Итого</t>
        </is>
      </c>
      <c r="N177" s="337" t="n"/>
      <c r="O177" s="337" t="n"/>
      <c r="P177" s="337" t="n"/>
      <c r="Q177" s="337" t="n"/>
      <c r="R177" s="337" t="n"/>
      <c r="S177" s="338" t="n"/>
      <c r="T177" s="43" t="inlineStr">
        <is>
          <t>кг</t>
        </is>
      </c>
      <c r="U177" s="368">
        <f>IFERROR(SUMPRODUCT(U172:U175*H172:H175),"0")</f>
        <v/>
      </c>
      <c r="V177" s="368">
        <f>IFERROR(SUMPRODUCT(V172:V175*H172:H175),"0")</f>
        <v/>
      </c>
      <c r="W177" s="43" t="n"/>
      <c r="X177" s="369" t="n"/>
      <c r="Y177" s="369" t="n"/>
    </row>
    <row r="178" ht="14.25" customHeight="1">
      <c r="A178" s="177" t="inlineStr">
        <is>
          <t>Вареники</t>
        </is>
      </c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77" t="n"/>
      <c r="Y178" s="177" t="n"/>
    </row>
    <row r="179" ht="27" customHeight="1">
      <c r="A179" s="64" t="inlineStr">
        <is>
          <t>SU002532</t>
        </is>
      </c>
      <c r="B179" s="64" t="inlineStr">
        <is>
          <t>P002958</t>
        </is>
      </c>
      <c r="C179" s="37" t="n">
        <v>4301080153</v>
      </c>
      <c r="D179" s="172" t="n">
        <v>4607111036827</v>
      </c>
      <c r="E179" s="329" t="n"/>
      <c r="F179" s="361" t="n">
        <v>1</v>
      </c>
      <c r="G179" s="38" t="n">
        <v>5</v>
      </c>
      <c r="H179" s="361" t="n">
        <v>5</v>
      </c>
      <c r="I179" s="361" t="n">
        <v>5.2</v>
      </c>
      <c r="J179" s="38" t="n">
        <v>144</v>
      </c>
      <c r="K179" s="39" t="inlineStr">
        <is>
          <t>МГ</t>
        </is>
      </c>
      <c r="L179" s="38" t="n">
        <v>90</v>
      </c>
      <c r="M179" s="436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/>
      </c>
      <c r="N179" s="363" t="n"/>
      <c r="O179" s="363" t="n"/>
      <c r="P179" s="363" t="n"/>
      <c r="Q179" s="329" t="n"/>
      <c r="R179" s="40" t="inlineStr"/>
      <c r="S179" s="40" t="inlineStr"/>
      <c r="T179" s="41" t="inlineStr">
        <is>
          <t>кор</t>
        </is>
      </c>
      <c r="U179" s="364" t="n">
        <v>0</v>
      </c>
      <c r="V179" s="365">
        <f>IFERROR(IF(U179="","",U179),"")</f>
        <v/>
      </c>
      <c r="W179" s="42">
        <f>IFERROR(IF(U179="","",U179*0.00866),"")</f>
        <v/>
      </c>
      <c r="X179" s="69" t="inlineStr"/>
      <c r="Y179" s="70" t="inlineStr"/>
      <c r="AC179" s="142" t="inlineStr">
        <is>
          <t>ЗПФ</t>
        </is>
      </c>
    </row>
    <row r="180" ht="27" customHeight="1">
      <c r="A180" s="64" t="inlineStr">
        <is>
          <t>SU002483</t>
        </is>
      </c>
      <c r="B180" s="64" t="inlineStr">
        <is>
          <t>P002961</t>
        </is>
      </c>
      <c r="C180" s="37" t="n">
        <v>4301080154</v>
      </c>
      <c r="D180" s="172" t="n">
        <v>4607111036834</v>
      </c>
      <c r="E180" s="329" t="n"/>
      <c r="F180" s="361" t="n">
        <v>1</v>
      </c>
      <c r="G180" s="38" t="n">
        <v>5</v>
      </c>
      <c r="H180" s="361" t="n">
        <v>5</v>
      </c>
      <c r="I180" s="361" t="n">
        <v>5.253</v>
      </c>
      <c r="J180" s="38" t="n">
        <v>144</v>
      </c>
      <c r="K180" s="39" t="inlineStr">
        <is>
          <t>МГ</t>
        </is>
      </c>
      <c r="L180" s="38" t="n">
        <v>90</v>
      </c>
      <c r="M180" s="437">
        <f>HYPERLINK("https://abi.ru/products/Замороженные/No Name/No Name ЗПФ/Вареники/P002961/","Вареники с картофелем и луком No name Весовые Классическая форма No name 5 кг")</f>
        <v/>
      </c>
      <c r="N180" s="363" t="n"/>
      <c r="O180" s="363" t="n"/>
      <c r="P180" s="363" t="n"/>
      <c r="Q180" s="329" t="n"/>
      <c r="R180" s="40" t="inlineStr"/>
      <c r="S180" s="40" t="inlineStr"/>
      <c r="T180" s="41" t="inlineStr">
        <is>
          <t>кор</t>
        </is>
      </c>
      <c r="U180" s="364" t="n">
        <v>0</v>
      </c>
      <c r="V180" s="365">
        <f>IFERROR(IF(U180="","",U180),"")</f>
        <v/>
      </c>
      <c r="W180" s="42">
        <f>IFERROR(IF(U180="","",U180*0.00866),"")</f>
        <v/>
      </c>
      <c r="X180" s="69" t="inlineStr"/>
      <c r="Y180" s="70" t="inlineStr"/>
      <c r="AC180" s="143" t="inlineStr">
        <is>
          <t>ЗПФ</t>
        </is>
      </c>
    </row>
    <row r="181">
      <c r="A181" s="167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366" t="n"/>
      <c r="M181" s="367" t="inlineStr">
        <is>
          <t>Итого</t>
        </is>
      </c>
      <c r="N181" s="337" t="n"/>
      <c r="O181" s="337" t="n"/>
      <c r="P181" s="337" t="n"/>
      <c r="Q181" s="337" t="n"/>
      <c r="R181" s="337" t="n"/>
      <c r="S181" s="338" t="n"/>
      <c r="T181" s="43" t="inlineStr">
        <is>
          <t>кор</t>
        </is>
      </c>
      <c r="U181" s="368">
        <f>IFERROR(SUM(U179:U180),"0")</f>
        <v/>
      </c>
      <c r="V181" s="368">
        <f>IFERROR(SUM(V179:V180),"0")</f>
        <v/>
      </c>
      <c r="W181" s="368">
        <f>IFERROR(IF(W179="",0,W179),"0")+IFERROR(IF(W180="",0,W180),"0")</f>
        <v/>
      </c>
      <c r="X181" s="369" t="n"/>
      <c r="Y181" s="369" t="n"/>
    </row>
    <row r="182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366" t="n"/>
      <c r="M182" s="367" t="inlineStr">
        <is>
          <t>Итого</t>
        </is>
      </c>
      <c r="N182" s="337" t="n"/>
      <c r="O182" s="337" t="n"/>
      <c r="P182" s="337" t="n"/>
      <c r="Q182" s="337" t="n"/>
      <c r="R182" s="337" t="n"/>
      <c r="S182" s="338" t="n"/>
      <c r="T182" s="43" t="inlineStr">
        <is>
          <t>кг</t>
        </is>
      </c>
      <c r="U182" s="368">
        <f>IFERROR(SUMPRODUCT(U179:U180*H179:H180),"0")</f>
        <v/>
      </c>
      <c r="V182" s="368">
        <f>IFERROR(SUMPRODUCT(V179:V180*H179:H180),"0")</f>
        <v/>
      </c>
      <c r="W182" s="43" t="n"/>
      <c r="X182" s="369" t="n"/>
      <c r="Y182" s="369" t="n"/>
    </row>
    <row r="183" ht="27.75" customHeight="1">
      <c r="A183" s="180" t="inlineStr">
        <is>
          <t>Вязанка</t>
        </is>
      </c>
      <c r="B183" s="360" t="n"/>
      <c r="C183" s="360" t="n"/>
      <c r="D183" s="360" t="n"/>
      <c r="E183" s="360" t="n"/>
      <c r="F183" s="360" t="n"/>
      <c r="G183" s="360" t="n"/>
      <c r="H183" s="360" t="n"/>
      <c r="I183" s="360" t="n"/>
      <c r="J183" s="360" t="n"/>
      <c r="K183" s="360" t="n"/>
      <c r="L183" s="360" t="n"/>
      <c r="M183" s="360" t="n"/>
      <c r="N183" s="360" t="n"/>
      <c r="O183" s="360" t="n"/>
      <c r="P183" s="360" t="n"/>
      <c r="Q183" s="360" t="n"/>
      <c r="R183" s="360" t="n"/>
      <c r="S183" s="360" t="n"/>
      <c r="T183" s="360" t="n"/>
      <c r="U183" s="360" t="n"/>
      <c r="V183" s="360" t="n"/>
      <c r="W183" s="360" t="n"/>
      <c r="X183" s="55" t="n"/>
      <c r="Y183" s="55" t="n"/>
    </row>
    <row r="184" ht="16.5" customHeight="1">
      <c r="A184" s="176" t="inlineStr">
        <is>
          <t>Няняггетсы Сливушки</t>
        </is>
      </c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76" t="n"/>
      <c r="Y184" s="176" t="n"/>
    </row>
    <row r="185" ht="14.25" customHeight="1">
      <c r="A185" s="177" t="inlineStr">
        <is>
          <t>Наггетсы</t>
        </is>
      </c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77" t="n"/>
      <c r="Y185" s="177" t="n"/>
    </row>
    <row r="186" ht="16.5" customHeight="1">
      <c r="A186" s="64" t="inlineStr">
        <is>
          <t>SU002516</t>
        </is>
      </c>
      <c r="B186" s="64" t="inlineStr">
        <is>
          <t>P002823</t>
        </is>
      </c>
      <c r="C186" s="37" t="n">
        <v>4301132048</v>
      </c>
      <c r="D186" s="172" t="n">
        <v>4607111035721</v>
      </c>
      <c r="E186" s="329" t="n"/>
      <c r="F186" s="361" t="n">
        <v>0.25</v>
      </c>
      <c r="G186" s="38" t="n">
        <v>12</v>
      </c>
      <c r="H186" s="361" t="n">
        <v>3</v>
      </c>
      <c r="I186" s="361" t="n">
        <v>3.388</v>
      </c>
      <c r="J186" s="38" t="n">
        <v>70</v>
      </c>
      <c r="K186" s="39" t="inlineStr">
        <is>
          <t>МГ</t>
        </is>
      </c>
      <c r="L186" s="38" t="n">
        <v>180</v>
      </c>
      <c r="M186" s="438">
        <f>HYPERLINK("https://abi.ru/products/Замороженные/Вязанка/Няняггетсы Сливушки/Наггетсы/P002823/","Наггетсы С индейкой Наггетсы Фикс.вес 0,25 Лоток Вязанка")</f>
        <v/>
      </c>
      <c r="N186" s="363" t="n"/>
      <c r="O186" s="363" t="n"/>
      <c r="P186" s="363" t="n"/>
      <c r="Q186" s="329" t="n"/>
      <c r="R186" s="40" t="inlineStr"/>
      <c r="S186" s="40" t="inlineStr"/>
      <c r="T186" s="41" t="inlineStr">
        <is>
          <t>кор</t>
        </is>
      </c>
      <c r="U186" s="364" t="n">
        <v>31</v>
      </c>
      <c r="V186" s="365">
        <f>IFERROR(IF(U186="","",U186),"")</f>
        <v/>
      </c>
      <c r="W186" s="42">
        <f>IFERROR(IF(U186="","",U186*0.01788),"")</f>
        <v/>
      </c>
      <c r="X186" s="69" t="inlineStr"/>
      <c r="Y186" s="70" t="inlineStr"/>
      <c r="AC186" s="144" t="inlineStr">
        <is>
          <t>ПГП</t>
        </is>
      </c>
    </row>
    <row r="187" ht="27" customHeight="1">
      <c r="A187" s="64" t="inlineStr">
        <is>
          <t>SU002514</t>
        </is>
      </c>
      <c r="B187" s="64" t="inlineStr">
        <is>
          <t>P002820</t>
        </is>
      </c>
      <c r="C187" s="37" t="n">
        <v>4301132046</v>
      </c>
      <c r="D187" s="172" t="n">
        <v>4607111035691</v>
      </c>
      <c r="E187" s="329" t="n"/>
      <c r="F187" s="361" t="n">
        <v>0.25</v>
      </c>
      <c r="G187" s="38" t="n">
        <v>12</v>
      </c>
      <c r="H187" s="361" t="n">
        <v>3</v>
      </c>
      <c r="I187" s="361" t="n">
        <v>3.388</v>
      </c>
      <c r="J187" s="38" t="n">
        <v>70</v>
      </c>
      <c r="K187" s="39" t="inlineStr">
        <is>
          <t>МГ</t>
        </is>
      </c>
      <c r="L187" s="38" t="n">
        <v>180</v>
      </c>
      <c r="M187" s="439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/>
      </c>
      <c r="N187" s="363" t="n"/>
      <c r="O187" s="363" t="n"/>
      <c r="P187" s="363" t="n"/>
      <c r="Q187" s="329" t="n"/>
      <c r="R187" s="40" t="inlineStr"/>
      <c r="S187" s="40" t="inlineStr"/>
      <c r="T187" s="41" t="inlineStr">
        <is>
          <t>кор</t>
        </is>
      </c>
      <c r="U187" s="364" t="n">
        <v>0</v>
      </c>
      <c r="V187" s="365">
        <f>IFERROR(IF(U187="","",U187),"")</f>
        <v/>
      </c>
      <c r="W187" s="42">
        <f>IFERROR(IF(U187="","",U187*0.01788),"")</f>
        <v/>
      </c>
      <c r="X187" s="69" t="inlineStr"/>
      <c r="Y187" s="70" t="inlineStr"/>
      <c r="AC187" s="145" t="inlineStr">
        <is>
          <t>ПГП</t>
        </is>
      </c>
    </row>
    <row r="188">
      <c r="A188" s="167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366" t="n"/>
      <c r="M188" s="367" t="inlineStr">
        <is>
          <t>Итого</t>
        </is>
      </c>
      <c r="N188" s="337" t="n"/>
      <c r="O188" s="337" t="n"/>
      <c r="P188" s="337" t="n"/>
      <c r="Q188" s="337" t="n"/>
      <c r="R188" s="337" t="n"/>
      <c r="S188" s="338" t="n"/>
      <c r="T188" s="43" t="inlineStr">
        <is>
          <t>кор</t>
        </is>
      </c>
      <c r="U188" s="368">
        <f>IFERROR(SUM(U186:U187),"0")</f>
        <v/>
      </c>
      <c r="V188" s="368">
        <f>IFERROR(SUM(V186:V187),"0")</f>
        <v/>
      </c>
      <c r="W188" s="368">
        <f>IFERROR(IF(W186="",0,W186),"0")+IFERROR(IF(W187="",0,W187),"0")</f>
        <v/>
      </c>
      <c r="X188" s="369" t="n"/>
      <c r="Y188" s="369" t="n"/>
    </row>
    <row r="189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366" t="n"/>
      <c r="M189" s="367" t="inlineStr">
        <is>
          <t>Итого</t>
        </is>
      </c>
      <c r="N189" s="337" t="n"/>
      <c r="O189" s="337" t="n"/>
      <c r="P189" s="337" t="n"/>
      <c r="Q189" s="337" t="n"/>
      <c r="R189" s="337" t="n"/>
      <c r="S189" s="338" t="n"/>
      <c r="T189" s="43" t="inlineStr">
        <is>
          <t>кг</t>
        </is>
      </c>
      <c r="U189" s="368">
        <f>IFERROR(SUMPRODUCT(U186:U187*H186:H187),"0")</f>
        <v/>
      </c>
      <c r="V189" s="368">
        <f>IFERROR(SUMPRODUCT(V186:V187*H186:H187),"0")</f>
        <v/>
      </c>
      <c r="W189" s="43" t="n"/>
      <c r="X189" s="369" t="n"/>
      <c r="Y189" s="369" t="n"/>
    </row>
    <row r="190" ht="16.5" customHeight="1">
      <c r="A190" s="176" t="inlineStr">
        <is>
          <t>Печеные пельмени</t>
        </is>
      </c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76" t="n"/>
      <c r="Y190" s="176" t="n"/>
    </row>
    <row r="191" ht="14.25" customHeight="1">
      <c r="A191" s="177" t="inlineStr">
        <is>
          <t>Печеные пельмени</t>
        </is>
      </c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77" t="n"/>
      <c r="Y191" s="177" t="n"/>
    </row>
    <row r="192" ht="27" customHeight="1">
      <c r="A192" s="64" t="inlineStr">
        <is>
          <t>SU002225</t>
        </is>
      </c>
      <c r="B192" s="64" t="inlineStr">
        <is>
          <t>P002411</t>
        </is>
      </c>
      <c r="C192" s="37" t="n">
        <v>4301133002</v>
      </c>
      <c r="D192" s="172" t="n">
        <v>4607111035783</v>
      </c>
      <c r="E192" s="329" t="n"/>
      <c r="F192" s="361" t="n">
        <v>0.2</v>
      </c>
      <c r="G192" s="38" t="n">
        <v>8</v>
      </c>
      <c r="H192" s="361" t="n">
        <v>1.6</v>
      </c>
      <c r="I192" s="361" t="n">
        <v>2.12</v>
      </c>
      <c r="J192" s="38" t="n">
        <v>72</v>
      </c>
      <c r="K192" s="39" t="inlineStr">
        <is>
          <t>МГ</t>
        </is>
      </c>
      <c r="L192" s="38" t="n">
        <v>180</v>
      </c>
      <c r="M192" s="440">
        <f>HYPERLINK("https:///products/Замороженные/Вязанка/Печеные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/>
      </c>
      <c r="N192" s="363" t="n"/>
      <c r="O192" s="363" t="n"/>
      <c r="P192" s="363" t="n"/>
      <c r="Q192" s="329" t="n"/>
      <c r="R192" s="40" t="inlineStr"/>
      <c r="S192" s="40" t="inlineStr"/>
      <c r="T192" s="41" t="inlineStr">
        <is>
          <t>кор</t>
        </is>
      </c>
      <c r="U192" s="364" t="n">
        <v>0</v>
      </c>
      <c r="V192" s="365">
        <f>IFERROR(IF(U192="","",U192),"")</f>
        <v/>
      </c>
      <c r="W192" s="42">
        <f>IFERROR(IF(U192="","",U192*0.01157),"")</f>
        <v/>
      </c>
      <c r="X192" s="69" t="inlineStr"/>
      <c r="Y192" s="70" t="inlineStr"/>
      <c r="AC192" s="146" t="inlineStr">
        <is>
          <t>ПГП</t>
        </is>
      </c>
    </row>
    <row r="193">
      <c r="A193" s="167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366" t="n"/>
      <c r="M193" s="367" t="inlineStr">
        <is>
          <t>Итого</t>
        </is>
      </c>
      <c r="N193" s="337" t="n"/>
      <c r="O193" s="337" t="n"/>
      <c r="P193" s="337" t="n"/>
      <c r="Q193" s="337" t="n"/>
      <c r="R193" s="337" t="n"/>
      <c r="S193" s="338" t="n"/>
      <c r="T193" s="43" t="inlineStr">
        <is>
          <t>кор</t>
        </is>
      </c>
      <c r="U193" s="368">
        <f>IFERROR(SUM(U192:U192),"0")</f>
        <v/>
      </c>
      <c r="V193" s="368">
        <f>IFERROR(SUM(V192:V192),"0")</f>
        <v/>
      </c>
      <c r="W193" s="368">
        <f>IFERROR(IF(W192="",0,W192),"0")</f>
        <v/>
      </c>
      <c r="X193" s="369" t="n"/>
      <c r="Y193" s="369" t="n"/>
    </row>
    <row r="194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366" t="n"/>
      <c r="M194" s="367" t="inlineStr">
        <is>
          <t>Итого</t>
        </is>
      </c>
      <c r="N194" s="337" t="n"/>
      <c r="O194" s="337" t="n"/>
      <c r="P194" s="337" t="n"/>
      <c r="Q194" s="337" t="n"/>
      <c r="R194" s="337" t="n"/>
      <c r="S194" s="338" t="n"/>
      <c r="T194" s="43" t="inlineStr">
        <is>
          <t>кг</t>
        </is>
      </c>
      <c r="U194" s="368">
        <f>IFERROR(SUMPRODUCT(U192:U192*H192:H192),"0")</f>
        <v/>
      </c>
      <c r="V194" s="368">
        <f>IFERROR(SUMPRODUCT(V192:V192*H192:H192),"0")</f>
        <v/>
      </c>
      <c r="W194" s="43" t="n"/>
      <c r="X194" s="369" t="n"/>
      <c r="Y194" s="369" t="n"/>
    </row>
    <row r="195" ht="16.5" customHeight="1">
      <c r="A195" s="176" t="inlineStr">
        <is>
          <t>Вязанка</t>
        </is>
      </c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76" t="n"/>
      <c r="Y195" s="176" t="n"/>
    </row>
    <row r="196" ht="14.25" customHeight="1">
      <c r="A196" s="177" t="inlineStr">
        <is>
          <t>Сосиски замороженные</t>
        </is>
      </c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77" t="n"/>
      <c r="Y196" s="177" t="n"/>
    </row>
    <row r="197" ht="27" customHeight="1">
      <c r="A197" s="64" t="inlineStr">
        <is>
          <t>SU002677</t>
        </is>
      </c>
      <c r="B197" s="64" t="inlineStr">
        <is>
          <t>P003053</t>
        </is>
      </c>
      <c r="C197" s="37" t="n">
        <v>4301051319</v>
      </c>
      <c r="D197" s="172" t="n">
        <v>4680115881204</v>
      </c>
      <c r="E197" s="329" t="n"/>
      <c r="F197" s="361" t="n">
        <v>0.33</v>
      </c>
      <c r="G197" s="38" t="n">
        <v>6</v>
      </c>
      <c r="H197" s="361" t="n">
        <v>1.98</v>
      </c>
      <c r="I197" s="361" t="n">
        <v>2.246</v>
      </c>
      <c r="J197" s="38" t="n">
        <v>156</v>
      </c>
      <c r="K197" s="39" t="inlineStr">
        <is>
          <t>СК2</t>
        </is>
      </c>
      <c r="L197" s="38" t="n">
        <v>365</v>
      </c>
      <c r="M197" s="441" t="inlineStr">
        <is>
          <t>Сосиски "Сливушки #нежнушки" замороженные Фикс.вес 0,33 п/а ТМ "Вязанка"</t>
        </is>
      </c>
      <c r="N197" s="363" t="n"/>
      <c r="O197" s="363" t="n"/>
      <c r="P197" s="363" t="n"/>
      <c r="Q197" s="329" t="n"/>
      <c r="R197" s="40" t="inlineStr"/>
      <c r="S197" s="40" t="inlineStr"/>
      <c r="T197" s="41" t="inlineStr">
        <is>
          <t>кор</t>
        </is>
      </c>
      <c r="U197" s="364" t="n">
        <v>0</v>
      </c>
      <c r="V197" s="365">
        <f>IFERROR(IF(U197="","",U197),"")</f>
        <v/>
      </c>
      <c r="W197" s="42">
        <f>IFERROR(IF(U197="","",U197*0.00753),"")</f>
        <v/>
      </c>
      <c r="X197" s="69" t="inlineStr"/>
      <c r="Y197" s="70" t="inlineStr"/>
      <c r="AC197" s="147" t="inlineStr">
        <is>
          <t>КИЗ</t>
        </is>
      </c>
    </row>
    <row r="198">
      <c r="A198" s="167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366" t="n"/>
      <c r="M198" s="367" t="inlineStr">
        <is>
          <t>Итого</t>
        </is>
      </c>
      <c r="N198" s="337" t="n"/>
      <c r="O198" s="337" t="n"/>
      <c r="P198" s="337" t="n"/>
      <c r="Q198" s="337" t="n"/>
      <c r="R198" s="337" t="n"/>
      <c r="S198" s="338" t="n"/>
      <c r="T198" s="43" t="inlineStr">
        <is>
          <t>кор</t>
        </is>
      </c>
      <c r="U198" s="368">
        <f>IFERROR(SUM(U197:U197),"0")</f>
        <v/>
      </c>
      <c r="V198" s="368">
        <f>IFERROR(SUM(V197:V197),"0")</f>
        <v/>
      </c>
      <c r="W198" s="368">
        <f>IFERROR(IF(W197="",0,W197),"0")</f>
        <v/>
      </c>
      <c r="X198" s="369" t="n"/>
      <c r="Y198" s="369" t="n"/>
    </row>
    <row r="199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366" t="n"/>
      <c r="M199" s="367" t="inlineStr">
        <is>
          <t>Итого</t>
        </is>
      </c>
      <c r="N199" s="337" t="n"/>
      <c r="O199" s="337" t="n"/>
      <c r="P199" s="337" t="n"/>
      <c r="Q199" s="337" t="n"/>
      <c r="R199" s="337" t="n"/>
      <c r="S199" s="338" t="n"/>
      <c r="T199" s="43" t="inlineStr">
        <is>
          <t>кг</t>
        </is>
      </c>
      <c r="U199" s="368">
        <f>IFERROR(SUMPRODUCT(U197:U197*H197:H197),"0")</f>
        <v/>
      </c>
      <c r="V199" s="368">
        <f>IFERROR(SUMPRODUCT(V197:V197*H197:H197),"0")</f>
        <v/>
      </c>
      <c r="W199" s="43" t="n"/>
      <c r="X199" s="369" t="n"/>
      <c r="Y199" s="369" t="n"/>
    </row>
    <row r="200" ht="27.75" customHeight="1">
      <c r="A200" s="180" t="inlineStr">
        <is>
          <t>Стародворье</t>
        </is>
      </c>
      <c r="B200" s="360" t="n"/>
      <c r="C200" s="360" t="n"/>
      <c r="D200" s="360" t="n"/>
      <c r="E200" s="360" t="n"/>
      <c r="F200" s="360" t="n"/>
      <c r="G200" s="360" t="n"/>
      <c r="H200" s="360" t="n"/>
      <c r="I200" s="360" t="n"/>
      <c r="J200" s="360" t="n"/>
      <c r="K200" s="360" t="n"/>
      <c r="L200" s="360" t="n"/>
      <c r="M200" s="360" t="n"/>
      <c r="N200" s="360" t="n"/>
      <c r="O200" s="360" t="n"/>
      <c r="P200" s="360" t="n"/>
      <c r="Q200" s="360" t="n"/>
      <c r="R200" s="360" t="n"/>
      <c r="S200" s="360" t="n"/>
      <c r="T200" s="360" t="n"/>
      <c r="U200" s="360" t="n"/>
      <c r="V200" s="360" t="n"/>
      <c r="W200" s="360" t="n"/>
      <c r="X200" s="55" t="n"/>
      <c r="Y200" s="55" t="n"/>
    </row>
    <row r="201" ht="16.5" customHeight="1">
      <c r="A201" s="176" t="inlineStr">
        <is>
          <t>Стародворье ЗПФ</t>
        </is>
      </c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76" t="n"/>
      <c r="Y201" s="176" t="n"/>
    </row>
    <row r="202" ht="14.25" customHeight="1">
      <c r="A202" s="177" t="inlineStr">
        <is>
          <t>Пельмени</t>
        </is>
      </c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77" t="n"/>
      <c r="Y202" s="177" t="n"/>
    </row>
    <row r="203" ht="27" customHeight="1">
      <c r="A203" s="64" t="inlineStr">
        <is>
          <t>SU002755</t>
        </is>
      </c>
      <c r="B203" s="64" t="inlineStr">
        <is>
          <t>P003116</t>
        </is>
      </c>
      <c r="C203" s="37" t="n">
        <v>4301070934</v>
      </c>
      <c r="D203" s="172" t="n">
        <v>4607111037022</v>
      </c>
      <c r="E203" s="329" t="n"/>
      <c r="F203" s="361" t="n">
        <v>0.7</v>
      </c>
      <c r="G203" s="38" t="n">
        <v>6</v>
      </c>
      <c r="H203" s="361" t="n">
        <v>4.2</v>
      </c>
      <c r="I203" s="361" t="n">
        <v>4.46</v>
      </c>
      <c r="J203" s="38" t="n">
        <v>84</v>
      </c>
      <c r="K203" s="39" t="inlineStr">
        <is>
          <t>МГ</t>
        </is>
      </c>
      <c r="L203" s="38" t="n">
        <v>180</v>
      </c>
      <c r="M203" s="442">
        <f>HYPERLINK("https://abi.ru/products/Замороженные/Стародворье/Стародворье ЗПФ/Пельмени/P003116/","Пельмени Мясорубские Стародворье ЗПФ 0,7 Равиоли Стародворье")</f>
        <v/>
      </c>
      <c r="N203" s="363" t="n"/>
      <c r="O203" s="363" t="n"/>
      <c r="P203" s="363" t="n"/>
      <c r="Q203" s="329" t="n"/>
      <c r="R203" s="40" t="inlineStr"/>
      <c r="S203" s="40" t="inlineStr"/>
      <c r="T203" s="41" t="inlineStr">
        <is>
          <t>кор</t>
        </is>
      </c>
      <c r="U203" s="364" t="n">
        <v>0</v>
      </c>
      <c r="V203" s="365">
        <f>IFERROR(IF(U203="","",U203),"")</f>
        <v/>
      </c>
      <c r="W203" s="42">
        <f>IFERROR(IF(U203="","",U203*0.0155),"")</f>
        <v/>
      </c>
      <c r="X203" s="69" t="inlineStr"/>
      <c r="Y203" s="70" t="inlineStr"/>
      <c r="AC203" s="148" t="inlineStr">
        <is>
          <t>ЗПФ</t>
        </is>
      </c>
    </row>
    <row r="204" ht="27" customHeight="1">
      <c r="A204" s="64" t="inlineStr">
        <is>
          <t>SU002920</t>
        </is>
      </c>
      <c r="B204" s="64" t="inlineStr">
        <is>
          <t>P003355</t>
        </is>
      </c>
      <c r="C204" s="37" t="n">
        <v>4301070948</v>
      </c>
      <c r="D204" s="172" t="n">
        <v>4607111037022</v>
      </c>
      <c r="E204" s="329" t="n"/>
      <c r="F204" s="361" t="n">
        <v>0.7</v>
      </c>
      <c r="G204" s="38" t="n">
        <v>8</v>
      </c>
      <c r="H204" s="361" t="n">
        <v>5.6</v>
      </c>
      <c r="I204" s="361" t="n">
        <v>5.87</v>
      </c>
      <c r="J204" s="38" t="n">
        <v>84</v>
      </c>
      <c r="K204" s="39" t="inlineStr">
        <is>
          <t>МГ</t>
        </is>
      </c>
      <c r="L204" s="38" t="n">
        <v>180</v>
      </c>
      <c r="M204" s="443" t="inlineStr">
        <is>
          <t>Пельмени Мясорубские Стародворье ЗПФ 0,7 Равиоли Стародворье</t>
        </is>
      </c>
      <c r="N204" s="363" t="n"/>
      <c r="O204" s="363" t="n"/>
      <c r="P204" s="363" t="n"/>
      <c r="Q204" s="329" t="n"/>
      <c r="R204" s="40" t="inlineStr"/>
      <c r="S204" s="40" t="inlineStr"/>
      <c r="T204" s="41" t="inlineStr">
        <is>
          <t>кор</t>
        </is>
      </c>
      <c r="U204" s="364" t="n">
        <v>0</v>
      </c>
      <c r="V204" s="365">
        <f>IFERROR(IF(U204="","",U204),"")</f>
        <v/>
      </c>
      <c r="W204" s="42">
        <f>IFERROR(IF(U204="","",U204*0.0155),"")</f>
        <v/>
      </c>
      <c r="X204" s="69" t="inlineStr"/>
      <c r="Y204" s="70" t="inlineStr"/>
      <c r="AC204" s="149" t="inlineStr">
        <is>
          <t>ЗПФ</t>
        </is>
      </c>
    </row>
    <row r="205">
      <c r="A205" s="167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366" t="n"/>
      <c r="M205" s="367" t="inlineStr">
        <is>
          <t>Итого</t>
        </is>
      </c>
      <c r="N205" s="337" t="n"/>
      <c r="O205" s="337" t="n"/>
      <c r="P205" s="337" t="n"/>
      <c r="Q205" s="337" t="n"/>
      <c r="R205" s="337" t="n"/>
      <c r="S205" s="338" t="n"/>
      <c r="T205" s="43" t="inlineStr">
        <is>
          <t>кор</t>
        </is>
      </c>
      <c r="U205" s="368">
        <f>IFERROR(SUM(U203:U204),"0")</f>
        <v/>
      </c>
      <c r="V205" s="368">
        <f>IFERROR(SUM(V203:V204),"0")</f>
        <v/>
      </c>
      <c r="W205" s="368">
        <f>IFERROR(IF(W203="",0,W203),"0")+IFERROR(IF(W204="",0,W204),"0")</f>
        <v/>
      </c>
      <c r="X205" s="369" t="n"/>
      <c r="Y205" s="369" t="n"/>
    </row>
    <row r="206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366" t="n"/>
      <c r="M206" s="367" t="inlineStr">
        <is>
          <t>Итого</t>
        </is>
      </c>
      <c r="N206" s="337" t="n"/>
      <c r="O206" s="337" t="n"/>
      <c r="P206" s="337" t="n"/>
      <c r="Q206" s="337" t="n"/>
      <c r="R206" s="337" t="n"/>
      <c r="S206" s="338" t="n"/>
      <c r="T206" s="43" t="inlineStr">
        <is>
          <t>кг</t>
        </is>
      </c>
      <c r="U206" s="368">
        <f>IFERROR(SUMPRODUCT(U203:U204*H203:H204),"0")</f>
        <v/>
      </c>
      <c r="V206" s="368">
        <f>IFERROR(SUMPRODUCT(V203:V204*H203:H204),"0")</f>
        <v/>
      </c>
      <c r="W206" s="43" t="n"/>
      <c r="X206" s="369" t="n"/>
      <c r="Y206" s="369" t="n"/>
    </row>
    <row r="207" ht="16.5" customHeight="1">
      <c r="A207" s="176" t="inlineStr">
        <is>
          <t>Медвежье ушко</t>
        </is>
      </c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76" t="n"/>
      <c r="Y207" s="176" t="n"/>
    </row>
    <row r="208" ht="14.25" customHeight="1">
      <c r="A208" s="177" t="inlineStr">
        <is>
          <t>Пельмени</t>
        </is>
      </c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77" t="n"/>
      <c r="Y208" s="177" t="n"/>
    </row>
    <row r="209" ht="27" customHeight="1">
      <c r="A209" s="64" t="inlineStr">
        <is>
          <t>SU002067</t>
        </is>
      </c>
      <c r="B209" s="64" t="inlineStr">
        <is>
          <t>P002999</t>
        </is>
      </c>
      <c r="C209" s="37" t="n">
        <v>4301070915</v>
      </c>
      <c r="D209" s="172" t="n">
        <v>4607111035882</v>
      </c>
      <c r="E209" s="329" t="n"/>
      <c r="F209" s="361" t="n">
        <v>0.43</v>
      </c>
      <c r="G209" s="38" t="n">
        <v>16</v>
      </c>
      <c r="H209" s="361" t="n">
        <v>6.88</v>
      </c>
      <c r="I209" s="361" t="n">
        <v>7.19</v>
      </c>
      <c r="J209" s="38" t="n">
        <v>84</v>
      </c>
      <c r="K209" s="39" t="inlineStr">
        <is>
          <t>МГ</t>
        </is>
      </c>
      <c r="L209" s="38" t="n">
        <v>180</v>
      </c>
      <c r="M209" s="444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/>
      </c>
      <c r="N209" s="363" t="n"/>
      <c r="O209" s="363" t="n"/>
      <c r="P209" s="363" t="n"/>
      <c r="Q209" s="329" t="n"/>
      <c r="R209" s="40" t="inlineStr"/>
      <c r="S209" s="40" t="inlineStr"/>
      <c r="T209" s="41" t="inlineStr">
        <is>
          <t>кор</t>
        </is>
      </c>
      <c r="U209" s="364" t="n">
        <v>0</v>
      </c>
      <c r="V209" s="365">
        <f>IFERROR(IF(U209="","",U209),"")</f>
        <v/>
      </c>
      <c r="W209" s="42">
        <f>IFERROR(IF(U209="","",U209*0.0155),"")</f>
        <v/>
      </c>
      <c r="X209" s="69" t="inlineStr"/>
      <c r="Y209" s="70" t="inlineStr"/>
      <c r="AC209" s="150" t="inlineStr">
        <is>
          <t>ЗПФ</t>
        </is>
      </c>
    </row>
    <row r="210" ht="27" customHeight="1">
      <c r="A210" s="64" t="inlineStr">
        <is>
          <t>SU002068</t>
        </is>
      </c>
      <c r="B210" s="64" t="inlineStr">
        <is>
          <t>P003005</t>
        </is>
      </c>
      <c r="C210" s="37" t="n">
        <v>4301070921</v>
      </c>
      <c r="D210" s="172" t="n">
        <v>4607111035905</v>
      </c>
      <c r="E210" s="329" t="n"/>
      <c r="F210" s="361" t="n">
        <v>0.9</v>
      </c>
      <c r="G210" s="38" t="n">
        <v>8</v>
      </c>
      <c r="H210" s="361" t="n">
        <v>7.2</v>
      </c>
      <c r="I210" s="361" t="n">
        <v>7.47</v>
      </c>
      <c r="J210" s="38" t="n">
        <v>84</v>
      </c>
      <c r="K210" s="39" t="inlineStr">
        <is>
          <t>МГ</t>
        </is>
      </c>
      <c r="L210" s="38" t="n">
        <v>180</v>
      </c>
      <c r="M210" s="445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/>
      </c>
      <c r="N210" s="363" t="n"/>
      <c r="O210" s="363" t="n"/>
      <c r="P210" s="363" t="n"/>
      <c r="Q210" s="329" t="n"/>
      <c r="R210" s="40" t="inlineStr"/>
      <c r="S210" s="40" t="inlineStr"/>
      <c r="T210" s="41" t="inlineStr">
        <is>
          <t>кор</t>
        </is>
      </c>
      <c r="U210" s="364" t="n">
        <v>0</v>
      </c>
      <c r="V210" s="365">
        <f>IFERROR(IF(U210="","",U210),"")</f>
        <v/>
      </c>
      <c r="W210" s="42">
        <f>IFERROR(IF(U210="","",U210*0.0155),"")</f>
        <v/>
      </c>
      <c r="X210" s="69" t="inlineStr"/>
      <c r="Y210" s="70" t="inlineStr"/>
      <c r="AC210" s="151" t="inlineStr">
        <is>
          <t>ЗПФ</t>
        </is>
      </c>
    </row>
    <row r="211" ht="27" customHeight="1">
      <c r="A211" s="64" t="inlineStr">
        <is>
          <t>SU002069</t>
        </is>
      </c>
      <c r="B211" s="64" t="inlineStr">
        <is>
          <t>P003001</t>
        </is>
      </c>
      <c r="C211" s="37" t="n">
        <v>4301070917</v>
      </c>
      <c r="D211" s="172" t="n">
        <v>4607111035912</v>
      </c>
      <c r="E211" s="329" t="n"/>
      <c r="F211" s="361" t="n">
        <v>0.43</v>
      </c>
      <c r="G211" s="38" t="n">
        <v>16</v>
      </c>
      <c r="H211" s="361" t="n">
        <v>6.88</v>
      </c>
      <c r="I211" s="361" t="n">
        <v>7.19</v>
      </c>
      <c r="J211" s="38" t="n">
        <v>84</v>
      </c>
      <c r="K211" s="39" t="inlineStr">
        <is>
          <t>МГ</t>
        </is>
      </c>
      <c r="L211" s="38" t="n">
        <v>180</v>
      </c>
      <c r="M211" s="446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/>
      </c>
      <c r="N211" s="363" t="n"/>
      <c r="O211" s="363" t="n"/>
      <c r="P211" s="363" t="n"/>
      <c r="Q211" s="329" t="n"/>
      <c r="R211" s="40" t="inlineStr"/>
      <c r="S211" s="40" t="inlineStr"/>
      <c r="T211" s="41" t="inlineStr">
        <is>
          <t>кор</t>
        </is>
      </c>
      <c r="U211" s="364" t="n">
        <v>0</v>
      </c>
      <c r="V211" s="365">
        <f>IFERROR(IF(U211="","",U211),"")</f>
        <v/>
      </c>
      <c r="W211" s="42">
        <f>IFERROR(IF(U211="","",U211*0.0155),"")</f>
        <v/>
      </c>
      <c r="X211" s="69" t="inlineStr"/>
      <c r="Y211" s="70" t="inlineStr"/>
      <c r="AC211" s="152" t="inlineStr">
        <is>
          <t>ЗПФ</t>
        </is>
      </c>
    </row>
    <row r="212" ht="27" customHeight="1">
      <c r="A212" s="64" t="inlineStr">
        <is>
          <t>SU002066</t>
        </is>
      </c>
      <c r="B212" s="64" t="inlineStr">
        <is>
          <t>P003004</t>
        </is>
      </c>
      <c r="C212" s="37" t="n">
        <v>4301070920</v>
      </c>
      <c r="D212" s="172" t="n">
        <v>4607111035929</v>
      </c>
      <c r="E212" s="329" t="n"/>
      <c r="F212" s="361" t="n">
        <v>0.9</v>
      </c>
      <c r="G212" s="38" t="n">
        <v>8</v>
      </c>
      <c r="H212" s="361" t="n">
        <v>7.2</v>
      </c>
      <c r="I212" s="361" t="n">
        <v>7.47</v>
      </c>
      <c r="J212" s="38" t="n">
        <v>84</v>
      </c>
      <c r="K212" s="39" t="inlineStr">
        <is>
          <t>МГ</t>
        </is>
      </c>
      <c r="L212" s="38" t="n">
        <v>180</v>
      </c>
      <c r="M212" s="447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/>
      </c>
      <c r="N212" s="363" t="n"/>
      <c r="O212" s="363" t="n"/>
      <c r="P212" s="363" t="n"/>
      <c r="Q212" s="329" t="n"/>
      <c r="R212" s="40" t="inlineStr"/>
      <c r="S212" s="40" t="inlineStr"/>
      <c r="T212" s="41" t="inlineStr">
        <is>
          <t>кор</t>
        </is>
      </c>
      <c r="U212" s="364" t="n">
        <v>4</v>
      </c>
      <c r="V212" s="365">
        <f>IFERROR(IF(U212="","",U212),"")</f>
        <v/>
      </c>
      <c r="W212" s="42">
        <f>IFERROR(IF(U212="","",U212*0.0155),"")</f>
        <v/>
      </c>
      <c r="X212" s="69" t="inlineStr"/>
      <c r="Y212" s="70" t="inlineStr"/>
      <c r="AC212" s="153" t="inlineStr">
        <is>
          <t>ЗПФ</t>
        </is>
      </c>
    </row>
    <row r="213">
      <c r="A213" s="167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366" t="n"/>
      <c r="M213" s="367" t="inlineStr">
        <is>
          <t>Итого</t>
        </is>
      </c>
      <c r="N213" s="337" t="n"/>
      <c r="O213" s="337" t="n"/>
      <c r="P213" s="337" t="n"/>
      <c r="Q213" s="337" t="n"/>
      <c r="R213" s="337" t="n"/>
      <c r="S213" s="338" t="n"/>
      <c r="T213" s="43" t="inlineStr">
        <is>
          <t>кор</t>
        </is>
      </c>
      <c r="U213" s="368">
        <f>IFERROR(SUM(U209:U212),"0")</f>
        <v/>
      </c>
      <c r="V213" s="368">
        <f>IFERROR(SUM(V209:V212),"0")</f>
        <v/>
      </c>
      <c r="W213" s="368">
        <f>IFERROR(IF(W209="",0,W209),"0")+IFERROR(IF(W210="",0,W210),"0")+IFERROR(IF(W211="",0,W211),"0")+IFERROR(IF(W212="",0,W212),"0")</f>
        <v/>
      </c>
      <c r="X213" s="369" t="n"/>
      <c r="Y213" s="369" t="n"/>
    </row>
    <row r="214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366" t="n"/>
      <c r="M214" s="367" t="inlineStr">
        <is>
          <t>Итого</t>
        </is>
      </c>
      <c r="N214" s="337" t="n"/>
      <c r="O214" s="337" t="n"/>
      <c r="P214" s="337" t="n"/>
      <c r="Q214" s="337" t="n"/>
      <c r="R214" s="337" t="n"/>
      <c r="S214" s="338" t="n"/>
      <c r="T214" s="43" t="inlineStr">
        <is>
          <t>кг</t>
        </is>
      </c>
      <c r="U214" s="368">
        <f>IFERROR(SUMPRODUCT(U209:U212*H209:H212),"0")</f>
        <v/>
      </c>
      <c r="V214" s="368">
        <f>IFERROR(SUMPRODUCT(V209:V212*H209:H212),"0")</f>
        <v/>
      </c>
      <c r="W214" s="43" t="n"/>
      <c r="X214" s="369" t="n"/>
      <c r="Y214" s="369" t="n"/>
    </row>
    <row r="215" ht="16.5" customHeight="1">
      <c r="A215" s="176" t="inlineStr">
        <is>
          <t>Бордо</t>
        </is>
      </c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76" t="n"/>
      <c r="Y215" s="176" t="n"/>
    </row>
    <row r="216" ht="14.25" customHeight="1">
      <c r="A216" s="177" t="inlineStr">
        <is>
          <t>Сосиски замороженные</t>
        </is>
      </c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77" t="n"/>
      <c r="Y216" s="177" t="n"/>
    </row>
    <row r="217" ht="27" customHeight="1">
      <c r="A217" s="64" t="inlineStr">
        <is>
          <t>SU002678</t>
        </is>
      </c>
      <c r="B217" s="64" t="inlineStr">
        <is>
          <t>P003054</t>
        </is>
      </c>
      <c r="C217" s="37" t="n">
        <v>4301051320</v>
      </c>
      <c r="D217" s="172" t="n">
        <v>4680115881334</v>
      </c>
      <c r="E217" s="329" t="n"/>
      <c r="F217" s="361" t="n">
        <v>0.33</v>
      </c>
      <c r="G217" s="38" t="n">
        <v>6</v>
      </c>
      <c r="H217" s="361" t="n">
        <v>1.98</v>
      </c>
      <c r="I217" s="361" t="n">
        <v>2.27</v>
      </c>
      <c r="J217" s="38" t="n">
        <v>156</v>
      </c>
      <c r="K217" s="39" t="inlineStr">
        <is>
          <t>СК2</t>
        </is>
      </c>
      <c r="L217" s="38" t="n">
        <v>365</v>
      </c>
      <c r="M217" s="448" t="inlineStr">
        <is>
          <t>Сосиски "Оригинальные" замороженные Фикс.вес 0,33 п/а ТМ "Стародворье"</t>
        </is>
      </c>
      <c r="N217" s="363" t="n"/>
      <c r="O217" s="363" t="n"/>
      <c r="P217" s="363" t="n"/>
      <c r="Q217" s="329" t="n"/>
      <c r="R217" s="40" t="inlineStr"/>
      <c r="S217" s="40" t="inlineStr"/>
      <c r="T217" s="41" t="inlineStr">
        <is>
          <t>кор</t>
        </is>
      </c>
      <c r="U217" s="364" t="n">
        <v>0</v>
      </c>
      <c r="V217" s="365">
        <f>IFERROR(IF(U217="","",U217),"")</f>
        <v/>
      </c>
      <c r="W217" s="42">
        <f>IFERROR(IF(U217="","",U217*0.00753),"")</f>
        <v/>
      </c>
      <c r="X217" s="69" t="inlineStr"/>
      <c r="Y217" s="70" t="inlineStr"/>
      <c r="AC217" s="154" t="inlineStr">
        <is>
          <t>КИЗ</t>
        </is>
      </c>
    </row>
    <row r="218">
      <c r="A218" s="167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366" t="n"/>
      <c r="M218" s="367" t="inlineStr">
        <is>
          <t>Итого</t>
        </is>
      </c>
      <c r="N218" s="337" t="n"/>
      <c r="O218" s="337" t="n"/>
      <c r="P218" s="337" t="n"/>
      <c r="Q218" s="337" t="n"/>
      <c r="R218" s="337" t="n"/>
      <c r="S218" s="338" t="n"/>
      <c r="T218" s="43" t="inlineStr">
        <is>
          <t>кор</t>
        </is>
      </c>
      <c r="U218" s="368">
        <f>IFERROR(SUM(U217:U217),"0")</f>
        <v/>
      </c>
      <c r="V218" s="368">
        <f>IFERROR(SUM(V217:V217),"0")</f>
        <v/>
      </c>
      <c r="W218" s="368">
        <f>IFERROR(IF(W217="",0,W217),"0")</f>
        <v/>
      </c>
      <c r="X218" s="369" t="n"/>
      <c r="Y218" s="369" t="n"/>
    </row>
    <row r="219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366" t="n"/>
      <c r="M219" s="367" t="inlineStr">
        <is>
          <t>Итого</t>
        </is>
      </c>
      <c r="N219" s="337" t="n"/>
      <c r="O219" s="337" t="n"/>
      <c r="P219" s="337" t="n"/>
      <c r="Q219" s="337" t="n"/>
      <c r="R219" s="337" t="n"/>
      <c r="S219" s="338" t="n"/>
      <c r="T219" s="43" t="inlineStr">
        <is>
          <t>кг</t>
        </is>
      </c>
      <c r="U219" s="368">
        <f>IFERROR(SUMPRODUCT(U217:U217*H217:H217),"0")</f>
        <v/>
      </c>
      <c r="V219" s="368">
        <f>IFERROR(SUMPRODUCT(V217:V217*H217:H217),"0")</f>
        <v/>
      </c>
      <c r="W219" s="43" t="n"/>
      <c r="X219" s="369" t="n"/>
      <c r="Y219" s="369" t="n"/>
    </row>
    <row r="220" ht="16.5" customHeight="1">
      <c r="A220" s="176" t="inlineStr">
        <is>
          <t>Сочные</t>
        </is>
      </c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76" t="n"/>
      <c r="Y220" s="176" t="n"/>
    </row>
    <row r="221" ht="14.25" customHeight="1">
      <c r="A221" s="177" t="inlineStr">
        <is>
          <t>Пельмени</t>
        </is>
      </c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77" t="n"/>
      <c r="Y221" s="177" t="n"/>
    </row>
    <row r="222" ht="16.5" customHeight="1">
      <c r="A222" s="64" t="inlineStr">
        <is>
          <t>SU001859</t>
        </is>
      </c>
      <c r="B222" s="64" t="inlineStr">
        <is>
          <t>P002720</t>
        </is>
      </c>
      <c r="C222" s="37" t="n">
        <v>4301070874</v>
      </c>
      <c r="D222" s="172" t="n">
        <v>4607111035332</v>
      </c>
      <c r="E222" s="329" t="n"/>
      <c r="F222" s="361" t="n">
        <v>0.43</v>
      </c>
      <c r="G222" s="38" t="n">
        <v>16</v>
      </c>
      <c r="H222" s="361" t="n">
        <v>6.88</v>
      </c>
      <c r="I222" s="361" t="n">
        <v>7.206</v>
      </c>
      <c r="J222" s="38" t="n">
        <v>84</v>
      </c>
      <c r="K222" s="39" t="inlineStr">
        <is>
          <t>МГ</t>
        </is>
      </c>
      <c r="L222" s="38" t="n">
        <v>180</v>
      </c>
      <c r="M222" s="449">
        <f>HYPERLINK("https://abi.ru/products/Замороженные/Стародворье/Сочные/Пельмени/P002720/","Пельмени Сочные Сочные 0,43 Сфера Стародворье")</f>
        <v/>
      </c>
      <c r="N222" s="363" t="n"/>
      <c r="O222" s="363" t="n"/>
      <c r="P222" s="363" t="n"/>
      <c r="Q222" s="329" t="n"/>
      <c r="R222" s="40" t="inlineStr"/>
      <c r="S222" s="40" t="inlineStr"/>
      <c r="T222" s="41" t="inlineStr">
        <is>
          <t>кор</t>
        </is>
      </c>
      <c r="U222" s="364" t="n">
        <v>0</v>
      </c>
      <c r="V222" s="365">
        <f>IFERROR(IF(U222="","",U222),"")</f>
        <v/>
      </c>
      <c r="W222" s="42">
        <f>IFERROR(IF(U222="","",U222*0.0155),"")</f>
        <v/>
      </c>
      <c r="X222" s="69" t="inlineStr"/>
      <c r="Y222" s="70" t="inlineStr"/>
      <c r="AC222" s="155" t="inlineStr">
        <is>
          <t>ЗПФ</t>
        </is>
      </c>
    </row>
    <row r="223" ht="16.5" customHeight="1">
      <c r="A223" s="64" t="inlineStr">
        <is>
          <t>SU001776</t>
        </is>
      </c>
      <c r="B223" s="64" t="inlineStr">
        <is>
          <t>P002719</t>
        </is>
      </c>
      <c r="C223" s="37" t="n">
        <v>4301070873</v>
      </c>
      <c r="D223" s="172" t="n">
        <v>4607111035080</v>
      </c>
      <c r="E223" s="329" t="n"/>
      <c r="F223" s="361" t="n">
        <v>0.9</v>
      </c>
      <c r="G223" s="38" t="n">
        <v>8</v>
      </c>
      <c r="H223" s="361" t="n">
        <v>7.2</v>
      </c>
      <c r="I223" s="361" t="n">
        <v>7.47</v>
      </c>
      <c r="J223" s="38" t="n">
        <v>84</v>
      </c>
      <c r="K223" s="39" t="inlineStr">
        <is>
          <t>МГ</t>
        </is>
      </c>
      <c r="L223" s="38" t="n">
        <v>180</v>
      </c>
      <c r="M223" s="450">
        <f>HYPERLINK("https://abi.ru/products/Замороженные/Стародворье/Сочные/Пельмени/P002719/","Пельмени Сочные Сочные 0,9 Сфера Стародворье")</f>
        <v/>
      </c>
      <c r="N223" s="363" t="n"/>
      <c r="O223" s="363" t="n"/>
      <c r="P223" s="363" t="n"/>
      <c r="Q223" s="329" t="n"/>
      <c r="R223" s="40" t="inlineStr"/>
      <c r="S223" s="40" t="inlineStr"/>
      <c r="T223" s="41" t="inlineStr">
        <is>
          <t>кор</t>
        </is>
      </c>
      <c r="U223" s="364" t="n">
        <v>0</v>
      </c>
      <c r="V223" s="365">
        <f>IFERROR(IF(U223="","",U223),"")</f>
        <v/>
      </c>
      <c r="W223" s="42">
        <f>IFERROR(IF(U223="","",U223*0.0155),"")</f>
        <v/>
      </c>
      <c r="X223" s="69" t="inlineStr"/>
      <c r="Y223" s="70" t="inlineStr"/>
      <c r="AC223" s="156" t="inlineStr">
        <is>
          <t>ЗПФ</t>
        </is>
      </c>
    </row>
    <row r="224">
      <c r="A224" s="167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366" t="n"/>
      <c r="M224" s="367" t="inlineStr">
        <is>
          <t>Итого</t>
        </is>
      </c>
      <c r="N224" s="337" t="n"/>
      <c r="O224" s="337" t="n"/>
      <c r="P224" s="337" t="n"/>
      <c r="Q224" s="337" t="n"/>
      <c r="R224" s="337" t="n"/>
      <c r="S224" s="338" t="n"/>
      <c r="T224" s="43" t="inlineStr">
        <is>
          <t>кор</t>
        </is>
      </c>
      <c r="U224" s="368">
        <f>IFERROR(SUM(U222:U223),"0")</f>
        <v/>
      </c>
      <c r="V224" s="368">
        <f>IFERROR(SUM(V222:V223),"0")</f>
        <v/>
      </c>
      <c r="W224" s="368">
        <f>IFERROR(IF(W222="",0,W222),"0")+IFERROR(IF(W223="",0,W223),"0")</f>
        <v/>
      </c>
      <c r="X224" s="369" t="n"/>
      <c r="Y224" s="369" t="n"/>
    </row>
    <row r="225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366" t="n"/>
      <c r="M225" s="367" t="inlineStr">
        <is>
          <t>Итого</t>
        </is>
      </c>
      <c r="N225" s="337" t="n"/>
      <c r="O225" s="337" t="n"/>
      <c r="P225" s="337" t="n"/>
      <c r="Q225" s="337" t="n"/>
      <c r="R225" s="337" t="n"/>
      <c r="S225" s="338" t="n"/>
      <c r="T225" s="43" t="inlineStr">
        <is>
          <t>кг</t>
        </is>
      </c>
      <c r="U225" s="368">
        <f>IFERROR(SUMPRODUCT(U222:U223*H222:H223),"0")</f>
        <v/>
      </c>
      <c r="V225" s="368">
        <f>IFERROR(SUMPRODUCT(V222:V223*H222:H223),"0")</f>
        <v/>
      </c>
      <c r="W225" s="43" t="n"/>
      <c r="X225" s="369" t="n"/>
      <c r="Y225" s="369" t="n"/>
    </row>
    <row r="226" ht="27.75" customHeight="1">
      <c r="A226" s="180" t="inlineStr">
        <is>
          <t>Колбасный стандарт</t>
        </is>
      </c>
      <c r="B226" s="360" t="n"/>
      <c r="C226" s="360" t="n"/>
      <c r="D226" s="360" t="n"/>
      <c r="E226" s="360" t="n"/>
      <c r="F226" s="360" t="n"/>
      <c r="G226" s="360" t="n"/>
      <c r="H226" s="360" t="n"/>
      <c r="I226" s="360" t="n"/>
      <c r="J226" s="360" t="n"/>
      <c r="K226" s="360" t="n"/>
      <c r="L226" s="360" t="n"/>
      <c r="M226" s="360" t="n"/>
      <c r="N226" s="360" t="n"/>
      <c r="O226" s="360" t="n"/>
      <c r="P226" s="360" t="n"/>
      <c r="Q226" s="360" t="n"/>
      <c r="R226" s="360" t="n"/>
      <c r="S226" s="360" t="n"/>
      <c r="T226" s="360" t="n"/>
      <c r="U226" s="360" t="n"/>
      <c r="V226" s="360" t="n"/>
      <c r="W226" s="360" t="n"/>
      <c r="X226" s="55" t="n"/>
      <c r="Y226" s="55" t="n"/>
    </row>
    <row r="227" ht="16.5" customHeight="1">
      <c r="A227" s="176" t="inlineStr">
        <is>
          <t>Владимирский Стандарт ЗПФ</t>
        </is>
      </c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76" t="n"/>
      <c r="Y227" s="176" t="n"/>
    </row>
    <row r="228" ht="14.25" customHeight="1">
      <c r="A228" s="177" t="inlineStr">
        <is>
          <t>Пельмени</t>
        </is>
      </c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77" t="n"/>
      <c r="Y228" s="177" t="n"/>
    </row>
    <row r="229" ht="27" customHeight="1">
      <c r="A229" s="64" t="inlineStr">
        <is>
          <t>SU002267</t>
        </is>
      </c>
      <c r="B229" s="64" t="inlineStr">
        <is>
          <t>P003223</t>
        </is>
      </c>
      <c r="C229" s="37" t="n">
        <v>4301070941</v>
      </c>
      <c r="D229" s="172" t="n">
        <v>4607111036162</v>
      </c>
      <c r="E229" s="329" t="n"/>
      <c r="F229" s="361" t="n">
        <v>0.8</v>
      </c>
      <c r="G229" s="38" t="n">
        <v>8</v>
      </c>
      <c r="H229" s="361" t="n">
        <v>6.4</v>
      </c>
      <c r="I229" s="361" t="n">
        <v>6.6812</v>
      </c>
      <c r="J229" s="38" t="n">
        <v>84</v>
      </c>
      <c r="K229" s="39" t="inlineStr">
        <is>
          <t>МГ</t>
        </is>
      </c>
      <c r="L229" s="38" t="n">
        <v>90</v>
      </c>
      <c r="M229" s="451" t="inlineStr">
        <is>
          <t>Пельмени Со свининой и говядиной Владимирский стандарт флоу-пак 0,8 Сфера Колбасный стандарт</t>
        </is>
      </c>
      <c r="N229" s="363" t="n"/>
      <c r="O229" s="363" t="n"/>
      <c r="P229" s="363" t="n"/>
      <c r="Q229" s="329" t="n"/>
      <c r="R229" s="40" t="inlineStr"/>
      <c r="S229" s="40" t="inlineStr"/>
      <c r="T229" s="41" t="inlineStr">
        <is>
          <t>кор</t>
        </is>
      </c>
      <c r="U229" s="364" t="n">
        <v>0</v>
      </c>
      <c r="V229" s="365">
        <f>IFERROR(IF(U229="","",U229),"")</f>
        <v/>
      </c>
      <c r="W229" s="42">
        <f>IFERROR(IF(U229="","",U229*0.0155),"")</f>
        <v/>
      </c>
      <c r="X229" s="69" t="inlineStr"/>
      <c r="Y229" s="70" t="inlineStr"/>
      <c r="AC229" s="157" t="inlineStr">
        <is>
          <t>ЗПФ</t>
        </is>
      </c>
    </row>
    <row r="230">
      <c r="A230" s="167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366" t="n"/>
      <c r="M230" s="367" t="inlineStr">
        <is>
          <t>Итого</t>
        </is>
      </c>
      <c r="N230" s="337" t="n"/>
      <c r="O230" s="337" t="n"/>
      <c r="P230" s="337" t="n"/>
      <c r="Q230" s="337" t="n"/>
      <c r="R230" s="337" t="n"/>
      <c r="S230" s="338" t="n"/>
      <c r="T230" s="43" t="inlineStr">
        <is>
          <t>кор</t>
        </is>
      </c>
      <c r="U230" s="368">
        <f>IFERROR(SUM(U229:U229),"0")</f>
        <v/>
      </c>
      <c r="V230" s="368">
        <f>IFERROR(SUM(V229:V229),"0")</f>
        <v/>
      </c>
      <c r="W230" s="368">
        <f>IFERROR(IF(W229="",0,W229),"0")</f>
        <v/>
      </c>
      <c r="X230" s="369" t="n"/>
      <c r="Y230" s="369" t="n"/>
    </row>
    <row r="231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366" t="n"/>
      <c r="M231" s="367" t="inlineStr">
        <is>
          <t>Итого</t>
        </is>
      </c>
      <c r="N231" s="337" t="n"/>
      <c r="O231" s="337" t="n"/>
      <c r="P231" s="337" t="n"/>
      <c r="Q231" s="337" t="n"/>
      <c r="R231" s="337" t="n"/>
      <c r="S231" s="338" t="n"/>
      <c r="T231" s="43" t="inlineStr">
        <is>
          <t>кг</t>
        </is>
      </c>
      <c r="U231" s="368">
        <f>IFERROR(SUMPRODUCT(U229:U229*H229:H229),"0")</f>
        <v/>
      </c>
      <c r="V231" s="368">
        <f>IFERROR(SUMPRODUCT(V229:V229*H229:H229),"0")</f>
        <v/>
      </c>
      <c r="W231" s="43" t="n"/>
      <c r="X231" s="369" t="n"/>
      <c r="Y231" s="369" t="n"/>
    </row>
    <row r="232" ht="27.75" customHeight="1">
      <c r="A232" s="180" t="inlineStr">
        <is>
          <t>Особый рецепт</t>
        </is>
      </c>
      <c r="B232" s="360" t="n"/>
      <c r="C232" s="360" t="n"/>
      <c r="D232" s="360" t="n"/>
      <c r="E232" s="360" t="n"/>
      <c r="F232" s="360" t="n"/>
      <c r="G232" s="360" t="n"/>
      <c r="H232" s="360" t="n"/>
      <c r="I232" s="360" t="n"/>
      <c r="J232" s="360" t="n"/>
      <c r="K232" s="360" t="n"/>
      <c r="L232" s="360" t="n"/>
      <c r="M232" s="360" t="n"/>
      <c r="N232" s="360" t="n"/>
      <c r="O232" s="360" t="n"/>
      <c r="P232" s="360" t="n"/>
      <c r="Q232" s="360" t="n"/>
      <c r="R232" s="360" t="n"/>
      <c r="S232" s="360" t="n"/>
      <c r="T232" s="360" t="n"/>
      <c r="U232" s="360" t="n"/>
      <c r="V232" s="360" t="n"/>
      <c r="W232" s="360" t="n"/>
      <c r="X232" s="55" t="n"/>
      <c r="Y232" s="55" t="n"/>
    </row>
    <row r="233" ht="16.5" customHeight="1">
      <c r="A233" s="176" t="inlineStr">
        <is>
          <t>Любимая ложка</t>
        </is>
      </c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76" t="n"/>
      <c r="Y233" s="176" t="n"/>
    </row>
    <row r="234" ht="14.25" customHeight="1">
      <c r="A234" s="177" t="inlineStr">
        <is>
          <t>Пельмени</t>
        </is>
      </c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77" t="n"/>
      <c r="Y234" s="177" t="n"/>
    </row>
    <row r="235" ht="27" customHeight="1">
      <c r="A235" s="64" t="inlineStr">
        <is>
          <t>SU002268</t>
        </is>
      </c>
      <c r="B235" s="64" t="inlineStr">
        <is>
          <t>P002746</t>
        </is>
      </c>
      <c r="C235" s="37" t="n">
        <v>4301070882</v>
      </c>
      <c r="D235" s="172" t="n">
        <v>4607111035899</v>
      </c>
      <c r="E235" s="329" t="n"/>
      <c r="F235" s="361" t="n">
        <v>1</v>
      </c>
      <c r="G235" s="38" t="n">
        <v>5</v>
      </c>
      <c r="H235" s="361" t="n">
        <v>5</v>
      </c>
      <c r="I235" s="361" t="n">
        <v>5.262</v>
      </c>
      <c r="J235" s="38" t="n">
        <v>84</v>
      </c>
      <c r="K235" s="39" t="inlineStr">
        <is>
          <t>МГ</t>
        </is>
      </c>
      <c r="L235" s="38" t="n">
        <v>120</v>
      </c>
      <c r="M235" s="452">
        <f>HYPERLINK("https://abi.ru/products/Замороженные/Особый рецепт/Любимая ложка/Пельмени/P002746/","Пельмени Со свининой и говядиной Любимая ложка 1,0 Равиоли Особый рецепт")</f>
        <v/>
      </c>
      <c r="N235" s="363" t="n"/>
      <c r="O235" s="363" t="n"/>
      <c r="P235" s="363" t="n"/>
      <c r="Q235" s="329" t="n"/>
      <c r="R235" s="40" t="inlineStr"/>
      <c r="S235" s="40" t="inlineStr"/>
      <c r="T235" s="41" t="inlineStr">
        <is>
          <t>кор</t>
        </is>
      </c>
      <c r="U235" s="364" t="n">
        <v>0</v>
      </c>
      <c r="V235" s="365">
        <f>IFERROR(IF(U235="","",U235),"")</f>
        <v/>
      </c>
      <c r="W235" s="42">
        <f>IFERROR(IF(U235="","",U235*0.0155),"")</f>
        <v/>
      </c>
      <c r="X235" s="69" t="inlineStr"/>
      <c r="Y235" s="70" t="inlineStr"/>
      <c r="AC235" s="158" t="inlineStr">
        <is>
          <t>ЗПФ</t>
        </is>
      </c>
    </row>
    <row r="236">
      <c r="A236" s="167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366" t="n"/>
      <c r="M236" s="367" t="inlineStr">
        <is>
          <t>Итого</t>
        </is>
      </c>
      <c r="N236" s="337" t="n"/>
      <c r="O236" s="337" t="n"/>
      <c r="P236" s="337" t="n"/>
      <c r="Q236" s="337" t="n"/>
      <c r="R236" s="337" t="n"/>
      <c r="S236" s="338" t="n"/>
      <c r="T236" s="43" t="inlineStr">
        <is>
          <t>кор</t>
        </is>
      </c>
      <c r="U236" s="368">
        <f>IFERROR(SUM(U235:U235),"0")</f>
        <v/>
      </c>
      <c r="V236" s="368">
        <f>IFERROR(SUM(V235:V235),"0")</f>
        <v/>
      </c>
      <c r="W236" s="368">
        <f>IFERROR(IF(W235="",0,W235),"0")</f>
        <v/>
      </c>
      <c r="X236" s="369" t="n"/>
      <c r="Y236" s="369" t="n"/>
    </row>
    <row r="237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366" t="n"/>
      <c r="M237" s="367" t="inlineStr">
        <is>
          <t>Итого</t>
        </is>
      </c>
      <c r="N237" s="337" t="n"/>
      <c r="O237" s="337" t="n"/>
      <c r="P237" s="337" t="n"/>
      <c r="Q237" s="337" t="n"/>
      <c r="R237" s="337" t="n"/>
      <c r="S237" s="338" t="n"/>
      <c r="T237" s="43" t="inlineStr">
        <is>
          <t>кг</t>
        </is>
      </c>
      <c r="U237" s="368">
        <f>IFERROR(SUMPRODUCT(U235:U235*H235:H235),"0")</f>
        <v/>
      </c>
      <c r="V237" s="368">
        <f>IFERROR(SUMPRODUCT(V235:V235*H235:H235),"0")</f>
        <v/>
      </c>
      <c r="W237" s="43" t="n"/>
      <c r="X237" s="369" t="n"/>
      <c r="Y237" s="369" t="n"/>
    </row>
    <row r="238" ht="16.5" customHeight="1">
      <c r="A238" s="176" t="inlineStr">
        <is>
          <t>Особая Без свинины</t>
        </is>
      </c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76" t="n"/>
      <c r="Y238" s="176" t="n"/>
    </row>
    <row r="239" ht="14.25" customHeight="1">
      <c r="A239" s="177" t="inlineStr">
        <is>
          <t>Пельмени</t>
        </is>
      </c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77" t="n"/>
      <c r="Y239" s="177" t="n"/>
    </row>
    <row r="240" ht="27" customHeight="1">
      <c r="A240" s="64" t="inlineStr">
        <is>
          <t>SU002408</t>
        </is>
      </c>
      <c r="B240" s="64" t="inlineStr">
        <is>
          <t>P002686</t>
        </is>
      </c>
      <c r="C240" s="37" t="n">
        <v>4301070870</v>
      </c>
      <c r="D240" s="172" t="n">
        <v>4607111036711</v>
      </c>
      <c r="E240" s="329" t="n"/>
      <c r="F240" s="361" t="n">
        <v>0.8</v>
      </c>
      <c r="G240" s="38" t="n">
        <v>8</v>
      </c>
      <c r="H240" s="361" t="n">
        <v>6.4</v>
      </c>
      <c r="I240" s="361" t="n">
        <v>6.67</v>
      </c>
      <c r="J240" s="38" t="n">
        <v>84</v>
      </c>
      <c r="K240" s="39" t="inlineStr">
        <is>
          <t>МГ</t>
        </is>
      </c>
      <c r="L240" s="38" t="n">
        <v>90</v>
      </c>
      <c r="M240" s="453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/>
      </c>
      <c r="N240" s="363" t="n"/>
      <c r="O240" s="363" t="n"/>
      <c r="P240" s="363" t="n"/>
      <c r="Q240" s="329" t="n"/>
      <c r="R240" s="40" t="inlineStr"/>
      <c r="S240" s="40" t="inlineStr"/>
      <c r="T240" s="41" t="inlineStr">
        <is>
          <t>кор</t>
        </is>
      </c>
      <c r="U240" s="364" t="n">
        <v>0</v>
      </c>
      <c r="V240" s="365">
        <f>IFERROR(IF(U240="","",U240),"")</f>
        <v/>
      </c>
      <c r="W240" s="42">
        <f>IFERROR(IF(U240="","",U240*0.0155),"")</f>
        <v/>
      </c>
      <c r="X240" s="69" t="inlineStr"/>
      <c r="Y240" s="70" t="inlineStr"/>
      <c r="AC240" s="159" t="inlineStr">
        <is>
          <t>ЗПФ</t>
        </is>
      </c>
    </row>
    <row r="241">
      <c r="A241" s="167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366" t="n"/>
      <c r="M241" s="367" t="inlineStr">
        <is>
          <t>Итого</t>
        </is>
      </c>
      <c r="N241" s="337" t="n"/>
      <c r="O241" s="337" t="n"/>
      <c r="P241" s="337" t="n"/>
      <c r="Q241" s="337" t="n"/>
      <c r="R241" s="337" t="n"/>
      <c r="S241" s="338" t="n"/>
      <c r="T241" s="43" t="inlineStr">
        <is>
          <t>кор</t>
        </is>
      </c>
      <c r="U241" s="368">
        <f>IFERROR(SUM(U240:U240),"0")</f>
        <v/>
      </c>
      <c r="V241" s="368">
        <f>IFERROR(SUM(V240:V240),"0")</f>
        <v/>
      </c>
      <c r="W241" s="368">
        <f>IFERROR(IF(W240="",0,W240),"0")</f>
        <v/>
      </c>
      <c r="X241" s="369" t="n"/>
      <c r="Y241" s="369" t="n"/>
    </row>
    <row r="242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366" t="n"/>
      <c r="M242" s="367" t="inlineStr">
        <is>
          <t>Итого</t>
        </is>
      </c>
      <c r="N242" s="337" t="n"/>
      <c r="O242" s="337" t="n"/>
      <c r="P242" s="337" t="n"/>
      <c r="Q242" s="337" t="n"/>
      <c r="R242" s="337" t="n"/>
      <c r="S242" s="338" t="n"/>
      <c r="T242" s="43" t="inlineStr">
        <is>
          <t>кг</t>
        </is>
      </c>
      <c r="U242" s="368">
        <f>IFERROR(SUMPRODUCT(U240:U240*H240:H240),"0")</f>
        <v/>
      </c>
      <c r="V242" s="368">
        <f>IFERROR(SUMPRODUCT(V240:V240*H240:H240),"0")</f>
        <v/>
      </c>
      <c r="W242" s="43" t="n"/>
      <c r="X242" s="369" t="n"/>
      <c r="Y242" s="369" t="n"/>
    </row>
    <row r="243" ht="15" customHeight="1">
      <c r="A243" s="17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326" t="n"/>
      <c r="M243" s="454" t="inlineStr">
        <is>
          <t>ИТОГО НЕТТО</t>
        </is>
      </c>
      <c r="N243" s="320" t="n"/>
      <c r="O243" s="320" t="n"/>
      <c r="P243" s="320" t="n"/>
      <c r="Q243" s="320" t="n"/>
      <c r="R243" s="320" t="n"/>
      <c r="S243" s="321" t="n"/>
      <c r="T243" s="43" t="inlineStr">
        <is>
          <t>кг</t>
        </is>
      </c>
      <c r="U243" s="368">
        <f>IFERROR(U24+U33+U41+U47+U57+U63+U68+U74+U84+U91+U99+U105+U110+U118+U123+U129+U134+U140+U144+U151+U164+U169+U177+U182+U189+U194+U199+U206+U214+U219+U225+U231+U237+U242,"0")</f>
        <v/>
      </c>
      <c r="V243" s="368">
        <f>IFERROR(V24+V33+V41+V47+V57+V63+V68+V74+V84+V91+V99+V105+V110+V118+V123+V129+V134+V140+V144+V151+V164+V169+V177+V182+V189+V194+V199+V206+V214+V219+V225+V231+V237+V242,"0")</f>
        <v/>
      </c>
      <c r="W243" s="43" t="n"/>
      <c r="X243" s="369" t="n"/>
      <c r="Y243" s="369" t="n"/>
    </row>
    <row r="244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326" t="n"/>
      <c r="M244" s="454" t="inlineStr">
        <is>
          <t>ИТОГО БРУТТО</t>
        </is>
      </c>
      <c r="N244" s="320" t="n"/>
      <c r="O244" s="320" t="n"/>
      <c r="P244" s="320" t="n"/>
      <c r="Q244" s="320" t="n"/>
      <c r="R244" s="320" t="n"/>
      <c r="S244" s="321" t="n"/>
      <c r="T244" s="43" t="inlineStr">
        <is>
          <t>кг</t>
        </is>
      </c>
      <c r="U244" s="368">
        <f>IFERROR(IFERROR(U22*I22,"0")+IFERROR(U28*I28,"0")+IFERROR(U29*I29,"0")+IFERROR(U30*I30,"0")+IFERROR(U31*I31,"0")+IFERROR(U36*I36,"0")+IFERROR(U37*I37,"0")+IFERROR(U38*I38,"0")+IFERROR(U39*I39,"0")+IFERROR(U44*I44,"0")+IFERROR(U45*I45,"0")+IFERROR(U50*I50,"0")+IFERROR(U51*I51,"0")+IFERROR(U52*I52,"0")+IFERROR(U53*I53,"0")+IFERROR(U54*I54,"0")+IFERROR(U55*I55,"0")+IFERROR(U60*I60,"0")+IFERROR(U61*I61,"0")+IFERROR(U66*I66,"0")+IFERROR(U71*I71,"0")+IFERROR(U72*I72,"0")+IFERROR(U77*I77,"0")+IFERROR(U78*I78,"0")+IFERROR(U79*I79,"0")+IFERROR(U80*I80,"0")+IFERROR(U81*I81,"0")+IFERROR(U82*I82,"0")+IFERROR(U87*I87,"0")+IFERROR(U88*I88,"0")+IFERROR(U89*I89,"0")+IFERROR(U94*I94,"0")+IFERROR(U95*I95,"0")+IFERROR(U96*I96,"0")+IFERROR(U97*I97,"0")+IFERROR(U102*I102,"0")+IFERROR(U103*I103,"0")+IFERROR(U108*I108,"0")+IFERROR(U113*I113,"0")+IFERROR(U114*I114,"0")+IFERROR(U115*I115,"0")+IFERROR(U116*I116,"0")+IFERROR(U121*I121,"0")+IFERROR(U126*I126,"0")+IFERROR(U127*I127,"0")+IFERROR(U132*I132,"0")+IFERROR(U138*I138,"0")+IFERROR(U142*I142,"0")+IFERROR(U146*I146,"0")+IFERROR(U147*I147,"0")+IFERROR(U148*I148,"0")+IFERROR(U149*I149,"0")+IFERROR(U153*I153,"0")+IFERROR(U154*I154,"0")+IFERROR(U155*I155,"0")+IFERROR(U156*I156,"0")+IFERROR(U157*I157,"0")+IFERROR(U158*I158,"0")+IFERROR(U159*I159,"0")+IFERROR(U160*I160,"0")+IFERROR(U161*I161,"0")+IFERROR(U162*I162,"0")+IFERROR(U167*I167,"0")+IFERROR(U172*I172,"0")+IFERROR(U173*I173,"0")+IFERROR(U174*I174,"0")+IFERROR(U175*I175,"0")+IFERROR(U179*I179,"0")+IFERROR(U180*I180,"0")+IFERROR(U186*I186,"0")+IFERROR(U187*I187,"0")+IFERROR(U192*I192,"0")+IFERROR(U197*I197,"0")+IFERROR(U203*I203,"0")+IFERROR(U204*I204,"0")+IFERROR(U209*I209,"0")+IFERROR(U210*I210,"0")+IFERROR(U211*I211,"0")+IFERROR(U212*I212,"0")+IFERROR(U217*I217,"0")+IFERROR(U222*I222,"0")+IFERROR(U223*I223,"0")+IFERROR(U229*I229,"0")+IFERROR(U235*I235,"0")+IFERROR(U240*I240,"0"),"0")</f>
        <v/>
      </c>
      <c r="V244" s="368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60*I60,"0")+IFERROR(V61*I61,"0")+IFERROR(V66*I66,"0")+IFERROR(V71*I71,"0")+IFERROR(V72*I72,"0")+IFERROR(V77*I77,"0")+IFERROR(V78*I78,"0")+IFERROR(V79*I79,"0")+IFERROR(V80*I80,"0")+IFERROR(V81*I81,"0")+IFERROR(V82*I82,"0")+IFERROR(V87*I87,"0")+IFERROR(V88*I88,"0")+IFERROR(V89*I89,"0")+IFERROR(V94*I94,"0")+IFERROR(V95*I95,"0")+IFERROR(V96*I96,"0")+IFERROR(V97*I97,"0")+IFERROR(V102*I102,"0")+IFERROR(V103*I103,"0")+IFERROR(V108*I108,"0")+IFERROR(V113*I113,"0")+IFERROR(V114*I114,"0")+IFERROR(V115*I115,"0")+IFERROR(V116*I116,"0")+IFERROR(V121*I121,"0")+IFERROR(V126*I126,"0")+IFERROR(V127*I127,"0")+IFERROR(V132*I132,"0")+IFERROR(V138*I138,"0")+IFERROR(V142*I142,"0")+IFERROR(V146*I146,"0")+IFERROR(V147*I147,"0")+IFERROR(V148*I148,"0")+IFERROR(V149*I149,"0")+IFERROR(V153*I153,"0")+IFERROR(V154*I154,"0")+IFERROR(V155*I155,"0")+IFERROR(V156*I156,"0")+IFERROR(V157*I157,"0")+IFERROR(V158*I158,"0")+IFERROR(V159*I159,"0")+IFERROR(V160*I160,"0")+IFERROR(V161*I161,"0")+IFERROR(V162*I162,"0")+IFERROR(V167*I167,"0")+IFERROR(V172*I172,"0")+IFERROR(V173*I173,"0")+IFERROR(V174*I174,"0")+IFERROR(V175*I175,"0")+IFERROR(V179*I179,"0")+IFERROR(V180*I180,"0")+IFERROR(V186*I186,"0")+IFERROR(V187*I187,"0")+IFERROR(V192*I192,"0")+IFERROR(V197*I197,"0")+IFERROR(V203*I203,"0")+IFERROR(V204*I204,"0")+IFERROR(V209*I209,"0")+IFERROR(V210*I210,"0")+IFERROR(V211*I211,"0")+IFERROR(V212*I212,"0")+IFERROR(V217*I217,"0")+IFERROR(V222*I222,"0")+IFERROR(V223*I223,"0")+IFERROR(V229*I229,"0")+IFERROR(V235*I235,"0")+IFERROR(V240*I240,"0"),"0")</f>
        <v/>
      </c>
      <c r="W244" s="43" t="n"/>
      <c r="X244" s="369" t="n"/>
      <c r="Y244" s="369" t="n"/>
    </row>
    <row r="245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326" t="n"/>
      <c r="M245" s="454" t="inlineStr">
        <is>
          <t>Кол-во паллет</t>
        </is>
      </c>
      <c r="N245" s="320" t="n"/>
      <c r="O245" s="320" t="n"/>
      <c r="P245" s="320" t="n"/>
      <c r="Q245" s="320" t="n"/>
      <c r="R245" s="320" t="n"/>
      <c r="S245" s="321" t="n"/>
      <c r="T245" s="43" t="inlineStr">
        <is>
          <t>шт</t>
        </is>
      </c>
      <c r="U245" s="45">
        <f>ROUNDUP(IFERROR(U22/J22,"0")+IFERROR(U28/J28,"0")+IFERROR(U29/J29,"0")+IFERROR(U30/J30,"0")+IFERROR(U31/J31,"0")+IFERROR(U36/J36,"0")+IFERROR(U37/J37,"0")+IFERROR(U38/J38,"0")+IFERROR(U39/J39,"0")+IFERROR(U44/J44,"0")+IFERROR(U45/J45,"0")+IFERROR(U50/J50,"0")+IFERROR(U51/J51,"0")+IFERROR(U52/J52,"0")+IFERROR(U53/J53,"0")+IFERROR(U54/J54,"0")+IFERROR(U55/J55,"0")+IFERROR(U60/J60,"0")+IFERROR(U61/J61,"0")+IFERROR(U66/J66,"0")+IFERROR(U71/J71,"0")+IFERROR(U72/J72,"0")+IFERROR(U77/J77,"0")+IFERROR(U78/J78,"0")+IFERROR(U79/J79,"0")+IFERROR(U80/J80,"0")+IFERROR(U81/J81,"0")+IFERROR(U82/J82,"0")+IFERROR(U87/J87,"0")+IFERROR(U88/J88,"0")+IFERROR(U89/J89,"0")+IFERROR(U94/J94,"0")+IFERROR(U95/J95,"0")+IFERROR(U96/J96,"0")+IFERROR(U97/J97,"0")+IFERROR(U102/J102,"0")+IFERROR(U103/J103,"0")+IFERROR(U108/J108,"0")+IFERROR(U113/J113,"0")+IFERROR(U114/J114,"0")+IFERROR(U115/J115,"0")+IFERROR(U116/J116,"0")+IFERROR(U121/J121,"0")+IFERROR(U126/J126,"0")+IFERROR(U127/J127,"0")+IFERROR(U132/J132,"0")+IFERROR(U138/J138,"0")+IFERROR(U142/J142,"0")+IFERROR(U146/J146,"0")+IFERROR(U147/J147,"0")+IFERROR(U148/J148,"0")+IFERROR(U149/J149,"0")+IFERROR(U153/J153,"0")+IFERROR(U154/J154,"0")+IFERROR(U155/J155,"0")+IFERROR(U156/J156,"0")+IFERROR(U157/J157,"0")+IFERROR(U158/J158,"0")+IFERROR(U159/J159,"0")+IFERROR(U160/J160,"0")+IFERROR(U161/J161,"0")+IFERROR(U162/J162,"0")+IFERROR(U167/J167,"0")+IFERROR(U172/J172,"0")+IFERROR(U173/J173,"0")+IFERROR(U174/J174,"0")+IFERROR(U175/J175,"0")+IFERROR(U179/J179,"0")+IFERROR(U180/J180,"0")+IFERROR(U186/J186,"0")+IFERROR(U187/J187,"0")+IFERROR(U192/J192,"0")+IFERROR(U197/J197,"0")+IFERROR(U203/J203,"0")+IFERROR(U204/J204,"0")+IFERROR(U209/J209,"0")+IFERROR(U210/J210,"0")+IFERROR(U211/J211,"0")+IFERROR(U212/J212,"0")+IFERROR(U217/J217,"0")+IFERROR(U222/J222,"0")+IFERROR(U223/J223,"0")+IFERROR(U229/J229,"0")+IFERROR(U235/J235,"0")+IFERROR(U240/J240,"0"),0)</f>
        <v/>
      </c>
      <c r="V245" s="45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60/J60,"0")+IFERROR(V61/J61,"0")+IFERROR(V66/J66,"0")+IFERROR(V71/J71,"0")+IFERROR(V72/J72,"0")+IFERROR(V77/J77,"0")+IFERROR(V78/J78,"0")+IFERROR(V79/J79,"0")+IFERROR(V80/J80,"0")+IFERROR(V81/J81,"0")+IFERROR(V82/J82,"0")+IFERROR(V87/J87,"0")+IFERROR(V88/J88,"0")+IFERROR(V89/J89,"0")+IFERROR(V94/J94,"0")+IFERROR(V95/J95,"0")+IFERROR(V96/J96,"0")+IFERROR(V97/J97,"0")+IFERROR(V102/J102,"0")+IFERROR(V103/J103,"0")+IFERROR(V108/J108,"0")+IFERROR(V113/J113,"0")+IFERROR(V114/J114,"0")+IFERROR(V115/J115,"0")+IFERROR(V116/J116,"0")+IFERROR(V121/J121,"0")+IFERROR(V126/J126,"0")+IFERROR(V127/J127,"0")+IFERROR(V132/J132,"0")+IFERROR(V138/J138,"0")+IFERROR(V142/J142,"0")+IFERROR(V146/J146,"0")+IFERROR(V147/J147,"0")+IFERROR(V148/J148,"0")+IFERROR(V149/J149,"0")+IFERROR(V153/J153,"0")+IFERROR(V154/J154,"0")+IFERROR(V155/J155,"0")+IFERROR(V156/J156,"0")+IFERROR(V157/J157,"0")+IFERROR(V158/J158,"0")+IFERROR(V159/J159,"0")+IFERROR(V160/J160,"0")+IFERROR(V161/J161,"0")+IFERROR(V162/J162,"0")+IFERROR(V167/J167,"0")+IFERROR(V172/J172,"0")+IFERROR(V173/J173,"0")+IFERROR(V174/J174,"0")+IFERROR(V175/J175,"0")+IFERROR(V179/J179,"0")+IFERROR(V180/J180,"0")+IFERROR(V186/J186,"0")+IFERROR(V187/J187,"0")+IFERROR(V192/J192,"0")+IFERROR(V197/J197,"0")+IFERROR(V203/J203,"0")+IFERROR(V204/J204,"0")+IFERROR(V209/J209,"0")+IFERROR(V210/J210,"0")+IFERROR(V211/J211,"0")+IFERROR(V212/J212,"0")+IFERROR(V217/J217,"0")+IFERROR(V222/J222,"0")+IFERROR(V223/J223,"0")+IFERROR(V229/J229,"0")+IFERROR(V235/J235,"0")+IFERROR(V240/J240,"0"),0)</f>
        <v/>
      </c>
      <c r="W245" s="43" t="n"/>
      <c r="X245" s="369" t="n"/>
      <c r="Y245" s="369" t="n"/>
    </row>
    <row r="246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326" t="n"/>
      <c r="M246" s="454" t="inlineStr">
        <is>
          <t>Вес брутто  с паллетами</t>
        </is>
      </c>
      <c r="N246" s="320" t="n"/>
      <c r="O246" s="320" t="n"/>
      <c r="P246" s="320" t="n"/>
      <c r="Q246" s="320" t="n"/>
      <c r="R246" s="320" t="n"/>
      <c r="S246" s="321" t="n"/>
      <c r="T246" s="43" t="inlineStr">
        <is>
          <t>кг</t>
        </is>
      </c>
      <c r="U246" s="368">
        <f>GrossWeightTotal+PalletQtyTotal*25</f>
        <v/>
      </c>
      <c r="V246" s="368">
        <f>GrossWeightTotalR+PalletQtyTotalR*25</f>
        <v/>
      </c>
      <c r="W246" s="43" t="n"/>
      <c r="X246" s="369" t="n"/>
      <c r="Y246" s="369" t="n"/>
    </row>
    <row r="247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326" t="n"/>
      <c r="M247" s="454" t="inlineStr">
        <is>
          <t>Кол-во коробок</t>
        </is>
      </c>
      <c r="N247" s="320" t="n"/>
      <c r="O247" s="320" t="n"/>
      <c r="P247" s="320" t="n"/>
      <c r="Q247" s="320" t="n"/>
      <c r="R247" s="320" t="n"/>
      <c r="S247" s="321" t="n"/>
      <c r="T247" s="43" t="inlineStr">
        <is>
          <t>шт</t>
        </is>
      </c>
      <c r="U247" s="368">
        <f>IFERROR(U23+U32+U40+U46+U56+U62+U67+U73+U83+U90+U98+U104+U109+U117+U122+U128+U133+U139+U143+U150+U163+U168+U176+U181+U188+U193+U198+U205+U213+U218+U224+U230+U236+U241,"0")</f>
        <v/>
      </c>
      <c r="V247" s="368">
        <f>IFERROR(V23+V32+V40+V46+V56+V62+V67+V73+V83+V90+V98+V104+V109+V117+V122+V128+V133+V139+V143+V150+V163+V168+V176+V181+V188+V193+V198+V205+V213+V218+V224+V230+V236+V241,"0")</f>
        <v/>
      </c>
      <c r="W247" s="43" t="n"/>
      <c r="X247" s="369" t="n"/>
      <c r="Y247" s="369" t="n"/>
    </row>
    <row r="248" ht="14.25" customHeight="1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326" t="n"/>
      <c r="M248" s="454" t="inlineStr">
        <is>
          <t>Объем заказа</t>
        </is>
      </c>
      <c r="N248" s="320" t="n"/>
      <c r="O248" s="320" t="n"/>
      <c r="P248" s="320" t="n"/>
      <c r="Q248" s="320" t="n"/>
      <c r="R248" s="320" t="n"/>
      <c r="S248" s="321" t="n"/>
      <c r="T248" s="46" t="inlineStr">
        <is>
          <t>м3</t>
        </is>
      </c>
      <c r="U248" s="43" t="n"/>
      <c r="V248" s="43" t="n"/>
      <c r="W248" s="43">
        <f>IFERROR(W23+W32+W40+W46+W56+W62+W67+W73+W83+W90+W98+W104+W109+W117+W122+W128+W133+W139+W143+W150+W163+W168+W176+W181+W188+W193+W198+W205+W213+W218+W224+W230+W236+W241,"0")</f>
        <v/>
      </c>
      <c r="X248" s="369" t="n"/>
      <c r="Y248" s="369" t="n"/>
    </row>
    <row r="249" ht="13.5" customHeight="1" thickBot="1"/>
    <row r="250" ht="27" customHeight="1" thickBot="1" thickTop="1">
      <c r="A250" s="47" t="inlineStr">
        <is>
          <t>ТОРГОВАЯ МАРКА</t>
        </is>
      </c>
      <c r="B250" s="160" t="inlineStr">
        <is>
          <t>Ядрена копоть</t>
        </is>
      </c>
      <c r="C250" s="160" t="inlineStr">
        <is>
          <t>Горячая штучка</t>
        </is>
      </c>
      <c r="D250" s="455" t="n"/>
      <c r="E250" s="455" t="n"/>
      <c r="F250" s="455" t="n"/>
      <c r="G250" s="455" t="n"/>
      <c r="H250" s="455" t="n"/>
      <c r="I250" s="455" t="n"/>
      <c r="J250" s="455" t="n"/>
      <c r="K250" s="455" t="n"/>
      <c r="L250" s="455" t="n"/>
      <c r="M250" s="455" t="n"/>
      <c r="N250" s="455" t="n"/>
      <c r="O250" s="455" t="n"/>
      <c r="P250" s="455" t="n"/>
      <c r="Q250" s="455" t="n"/>
      <c r="R250" s="456" t="n"/>
      <c r="S250" s="160" t="inlineStr">
        <is>
          <t>No Name</t>
        </is>
      </c>
      <c r="T250" s="455" t="n"/>
      <c r="U250" s="456" t="n"/>
      <c r="V250" s="160" t="inlineStr">
        <is>
          <t>Вязанка</t>
        </is>
      </c>
      <c r="W250" s="455" t="n"/>
      <c r="X250" s="456" t="n"/>
      <c r="Y250" s="160" t="inlineStr">
        <is>
          <t>Стародворье</t>
        </is>
      </c>
      <c r="Z250" s="455" t="n"/>
      <c r="AA250" s="455" t="n"/>
      <c r="AB250" s="456" t="n"/>
      <c r="AC250" s="160" t="inlineStr">
        <is>
          <t>Колбасный стандарт</t>
        </is>
      </c>
      <c r="AD250" s="160" t="inlineStr">
        <is>
          <t>Особый рецепт</t>
        </is>
      </c>
      <c r="AE250" s="456" t="n"/>
    </row>
    <row r="251" ht="14.25" customHeight="1" thickTop="1">
      <c r="A251" s="161" t="inlineStr">
        <is>
          <t>СЕРИЯ</t>
        </is>
      </c>
      <c r="B251" s="160" t="inlineStr">
        <is>
          <t>Ядрена копоть</t>
        </is>
      </c>
      <c r="C251" s="160" t="inlineStr">
        <is>
          <t>Наггетсы ГШ</t>
        </is>
      </c>
      <c r="D251" s="160" t="inlineStr">
        <is>
          <t>Grandmeni</t>
        </is>
      </c>
      <c r="E251" s="160" t="inlineStr">
        <is>
          <t>Чебупай</t>
        </is>
      </c>
      <c r="F251" s="160" t="inlineStr">
        <is>
          <t>Бигбули ГШ</t>
        </is>
      </c>
      <c r="G251" s="160" t="inlineStr">
        <is>
          <t>Бульмени вес ГШ</t>
        </is>
      </c>
      <c r="H251" s="160" t="inlineStr">
        <is>
          <t>Бельмеши</t>
        </is>
      </c>
      <c r="I251" s="160" t="inlineStr">
        <is>
          <t>Крылышки ГШ</t>
        </is>
      </c>
      <c r="J251" s="160" t="inlineStr">
        <is>
          <t>Чебупели</t>
        </is>
      </c>
      <c r="K251" s="160" t="inlineStr">
        <is>
          <t>Чебуреки</t>
        </is>
      </c>
      <c r="L251" s="160" t="inlineStr">
        <is>
          <t>Бульмени ГШ</t>
        </is>
      </c>
      <c r="M251" s="160" t="inlineStr">
        <is>
          <t>Чебупицца</t>
        </is>
      </c>
      <c r="N251" s="160" t="inlineStr">
        <is>
          <t>Хотстеры</t>
        </is>
      </c>
      <c r="O251" s="160" t="inlineStr">
        <is>
          <t>Круггетсы</t>
        </is>
      </c>
      <c r="P251" s="160" t="inlineStr">
        <is>
          <t>Пекерсы</t>
        </is>
      </c>
      <c r="Q251" s="160" t="inlineStr">
        <is>
          <t>Супермени</t>
        </is>
      </c>
      <c r="R251" s="160" t="inlineStr">
        <is>
          <t>Чебуманы</t>
        </is>
      </c>
      <c r="S251" s="160" t="inlineStr">
        <is>
          <t>No Name ПГП</t>
        </is>
      </c>
      <c r="T251" s="160" t="inlineStr">
        <is>
          <t>Стародворье ПГП</t>
        </is>
      </c>
      <c r="U251" s="160" t="inlineStr">
        <is>
          <t>No Name ЗПФ</t>
        </is>
      </c>
      <c r="V251" s="160" t="inlineStr">
        <is>
          <t>Няняггетсы Сливушки</t>
        </is>
      </c>
      <c r="W251" s="160" t="inlineStr">
        <is>
          <t>Печеные пельмени</t>
        </is>
      </c>
      <c r="X251" s="160" t="inlineStr">
        <is>
          <t>Вязанка</t>
        </is>
      </c>
      <c r="Y251" s="160" t="inlineStr">
        <is>
          <t>Стародворье ЗПФ</t>
        </is>
      </c>
      <c r="Z251" s="160" t="inlineStr">
        <is>
          <t>Медвежье ушко</t>
        </is>
      </c>
      <c r="AA251" s="160" t="inlineStr">
        <is>
          <t>Бордо</t>
        </is>
      </c>
      <c r="AB251" s="160" t="inlineStr">
        <is>
          <t>Сочные</t>
        </is>
      </c>
      <c r="AC251" s="160" t="inlineStr">
        <is>
          <t>Владимирский Стандарт ЗПФ</t>
        </is>
      </c>
      <c r="AD251" s="160" t="inlineStr">
        <is>
          <t>Любимая ложка</t>
        </is>
      </c>
      <c r="AE251" s="160" t="inlineStr">
        <is>
          <t>Особая Без свинины</t>
        </is>
      </c>
    </row>
    <row r="252" ht="13.5" customHeight="1" thickBot="1">
      <c r="A252" s="457" t="n"/>
      <c r="B252" s="458" t="n"/>
      <c r="C252" s="458" t="n"/>
      <c r="D252" s="458" t="n"/>
      <c r="E252" s="458" t="n"/>
      <c r="F252" s="458" t="n"/>
      <c r="G252" s="458" t="n"/>
      <c r="H252" s="458" t="n"/>
      <c r="I252" s="458" t="n"/>
      <c r="J252" s="458" t="n"/>
      <c r="K252" s="458" t="n"/>
      <c r="L252" s="458" t="n"/>
      <c r="M252" s="458" t="n"/>
      <c r="N252" s="458" t="n"/>
      <c r="O252" s="458" t="n"/>
      <c r="P252" s="458" t="n"/>
      <c r="Q252" s="458" t="n"/>
      <c r="R252" s="458" t="n"/>
      <c r="S252" s="458" t="n"/>
      <c r="T252" s="458" t="n"/>
      <c r="U252" s="458" t="n"/>
      <c r="V252" s="458" t="n"/>
      <c r="W252" s="458" t="n"/>
      <c r="X252" s="458" t="n"/>
      <c r="Y252" s="458" t="n"/>
      <c r="Z252" s="458" t="n"/>
      <c r="AA252" s="458" t="n"/>
      <c r="AB252" s="458" t="n"/>
      <c r="AC252" s="458" t="n"/>
      <c r="AD252" s="458" t="n"/>
      <c r="AE252" s="458" t="n"/>
    </row>
    <row r="253" ht="18" customHeight="1" thickBot="1" thickTop="1">
      <c r="A253" s="47" t="inlineStr">
        <is>
          <t>ИТОГО, кг</t>
        </is>
      </c>
      <c r="B253" s="53">
        <f>IFERROR(U22*H22,"0")</f>
        <v/>
      </c>
      <c r="C253" s="53">
        <f>IFERROR(U28*H28,"0")+IFERROR(U29*H29,"0")+IFERROR(U30*H30,"0")+IFERROR(U31*H31,"0")</f>
        <v/>
      </c>
      <c r="D253" s="53">
        <f>IFERROR(U36*H36,"0")+IFERROR(U37*H37,"0")+IFERROR(U38*H38,"0")+IFERROR(U39*H39,"0")</f>
        <v/>
      </c>
      <c r="E253" s="53">
        <f>IFERROR(U44*H44,"0")+IFERROR(U45*H45,"0")</f>
        <v/>
      </c>
      <c r="F253" s="53">
        <f>IFERROR(U50*H50,"0")+IFERROR(U51*H51,"0")+IFERROR(U52*H52,"0")+IFERROR(U53*H53,"0")+IFERROR(U54*H54,"0")+IFERROR(U55*H55,"0")</f>
        <v/>
      </c>
      <c r="G253" s="53">
        <f>IFERROR(U60*H60,"0")+IFERROR(U61*H61,"0")</f>
        <v/>
      </c>
      <c r="H253" s="53">
        <f>IFERROR(U66*H66,"0")</f>
        <v/>
      </c>
      <c r="I253" s="53">
        <f>IFERROR(U71*H71,"0")+IFERROR(U72*H72,"0")</f>
        <v/>
      </c>
      <c r="J253" s="53">
        <f>IFERROR(U77*H77,"0")+IFERROR(U78*H78,"0")+IFERROR(U79*H79,"0")+IFERROR(U80*H80,"0")+IFERROR(U81*H81,"0")+IFERROR(U82*H82,"0")</f>
        <v/>
      </c>
      <c r="K253" s="53">
        <f>IFERROR(U87*H87,"0")+IFERROR(U88*H88,"0")+IFERROR(U89*H89,"0")</f>
        <v/>
      </c>
      <c r="L253" s="53">
        <f>IFERROR(U94*H94,"0")+IFERROR(U95*H95,"0")+IFERROR(U96*H96,"0")+IFERROR(U97*H97,"0")</f>
        <v/>
      </c>
      <c r="M253" s="53">
        <f>IFERROR(U102*H102,"0")+IFERROR(U103*H103,"0")</f>
        <v/>
      </c>
      <c r="N253" s="53">
        <f>IFERROR(U108*H108,"0")</f>
        <v/>
      </c>
      <c r="O253" s="53">
        <f>IFERROR(U113*H113,"0")+IFERROR(U114*H114,"0")+IFERROR(U115*H115,"0")+IFERROR(U116*H116,"0")</f>
        <v/>
      </c>
      <c r="P253" s="53">
        <f>IFERROR(U121*H121,"0")</f>
        <v/>
      </c>
      <c r="Q253" s="53">
        <f>IFERROR(U126*H126,"0")+IFERROR(U127*H127,"0")</f>
        <v/>
      </c>
      <c r="R253" s="53">
        <f>IFERROR(U132*H132,"0")</f>
        <v/>
      </c>
      <c r="S253" s="53">
        <f>IFERROR(U138*H138,"0")+IFERROR(U142*H142,"0")+IFERROR(U146*H146,"0")+IFERROR(U147*H147,"0")+IFERROR(U148*H148,"0")+IFERROR(U149*H149,"0")+IFERROR(U153*H153,"0")+IFERROR(U154*H154,"0")+IFERROR(U155*H155,"0")+IFERROR(U156*H156,"0")+IFERROR(U157*H157,"0")+IFERROR(U158*H158,"0")+IFERROR(U159*H159,"0")+IFERROR(U160*H160,"0")+IFERROR(U161*H161,"0")+IFERROR(U162*H162,"0")</f>
        <v/>
      </c>
      <c r="T253" s="53">
        <f>IFERROR(U167*H167,"0")</f>
        <v/>
      </c>
      <c r="U253" s="53">
        <f>IFERROR(U172*H172,"0")+IFERROR(U173*H173,"0")+IFERROR(U174*H174,"0")+IFERROR(U175*H175,"0")+IFERROR(U179*H179,"0")+IFERROR(U180*H180,"0")</f>
        <v/>
      </c>
      <c r="V253" s="53">
        <f>IFERROR(U186*H186,"0")+IFERROR(U187*H187,"0")</f>
        <v/>
      </c>
      <c r="W253" s="53">
        <f>IFERROR(U192*H192,"0")</f>
        <v/>
      </c>
      <c r="X253" s="53">
        <f>IFERROR(U197*H197,"0")</f>
        <v/>
      </c>
      <c r="Y253" s="53">
        <f>IFERROR(U203*H203,"0")+IFERROR(U204*H204,"0")</f>
        <v/>
      </c>
      <c r="Z253" s="53">
        <f>IFERROR(U209*H209,"0")+IFERROR(U210*H210,"0")+IFERROR(U211*H211,"0")+IFERROR(U212*H212,"0")</f>
        <v/>
      </c>
      <c r="AA253" s="53">
        <f>IFERROR(U217*H217,"0")</f>
        <v/>
      </c>
      <c r="AB253" s="53">
        <f>IFERROR(U222*H222,"0")+IFERROR(U223*H223,"0")</f>
        <v/>
      </c>
      <c r="AC253" s="53">
        <f>IFERROR(U229*H229,"0")</f>
        <v/>
      </c>
      <c r="AD253" s="53">
        <f>IFERROR(U235*H235,"0")</f>
        <v/>
      </c>
      <c r="AE253" s="53">
        <f>IFERROR(U240*H240,"0")</f>
        <v/>
      </c>
    </row>
    <row r="254" ht="13.5" customHeight="1" thickTop="1">
      <c r="C254" s="1" t="n"/>
    </row>
    <row r="255" ht="19.5" customHeight="1">
      <c r="A255" s="71" t="inlineStr">
        <is>
          <t>ЗПФ, кг</t>
        </is>
      </c>
      <c r="B255" s="71" t="inlineStr">
        <is>
          <t xml:space="preserve">ПГП, кг </t>
        </is>
      </c>
      <c r="C255" s="71" t="inlineStr">
        <is>
          <t>КИЗ, кг</t>
        </is>
      </c>
    </row>
    <row r="256">
      <c r="A256" s="72">
        <f>SUMPRODUCT(--(AZ:AZ="ЗПФ"),--(T:T="кор"),H:H,V:V)+SUMPRODUCT(--(AZ:AZ="ЗПФ"),--(T:T="кг"),V:V)</f>
        <v/>
      </c>
      <c r="B256" s="73">
        <f>SUMPRODUCT(--(AZ:AZ="ПГП"),--(T:T="кор"),H:H,V:V)+SUMPRODUCT(--(AZ:AZ="ПГП"),--(T:T="кг"),V:V)</f>
        <v/>
      </c>
      <c r="C256" s="73">
        <f>SUMPRODUCT(--(AZ:AZ="КИЗ"),--(T:T="кор"),H:H,V:V)+SUMPRODUCT(--(AZ:AZ="КИЗ"),--(T:T="кг"),V:V)</f>
        <v/>
      </c>
    </row>
    <row r="257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0D2HJAKTs6yV7ABeTw7/4g==" formatRows="1" sort="0" spinCount="100000" hashValue="guPcAJhki86qVKN/i24Qxi7Hm7PRSOouhrRZ9r/RLLSUEGe/Ysd+8qzQ2v/FhNq9KIGdoTIcXiKu0pix1/beeQ==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449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A26:W26"/>
    <mergeCell ref="A27:W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A35:W35"/>
    <mergeCell ref="D36:E36"/>
    <mergeCell ref="M36:Q36"/>
    <mergeCell ref="D37:E37"/>
    <mergeCell ref="M37:Q37"/>
    <mergeCell ref="D38:E38"/>
    <mergeCell ref="M38:Q38"/>
    <mergeCell ref="D39:E39"/>
    <mergeCell ref="M39:Q39"/>
    <mergeCell ref="M40:S40"/>
    <mergeCell ref="A40:L41"/>
    <mergeCell ref="M41:S41"/>
    <mergeCell ref="A42:W42"/>
    <mergeCell ref="A43:W43"/>
    <mergeCell ref="D44:E44"/>
    <mergeCell ref="M44:Q44"/>
    <mergeCell ref="D45:E45"/>
    <mergeCell ref="M45:Q45"/>
    <mergeCell ref="M46:S46"/>
    <mergeCell ref="A46:L47"/>
    <mergeCell ref="M47:S47"/>
    <mergeCell ref="A48:W48"/>
    <mergeCell ref="A49:W49"/>
    <mergeCell ref="D50:E50"/>
    <mergeCell ref="M50:Q50"/>
    <mergeCell ref="D51:E51"/>
    <mergeCell ref="M51:Q51"/>
    <mergeCell ref="D52:E52"/>
    <mergeCell ref="M52:Q52"/>
    <mergeCell ref="D53:E53"/>
    <mergeCell ref="M53:Q53"/>
    <mergeCell ref="D54:E54"/>
    <mergeCell ref="M54:Q54"/>
    <mergeCell ref="D55:E55"/>
    <mergeCell ref="M55:Q55"/>
    <mergeCell ref="M56:S56"/>
    <mergeCell ref="A56:L57"/>
    <mergeCell ref="M57:S57"/>
    <mergeCell ref="A58:W58"/>
    <mergeCell ref="A59:W59"/>
    <mergeCell ref="D60:E60"/>
    <mergeCell ref="M60:Q60"/>
    <mergeCell ref="D61:E61"/>
    <mergeCell ref="M61:Q61"/>
    <mergeCell ref="M62:S62"/>
    <mergeCell ref="A62:L63"/>
    <mergeCell ref="M63:S63"/>
    <mergeCell ref="A64:W64"/>
    <mergeCell ref="A65:W65"/>
    <mergeCell ref="D66:E66"/>
    <mergeCell ref="M66:Q66"/>
    <mergeCell ref="M67:S67"/>
    <mergeCell ref="A67:L68"/>
    <mergeCell ref="M68:S68"/>
    <mergeCell ref="A69:W69"/>
    <mergeCell ref="A70:W70"/>
    <mergeCell ref="D71:E71"/>
    <mergeCell ref="M71:Q71"/>
    <mergeCell ref="D72:E72"/>
    <mergeCell ref="M72:Q72"/>
    <mergeCell ref="M73:S73"/>
    <mergeCell ref="A73:L74"/>
    <mergeCell ref="M74:S74"/>
    <mergeCell ref="A75:W75"/>
    <mergeCell ref="A76:W76"/>
    <mergeCell ref="D77:E77"/>
    <mergeCell ref="M77:Q77"/>
    <mergeCell ref="D78:E78"/>
    <mergeCell ref="M78:Q78"/>
    <mergeCell ref="D79:E79"/>
    <mergeCell ref="M79:Q79"/>
    <mergeCell ref="D80:E80"/>
    <mergeCell ref="M80:Q80"/>
    <mergeCell ref="D81:E81"/>
    <mergeCell ref="M81:Q81"/>
    <mergeCell ref="D82:E82"/>
    <mergeCell ref="M82:Q82"/>
    <mergeCell ref="M83:S83"/>
    <mergeCell ref="A83:L84"/>
    <mergeCell ref="M84:S84"/>
    <mergeCell ref="A85:W85"/>
    <mergeCell ref="A86:W86"/>
    <mergeCell ref="D87:E87"/>
    <mergeCell ref="M87:Q87"/>
    <mergeCell ref="D88:E88"/>
    <mergeCell ref="M88:Q88"/>
    <mergeCell ref="D89:E89"/>
    <mergeCell ref="M89:Q89"/>
    <mergeCell ref="M90:S90"/>
    <mergeCell ref="A90:L91"/>
    <mergeCell ref="M91:S91"/>
    <mergeCell ref="A92:W92"/>
    <mergeCell ref="A93:W93"/>
    <mergeCell ref="D94:E94"/>
    <mergeCell ref="M94:Q94"/>
    <mergeCell ref="D95:E95"/>
    <mergeCell ref="M95:Q95"/>
    <mergeCell ref="D96:E96"/>
    <mergeCell ref="M96:Q96"/>
    <mergeCell ref="D97:E97"/>
    <mergeCell ref="M97:Q97"/>
    <mergeCell ref="M98:S98"/>
    <mergeCell ref="A98:L99"/>
    <mergeCell ref="M99:S99"/>
    <mergeCell ref="A100:W100"/>
    <mergeCell ref="A101:W101"/>
    <mergeCell ref="D102:E102"/>
    <mergeCell ref="M102:Q102"/>
    <mergeCell ref="D103:E103"/>
    <mergeCell ref="M103:Q103"/>
    <mergeCell ref="M104:S104"/>
    <mergeCell ref="A104:L105"/>
    <mergeCell ref="M105:S105"/>
    <mergeCell ref="A106:W106"/>
    <mergeCell ref="A107:W107"/>
    <mergeCell ref="D108:E108"/>
    <mergeCell ref="M108:Q108"/>
    <mergeCell ref="M109:S109"/>
    <mergeCell ref="A109:L110"/>
    <mergeCell ref="M110:S110"/>
    <mergeCell ref="A111:W111"/>
    <mergeCell ref="A112:W112"/>
    <mergeCell ref="D113:E113"/>
    <mergeCell ref="M113:Q113"/>
    <mergeCell ref="D114:E114"/>
    <mergeCell ref="M114:Q114"/>
    <mergeCell ref="D115:E115"/>
    <mergeCell ref="M115:Q115"/>
    <mergeCell ref="D116:E116"/>
    <mergeCell ref="M116:Q116"/>
    <mergeCell ref="M117:S117"/>
    <mergeCell ref="A117:L118"/>
    <mergeCell ref="M118:S118"/>
    <mergeCell ref="A119:W119"/>
    <mergeCell ref="A120:W120"/>
    <mergeCell ref="D121:E121"/>
    <mergeCell ref="M121:Q121"/>
    <mergeCell ref="M122:S122"/>
    <mergeCell ref="A122:L123"/>
    <mergeCell ref="M123:S123"/>
    <mergeCell ref="A124:W124"/>
    <mergeCell ref="A125:W125"/>
    <mergeCell ref="D126:E126"/>
    <mergeCell ref="M126:Q126"/>
    <mergeCell ref="D127:E127"/>
    <mergeCell ref="M127:Q127"/>
    <mergeCell ref="M128:S128"/>
    <mergeCell ref="A128:L129"/>
    <mergeCell ref="M129:S129"/>
    <mergeCell ref="A130:W130"/>
    <mergeCell ref="A131:W131"/>
    <mergeCell ref="D132:E132"/>
    <mergeCell ref="M132:Q132"/>
    <mergeCell ref="M133:S133"/>
    <mergeCell ref="A133:L134"/>
    <mergeCell ref="M134:S134"/>
    <mergeCell ref="A135:W135"/>
    <mergeCell ref="A136:W136"/>
    <mergeCell ref="A137:W137"/>
    <mergeCell ref="D138:E138"/>
    <mergeCell ref="M138:Q138"/>
    <mergeCell ref="M139:S139"/>
    <mergeCell ref="A139:L140"/>
    <mergeCell ref="M140:S140"/>
    <mergeCell ref="A141:W141"/>
    <mergeCell ref="D142:E142"/>
    <mergeCell ref="M142:Q142"/>
    <mergeCell ref="M143:S143"/>
    <mergeCell ref="A143:L144"/>
    <mergeCell ref="M144:S144"/>
    <mergeCell ref="A145:W145"/>
    <mergeCell ref="D146:E146"/>
    <mergeCell ref="M146:Q146"/>
    <mergeCell ref="D147:E147"/>
    <mergeCell ref="M147:Q147"/>
    <mergeCell ref="D148:E148"/>
    <mergeCell ref="M148:Q148"/>
    <mergeCell ref="D149:E149"/>
    <mergeCell ref="M149:Q149"/>
    <mergeCell ref="M150:S150"/>
    <mergeCell ref="A150:L151"/>
    <mergeCell ref="M151:S151"/>
    <mergeCell ref="A152:W152"/>
    <mergeCell ref="D153:E153"/>
    <mergeCell ref="M153:Q153"/>
    <mergeCell ref="D154:E154"/>
    <mergeCell ref="M154:Q154"/>
    <mergeCell ref="D155:E155"/>
    <mergeCell ref="M155:Q155"/>
    <mergeCell ref="D156:E156"/>
    <mergeCell ref="M156:Q156"/>
    <mergeCell ref="D157:E157"/>
    <mergeCell ref="M157:Q157"/>
    <mergeCell ref="D158:E158"/>
    <mergeCell ref="M158:Q158"/>
    <mergeCell ref="D159:E159"/>
    <mergeCell ref="M159:Q159"/>
    <mergeCell ref="D160:E160"/>
    <mergeCell ref="M160:Q160"/>
    <mergeCell ref="D161:E161"/>
    <mergeCell ref="M161:Q161"/>
    <mergeCell ref="D162:E162"/>
    <mergeCell ref="M162:Q162"/>
    <mergeCell ref="M163:S163"/>
    <mergeCell ref="A163:L164"/>
    <mergeCell ref="M164:S164"/>
    <mergeCell ref="A165:W165"/>
    <mergeCell ref="A166:W166"/>
    <mergeCell ref="D167:E167"/>
    <mergeCell ref="M167:Q167"/>
    <mergeCell ref="M168:S168"/>
    <mergeCell ref="A168:L169"/>
    <mergeCell ref="M169:S169"/>
    <mergeCell ref="A170:W170"/>
    <mergeCell ref="A171:W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M176:S176"/>
    <mergeCell ref="A176:L177"/>
    <mergeCell ref="M177:S177"/>
    <mergeCell ref="A178:W178"/>
    <mergeCell ref="D179:E179"/>
    <mergeCell ref="M179:Q179"/>
    <mergeCell ref="D180:E180"/>
    <mergeCell ref="M180:Q180"/>
    <mergeCell ref="M181:S181"/>
    <mergeCell ref="A181:L182"/>
    <mergeCell ref="M182:S182"/>
    <mergeCell ref="A183:W183"/>
    <mergeCell ref="A184:W184"/>
    <mergeCell ref="A185:W185"/>
    <mergeCell ref="D186:E186"/>
    <mergeCell ref="M186:Q186"/>
    <mergeCell ref="D187:E187"/>
    <mergeCell ref="M187:Q187"/>
    <mergeCell ref="M188:S188"/>
    <mergeCell ref="A188:L189"/>
    <mergeCell ref="M189:S189"/>
    <mergeCell ref="A190:W190"/>
    <mergeCell ref="A191:W191"/>
    <mergeCell ref="D192:E192"/>
    <mergeCell ref="M192:Q192"/>
    <mergeCell ref="M193:S193"/>
    <mergeCell ref="A193:L194"/>
    <mergeCell ref="M194:S194"/>
    <mergeCell ref="A195:W195"/>
    <mergeCell ref="A196:W196"/>
    <mergeCell ref="D197:E197"/>
    <mergeCell ref="M197:Q197"/>
    <mergeCell ref="M198:S198"/>
    <mergeCell ref="A198:L199"/>
    <mergeCell ref="M199:S199"/>
    <mergeCell ref="A200:W200"/>
    <mergeCell ref="A201:W201"/>
    <mergeCell ref="A202:W202"/>
    <mergeCell ref="D203:E203"/>
    <mergeCell ref="M203:Q203"/>
    <mergeCell ref="D204:E204"/>
    <mergeCell ref="M204:Q204"/>
    <mergeCell ref="M205:S205"/>
    <mergeCell ref="A205:L206"/>
    <mergeCell ref="M206:S206"/>
    <mergeCell ref="A207:W207"/>
    <mergeCell ref="A208:W208"/>
    <mergeCell ref="D209:E209"/>
    <mergeCell ref="M209:Q209"/>
    <mergeCell ref="D210:E210"/>
    <mergeCell ref="M210:Q210"/>
    <mergeCell ref="D211:E211"/>
    <mergeCell ref="M211:Q211"/>
    <mergeCell ref="D212:E212"/>
    <mergeCell ref="M212:Q212"/>
    <mergeCell ref="M213:S213"/>
    <mergeCell ref="A213:L214"/>
    <mergeCell ref="M214:S214"/>
    <mergeCell ref="A215:W215"/>
    <mergeCell ref="A216:W216"/>
    <mergeCell ref="D217:E217"/>
    <mergeCell ref="M217:Q217"/>
    <mergeCell ref="M218:S218"/>
    <mergeCell ref="A218:L219"/>
    <mergeCell ref="M219:S219"/>
    <mergeCell ref="A220:W220"/>
    <mergeCell ref="A221:W221"/>
    <mergeCell ref="D222:E222"/>
    <mergeCell ref="M222:Q222"/>
    <mergeCell ref="D223:E223"/>
    <mergeCell ref="M223:Q223"/>
    <mergeCell ref="M224:S224"/>
    <mergeCell ref="A224:L225"/>
    <mergeCell ref="M225:S225"/>
    <mergeCell ref="A226:W226"/>
    <mergeCell ref="A227:W227"/>
    <mergeCell ref="A228:W228"/>
    <mergeCell ref="D229:E229"/>
    <mergeCell ref="M229:Q229"/>
    <mergeCell ref="M230:S230"/>
    <mergeCell ref="A230:L231"/>
    <mergeCell ref="M231:S231"/>
    <mergeCell ref="A232:W232"/>
    <mergeCell ref="A233:W233"/>
    <mergeCell ref="A234:W234"/>
    <mergeCell ref="D235:E235"/>
    <mergeCell ref="M235:Q235"/>
    <mergeCell ref="M236:S236"/>
    <mergeCell ref="A236:L237"/>
    <mergeCell ref="M237:S237"/>
    <mergeCell ref="A238:W238"/>
    <mergeCell ref="A239:W239"/>
    <mergeCell ref="D240:E240"/>
    <mergeCell ref="M240:Q240"/>
    <mergeCell ref="M241:S241"/>
    <mergeCell ref="A241:L242"/>
    <mergeCell ref="M242:S242"/>
    <mergeCell ref="M243:S243"/>
    <mergeCell ref="A243:L248"/>
    <mergeCell ref="M244:S244"/>
    <mergeCell ref="M245:S245"/>
    <mergeCell ref="M246:S246"/>
    <mergeCell ref="M247:S247"/>
    <mergeCell ref="M248:S248"/>
    <mergeCell ref="C250:R250"/>
    <mergeCell ref="S250:U250"/>
    <mergeCell ref="V250:X250"/>
    <mergeCell ref="Y250:AB250"/>
    <mergeCell ref="AD250:AE250"/>
    <mergeCell ref="A251:A252"/>
    <mergeCell ref="B251:B252"/>
    <mergeCell ref="C251:C252"/>
    <mergeCell ref="D251:D252"/>
    <mergeCell ref="E251:E252"/>
    <mergeCell ref="F251:F252"/>
    <mergeCell ref="G251:G252"/>
    <mergeCell ref="H251:H252"/>
    <mergeCell ref="I251:I252"/>
    <mergeCell ref="J251:J252"/>
    <mergeCell ref="K251:K252"/>
    <mergeCell ref="L251:L252"/>
    <mergeCell ref="M251:M252"/>
    <mergeCell ref="N251:N252"/>
    <mergeCell ref="O251:O252"/>
    <mergeCell ref="P251:P252"/>
    <mergeCell ref="Q251:Q252"/>
    <mergeCell ref="R251:R252"/>
    <mergeCell ref="S251:S252"/>
    <mergeCell ref="AC251:AC252"/>
    <mergeCell ref="AD251:AD252"/>
    <mergeCell ref="AE251:AE252"/>
    <mergeCell ref="T251:T252"/>
    <mergeCell ref="U251:U252"/>
    <mergeCell ref="V251:V252"/>
    <mergeCell ref="W251:W252"/>
    <mergeCell ref="X251:X252"/>
    <mergeCell ref="Y251:Y252"/>
    <mergeCell ref="Z251:Z252"/>
    <mergeCell ref="AA251:AA252"/>
    <mergeCell ref="AB251:AB252"/>
  </mergeCells>
  <conditionalFormatting sqref="A8:K8 M9:O13 A9:C10">
    <cfRule type="expression" priority="12" dxfId="0" stopIfTrue="1">
      <formula>IF($S$5="самовывоз",1,0)</formula>
    </cfRule>
  </conditionalFormatting>
  <conditionalFormatting sqref="H10:K10">
    <cfRule type="expression" priority="7" dxfId="0" stopIfTrue="1">
      <formula>IF($S$5="самовывоз",1,0)</formula>
    </cfRule>
  </conditionalFormatting>
  <conditionalFormatting sqref="J9:K9">
    <cfRule type="expression" priority="6" dxfId="0" stopIfTrue="1">
      <formula>IF($S$5="самовывоз",1,0)</formula>
    </cfRule>
  </conditionalFormatting>
  <conditionalFormatting sqref="H9:I9">
    <cfRule type="expression" priority="5" dxfId="0" stopIfTrue="1">
      <formula>IF($S$5="самовывоз",1,0)</formula>
    </cfRule>
  </conditionalFormatting>
  <conditionalFormatting sqref="F9:G9">
    <cfRule type="expression" priority="4" dxfId="0" stopIfTrue="1">
      <formula>IF($S$5="самовывоз",1,0)</formula>
    </cfRule>
  </conditionalFormatting>
  <conditionalFormatting sqref="F10:G10">
    <cfRule type="expression" priority="3" dxfId="0" stopIfTrue="1">
      <formula>IF($S$5="самовывоз",1,0)</formula>
    </cfRule>
  </conditionalFormatting>
  <conditionalFormatting sqref="D9:E9">
    <cfRule type="expression" priority="2" dxfId="0" stopIfTrue="1">
      <formula>IF($S$5="самовывоз",1,0)</formula>
    </cfRule>
  </conditionalFormatting>
  <conditionalFormatting sqref="D10:E10">
    <cfRule type="expression" priority="1" dxfId="0" stopIfTrue="1">
      <formula>IF($S$5="самовывоз",1,0)</formula>
    </cfRule>
  </conditionalFormatting>
  <dataValidations xWindow="697" yWindow="616" count="16">
    <dataValidation sqref="N6:N7" showErrorMessage="1" showInputMessage="1" allowBlank="1" prompt="День недели загрузки. Считается сам."/>
    <dataValidation sqref="U16:Y16" showErrorMessage="1" showInputMessage="1" allowBlank="1" type="list">
      <formula1>"80-60,60-40,40-10,70-10"</formula1>
    </dataValidation>
    <dataValidation sqref="N5:O5" showErrorMessage="1" showInputMessage="1" allowBlank="1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S6:S7" showErrorMessage="1" showInputMessage="1" allowBlank="1" prompt="Введите название вашей фирмы."/>
    <dataValidation sqref="S10" showErrorMessage="1" showInputMessage="1" allowBlank="1" prompt="Введите код клиента в системе Axapta"/>
    <dataValidation sqref="S11:T11" showErrorMessage="1" showInputMessage="1" allowBlank="1" prompt="Определите тип Вашего заказа" type="list">
      <formula1>"Основной заказ, Дозаказ, Замена"</formula1>
    </dataValidation>
    <dataValidation sqref="D6:K6" showErrorMessage="1" showInputMessage="1" allowBlank="1" type="list">
      <formula1>DeliveryAdressList</formula1>
    </dataValidation>
    <dataValidation sqref="S5:T5" showErrorMessage="1" showInputMessage="1" allowBlank="1" errorTitle="Внимание!" error="Выберите значение из списка_x000a_" prompt="Выберите значение из списка" type="list">
      <formula1>DeliveryMethodList</formula1>
    </dataValidation>
    <dataValidation sqref="D8:K8" showErrorMessage="1" showInputMessage="1" allowBlank="1" type="list">
      <formula1>CHOOSE($D$7,UnloadAdressList0001,UnloadAdressList0002)</formula1>
    </dataValidation>
    <dataValidation sqref="N8:O8" showErrorMessage="1" showInput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N10:O13" showErrorMessage="1" showInputMessage="1" allowBlank="1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N9:O9" showErrorMessage="1" showInputMessage="1" allowBlank="1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ErrorMessage="1" showInputMessage="1" allowBlank="1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ErrorMessage="1" showInputMessage="1" allowBlank="1" type="list">
      <formula1>IF(TypeProxy="Уполномоченное лицо",NumProxySet,null)</formula1>
    </dataValidation>
    <dataValidation sqref="W22:Y22" showErrorMessage="1" showInputMessage="1" allowBlank="1" error="укажите вес, кратный весу коробки" operator="equal"/>
    <dataValidation sqref="S12" showErrorMessage="1" showInputMessage="1" allowBlank="1" type="list">
      <formula1>DeliveryConditionsList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3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MSDAX_ЗПФ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Крым Респ, Симферополь г, Данилова ул, 43В, лит В, офис 4,</t>
        </is>
      </c>
      <c r="C6" s="54" t="inlineStr">
        <is>
          <t>590704_1</t>
        </is>
      </c>
      <c r="D6" s="54" t="inlineStr">
        <is>
          <t>1</t>
        </is>
      </c>
      <c r="E6" s="54" t="inlineStr"/>
    </row>
    <row r="7">
      <c r="B7" s="54" t="inlineStr">
        <is>
          <t>ЛП, ООО, Крым Респ, Симферополь г, Данилова ул, д. 43В, лит В, офис 4</t>
        </is>
      </c>
      <c r="C7" s="54" t="inlineStr">
        <is>
          <t>590704_5</t>
        </is>
      </c>
      <c r="D7" s="54" t="inlineStr">
        <is>
          <t>2</t>
        </is>
      </c>
      <c r="E7" s="54" t="inlineStr"/>
    </row>
    <row r="9">
      <c r="B9" s="54" t="inlineStr">
        <is>
          <t>295021Российская Федерация, Крым Респ, Симферополь г, Данилова ул, 43В, лит В, офис 4,</t>
        </is>
      </c>
      <c r="C9" s="54" t="inlineStr">
        <is>
          <t>590704_1</t>
        </is>
      </c>
      <c r="D9" s="54" t="inlineStr"/>
      <c r="E9" s="54" t="inlineStr"/>
    </row>
    <row r="11">
      <c r="B11" s="54" t="inlineStr">
        <is>
          <t>295021Российская Федерация, Крым Респ, Симферополь г, Данилова ул, д. 43В, лит В, офис 4</t>
        </is>
      </c>
      <c r="C11" s="54" t="inlineStr">
        <is>
          <t>590704_5</t>
        </is>
      </c>
      <c r="D11" s="54" t="inlineStr"/>
      <c r="E11" s="54" t="inlineStr"/>
    </row>
    <row r="13">
      <c r="B13" s="54" t="inlineStr">
        <is>
          <t>CFR</t>
        </is>
      </c>
      <c r="C13" s="54" t="inlineStr"/>
      <c r="D13" s="54" t="inlineStr"/>
      <c r="E13" s="54" t="inlineStr"/>
    </row>
    <row r="14">
      <c r="B14" s="54" t="inlineStr">
        <is>
          <t>CIF</t>
        </is>
      </c>
      <c r="C14" s="54" t="inlineStr"/>
      <c r="D14" s="54" t="inlineStr"/>
      <c r="E14" s="54" t="inlineStr"/>
    </row>
    <row r="15">
      <c r="B15" s="54" t="inlineStr">
        <is>
          <t>CIP</t>
        </is>
      </c>
      <c r="C15" s="54" t="inlineStr"/>
      <c r="D15" s="54" t="inlineStr"/>
      <c r="E15" s="54" t="inlineStr"/>
    </row>
    <row r="16">
      <c r="B16" s="54" t="inlineStr">
        <is>
          <t>CPT</t>
        </is>
      </c>
      <c r="C16" s="54" t="inlineStr"/>
      <c r="D16" s="54" t="inlineStr"/>
      <c r="E16" s="54" t="inlineStr"/>
    </row>
    <row r="17">
      <c r="B17" s="54" t="inlineStr">
        <is>
          <t>DAP</t>
        </is>
      </c>
      <c r="C17" s="54" t="inlineStr"/>
      <c r="D17" s="54" t="inlineStr"/>
      <c r="E17" s="54" t="inlineStr"/>
    </row>
    <row r="18">
      <c r="B18" s="54" t="inlineStr">
        <is>
          <t>DAT</t>
        </is>
      </c>
      <c r="C18" s="54" t="inlineStr"/>
      <c r="D18" s="54" t="inlineStr"/>
      <c r="E18" s="54" t="inlineStr"/>
    </row>
    <row r="19">
      <c r="B19" s="54" t="inlineStr">
        <is>
          <t>DDP</t>
        </is>
      </c>
      <c r="C19" s="54" t="inlineStr"/>
      <c r="D19" s="54" t="inlineStr"/>
      <c r="E19" s="54" t="inlineStr"/>
    </row>
    <row r="20">
      <c r="B20" s="54" t="inlineStr">
        <is>
          <t>EXW</t>
        </is>
      </c>
      <c r="C20" s="54" t="inlineStr"/>
      <c r="D20" s="54" t="inlineStr"/>
      <c r="E20" s="54" t="inlineStr"/>
    </row>
    <row r="21">
      <c r="B21" s="54" t="inlineStr">
        <is>
          <t>FAS</t>
        </is>
      </c>
      <c r="C21" s="54" t="inlineStr"/>
      <c r="D21" s="54" t="inlineStr"/>
      <c r="E21" s="54" t="inlineStr"/>
    </row>
    <row r="22">
      <c r="B22" s="54" t="inlineStr">
        <is>
          <t>FCA</t>
        </is>
      </c>
      <c r="C22" s="54" t="inlineStr"/>
      <c r="D22" s="54" t="inlineStr"/>
      <c r="E22" s="54" t="inlineStr"/>
    </row>
    <row r="23">
      <c r="B23" s="54" t="inlineStr">
        <is>
          <t>FOB</t>
        </is>
      </c>
      <c r="C23" s="54" t="inlineStr"/>
      <c r="D23" s="54" t="inlineStr"/>
      <c r="E23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+vqAmWQhYus/tyRp9Mm98A==" formatRows="1" sort="0" spinCount="100000" hashValue="mEY2+HocOibF4RVSBf6DHwhvUv5I80wL5Rz62WKF5GznKlNNFCyOAsQNd6xPwFPIhDQHdKREyOpEzOQ6nUvyOA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2023-08-11T07:49:44Z</dcterms:modified>
  <cp:lastModifiedBy>Admin</cp:lastModifiedBy>
</cp:coreProperties>
</file>