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Setting!$E$33:$E$34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Setting!$B$6:$B$14</definedName>
    <definedName name="DeliveryCodeAdressList">Setting!$C$6:$C$14</definedName>
    <definedName name="DeliveryConditions">'Бланк заказа'!$S$12</definedName>
    <definedName name="DeliveryConditionsList">Setting!$B$34:$B$44</definedName>
    <definedName name="DeliveryDate">'Бланк заказа'!$N$9</definedName>
    <definedName name="DeliveryMethodList">Setting!$B$3:$B$4</definedName>
    <definedName name="DeliveryNumAdressList">Setting!$D$6:$D$14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Setting!$C$33:$C$34</definedName>
    <definedName name="GrossWeightTotal">'Бланк заказа'!$U$464:$U$464</definedName>
    <definedName name="GrossWeightTotalR">'Бланк заказа'!$V$464:$V$464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Setting!$B$33:$B$34</definedName>
    <definedName name="PalletQtyTotal">'Бланк заказа'!$U$465:$U$465</definedName>
    <definedName name="PalletQtyTotalR">'Бланк заказа'!$V$465:$V$465</definedName>
    <definedName name="PassportProxy">'Бланк заказа'!$J$9:$K$9</definedName>
    <definedName name="PassportProxySet">Setting!$D$33:$D$34</definedName>
    <definedName name="ProductId1">'Бланк заказа'!$B$22:$B$22</definedName>
    <definedName name="ProductId10">'Бланк заказа'!$B$40:$B$40</definedName>
    <definedName name="ProductId100">'Бланк заказа'!$B$187:$B$187</definedName>
    <definedName name="ProductId101">'Бланк заказа'!$B$188:$B$188</definedName>
    <definedName name="ProductId102">'Бланк заказа'!$B$193:$B$193</definedName>
    <definedName name="ProductId103">'Бланк заказа'!$B$194:$B$194</definedName>
    <definedName name="ProductId104">'Бланк заказа'!$B$195:$B$195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заказа'!$B$44:$B$44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заказа'!$B$211:$B$211</definedName>
    <definedName name="ProductId118">'Бланк заказа'!$B$215:$B$215</definedName>
    <definedName name="ProductId119">'Бланк заказа'!$B$216:$B$216</definedName>
    <definedName name="ProductId12">'Бланк заказа'!$B$50:$B$50</definedName>
    <definedName name="ProductId120">'Бланк заказа'!$B$217:$B$217</definedName>
    <definedName name="ProductId121">'Бланк заказа'!$B$218:$B$218</definedName>
    <definedName name="ProductId122">'Бланк заказа'!$B$222:$B$222</definedName>
    <definedName name="ProductId123">'Бланк заказа'!$B$223:$B$223</definedName>
    <definedName name="ProductId124">'Бланк заказа'!$B$224:$B$224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заказа'!$B$231:$B$231</definedName>
    <definedName name="ProductId129">'Бланк заказа'!$B$232:$B$232</definedName>
    <definedName name="ProductId13">'Бланк заказа'!$B$51:$B$51</definedName>
    <definedName name="ProductId130">'Бланк заказа'!$B$233:$B$233</definedName>
    <definedName name="ProductId131">'Бланк заказа'!$B$234:$B$234</definedName>
    <definedName name="ProductId132">'Бланк заказа'!$B$238:$B$238</definedName>
    <definedName name="ProductId133">'Бланк заказа'!$B$239:$B$239</definedName>
    <definedName name="ProductId134">'Бланк заказа'!$B$240:$B$240</definedName>
    <definedName name="ProductId135">'Бланк заказа'!$B$244:$B$244</definedName>
    <definedName name="ProductId136">'Бланк заказа'!$B$245:$B$245</definedName>
    <definedName name="ProductId137">'Бланк заказа'!$B$246:$B$246</definedName>
    <definedName name="ProductId138">'Бланк заказа'!$B$251:$B$251</definedName>
    <definedName name="ProductId139">'Бланк заказа'!$B$252:$B$252</definedName>
    <definedName name="ProductId14">'Бланк заказа'!$B$56:$B$56</definedName>
    <definedName name="ProductId140">'Бланк заказа'!$B$253:$B$253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заказа'!$B$261:$B$261</definedName>
    <definedName name="ProductId146">'Бланк заказа'!$B$262:$B$262</definedName>
    <definedName name="ProductId147">'Бланк заказа'!$B$267:$B$267</definedName>
    <definedName name="ProductId148">'Бланк заказа'!$B$268:$B$268</definedName>
    <definedName name="ProductId149">'Бланк заказа'!$B$272:$B$272</definedName>
    <definedName name="ProductId15">'Бланк заказа'!$B$57:$B$57</definedName>
    <definedName name="ProductId150">'Бланк заказа'!$B$273:$B$273</definedName>
    <definedName name="ProductId151">'Бланк заказа'!$B$274:$B$274</definedName>
    <definedName name="ProductId152">'Бланк заказа'!$B$278:$B$278</definedName>
    <definedName name="ProductId153">'Бланк заказа'!$B$282:$B$282</definedName>
    <definedName name="ProductId154">'Бланк заказа'!$B$288:$B$288</definedName>
    <definedName name="ProductId155">'Бланк заказа'!$B$289:$B$289</definedName>
    <definedName name="ProductId156">'Бланк заказа'!$B$290:$B$290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заказа'!$B$299:$B$299</definedName>
    <definedName name="ProductId163">'Бланк заказа'!$B$300:$B$300</definedName>
    <definedName name="ProductId164">'Бланк заказа'!$B$304:$B$304</definedName>
    <definedName name="ProductId165">'Бланк заказа'!$B$308:$B$308</definedName>
    <definedName name="ProductId166">'Бланк заказа'!$B$312:$B$312</definedName>
    <definedName name="ProductId167">'Бланк заказа'!$B$317:$B$317</definedName>
    <definedName name="ProductId168">'Бланк заказа'!$B$318:$B$318</definedName>
    <definedName name="ProductId169">'Бланк заказа'!$B$319:$B$319</definedName>
    <definedName name="ProductId17">'Бланк заказа'!$B$63:$B$63</definedName>
    <definedName name="ProductId170">'Бланк заказа'!$B$320:$B$320</definedName>
    <definedName name="ProductId171">'Бланк заказа'!$B$324:$B$324</definedName>
    <definedName name="ProductId172">'Бланк заказа'!$B$325:$B$325</definedName>
    <definedName name="ProductId173">'Бланк заказа'!$B$329:$B$329</definedName>
    <definedName name="ProductId174">'Бланк заказа'!$B$330:$B$330</definedName>
    <definedName name="ProductId175">'Бланк заказа'!$B$331:$B$331</definedName>
    <definedName name="ProductId176">'Бланк заказа'!$B$332:$B$332</definedName>
    <definedName name="ProductId177">'Бланк заказа'!$B$336:$B$336</definedName>
    <definedName name="ProductId178">'Бланк заказа'!$B$342:$B$342</definedName>
    <definedName name="ProductId179">'Бланк заказа'!$B$343:$B$343</definedName>
    <definedName name="ProductId18">'Бланк заказа'!$B$64:$B$64</definedName>
    <definedName name="ProductId180">'Бланк заказа'!$B$347:$B$347</definedName>
    <definedName name="ProductId181">'Бланк заказа'!$B$348:$B$348</definedName>
    <definedName name="ProductId182">'Бланк заказа'!$B$349:$B$349</definedName>
    <definedName name="ProductId183">'Бланк заказа'!$B$350:$B$350</definedName>
    <definedName name="ProductId184">'Бланк заказа'!$B$351:$B$351</definedName>
    <definedName name="ProductId185">'Бланк заказа'!$B$352:$B$352</definedName>
    <definedName name="ProductId186">'Бланк заказа'!$B$353:$B$353</definedName>
    <definedName name="ProductId187">'Бланк заказа'!$B$354:$B$354</definedName>
    <definedName name="ProductId188">'Бланк заказа'!$B$355:$B$355</definedName>
    <definedName name="ProductId189">'Бланк заказа'!$B$356:$B$356</definedName>
    <definedName name="ProductId19">'Бланк заказа'!$B$65:$B$65</definedName>
    <definedName name="ProductId190">'Бланк заказа'!$B$357:$B$357</definedName>
    <definedName name="ProductId191">'Бланк заказа'!$B$358:$B$358</definedName>
    <definedName name="ProductId192">'Бланк заказа'!$B$359:$B$359</definedName>
    <definedName name="ProductId193">'Бланк заказа'!$B$363:$B$363</definedName>
    <definedName name="ProductId194">'Бланк заказа'!$B$364:$B$364</definedName>
    <definedName name="ProductId195">'Бланк заказа'!$B$365:$B$365</definedName>
    <definedName name="ProductId196">'Бланк заказа'!$B$366:$B$366</definedName>
    <definedName name="ProductId197">'Бланк заказа'!$B$370:$B$370</definedName>
    <definedName name="ProductId198">'Бланк заказа'!$B$374:$B$374</definedName>
    <definedName name="ProductId199">'Бланк заказа'!$B$375:$B$375</definedName>
    <definedName name="ProductId2">'Бланк заказа'!$B$26:$B$26</definedName>
    <definedName name="ProductId20">'Бланк заказа'!$B$66:$B$66</definedName>
    <definedName name="ProductId200">'Бланк заказа'!$B$376:$B$376</definedName>
    <definedName name="ProductId201">'Бланк заказа'!$B$381:$B$381</definedName>
    <definedName name="ProductId202">'Бланк заказа'!$B$382:$B$382</definedName>
    <definedName name="ProductId203">'Бланк заказа'!$B$386:$B$386</definedName>
    <definedName name="ProductId204">'Бланк заказа'!$B$387:$B$387</definedName>
    <definedName name="ProductId205">'Бланк заказа'!$B$388:$B$388</definedName>
    <definedName name="ProductId206">'Бланк заказа'!$B$389:$B$389</definedName>
    <definedName name="ProductId207">'Бланк заказа'!$B$390:$B$390</definedName>
    <definedName name="ProductId208">'Бланк заказа'!$B$391:$B$391</definedName>
    <definedName name="ProductId209">'Бланк заказа'!$B$392:$B$392</definedName>
    <definedName name="ProductId21">'Бланк заказа'!$B$67:$B$67</definedName>
    <definedName name="ProductId210">'Бланк заказа'!$B$396:$B$396</definedName>
    <definedName name="ProductId211">'Бланк заказа'!$B$400:$B$400</definedName>
    <definedName name="ProductId212">'Бланк заказа'!$B$406:$B$406</definedName>
    <definedName name="ProductId213">'Бланк заказа'!$B$407:$B$407</definedName>
    <definedName name="ProductId214">'Бланк заказа'!$B$408:$B$408</definedName>
    <definedName name="ProductId215">'Бланк заказа'!$B$409:$B$409</definedName>
    <definedName name="ProductId216">'Бланк заказа'!$B$410:$B$410</definedName>
    <definedName name="ProductId217">'Бланк заказа'!$B$411:$B$411</definedName>
    <definedName name="ProductId218">'Бланк заказа'!$B$412:$B$412</definedName>
    <definedName name="ProductId219">'Бланк заказа'!$B$413:$B$413</definedName>
    <definedName name="ProductId22">'Бланк заказа'!$B$68:$B$68</definedName>
    <definedName name="ProductId220">'Бланк заказа'!$B$414:$B$414</definedName>
    <definedName name="ProductId221">'Бланк заказа'!$B$415:$B$415</definedName>
    <definedName name="ProductId222">'Бланк заказа'!$B$419:$B$419</definedName>
    <definedName name="ProductId223">'Бланк заказа'!$B$420:$B$420</definedName>
    <definedName name="ProductId224">'Бланк заказа'!$B$424:$B$424</definedName>
    <definedName name="ProductId225">'Бланк заказа'!$B$425:$B$425</definedName>
    <definedName name="ProductId226">'Бланк заказа'!$B$426:$B$426</definedName>
    <definedName name="ProductId227">'Бланк заказа'!$B$427:$B$427</definedName>
    <definedName name="ProductId228">'Бланк заказа'!$B$428:$B$428</definedName>
    <definedName name="ProductId229">'Бланк заказа'!$B$429:$B$429</definedName>
    <definedName name="ProductId23">'Бланк заказа'!$B$69:$B$69</definedName>
    <definedName name="ProductId230">'Бланк заказа'!$B$430:$B$430</definedName>
    <definedName name="ProductId231">'Бланк заказа'!$B$431:$B$431</definedName>
    <definedName name="ProductId232">'Бланк заказа'!$B$432:$B$432</definedName>
    <definedName name="ProductId233">'Бланк заказа'!$B$436:$B$436</definedName>
    <definedName name="ProductId234">'Бланк заказа'!$B$437:$B$437</definedName>
    <definedName name="ProductId235">'Бланк заказа'!$B$443:$B$443</definedName>
    <definedName name="ProductId236">'Бланк заказа'!$B$444:$B$444</definedName>
    <definedName name="ProductId237">'Бланк заказа'!$B$448:$B$448</definedName>
    <definedName name="ProductId238">'Бланк заказа'!$B$449:$B$449</definedName>
    <definedName name="ProductId239">'Бланк заказа'!$B$453:$B$453</definedName>
    <definedName name="ProductId24">'Бланк заказа'!$B$70:$B$70</definedName>
    <definedName name="ProductId240">'Бланк заказа'!$B$454:$B$454</definedName>
    <definedName name="ProductId241">'Бланк заказа'!$B$458:$B$458</definedName>
    <definedName name="ProductId242">'Бланк заказа'!$B$459:$B$459</definedName>
    <definedName name="ProductId243">'Бланк заказа'!$B$460:$B$460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заказа'!$B$125:$B$125</definedName>
    <definedName name="ProductId64">'Бланк заказа'!$B$131:$B$131</definedName>
    <definedName name="ProductId65">'Бланк заказа'!$B$132:$B$132</definedName>
    <definedName name="ProductId66">'Бланк заказа'!$B$133:$B$133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заказа'!$B$150:$B$150</definedName>
    <definedName name="ProductId76">'Бланк заказа'!$B$151:$B$151</definedName>
    <definedName name="ProductId77">'Бланк заказа'!$B$155:$B$155</definedName>
    <definedName name="ProductId78">'Бланк заказа'!$B$156:$B$156</definedName>
    <definedName name="ProductId79">'Бланк заказа'!$B$160:$B$160</definedName>
    <definedName name="ProductId8">'Бланк заказа'!$B$35:$B$35</definedName>
    <definedName name="ProductId80">'Бланк заказа'!$B$161:$B$161</definedName>
    <definedName name="ProductId81">'Бланк заказа'!$B$162:$B$162</definedName>
    <definedName name="ProductId82">'Бланк заказа'!$B$163:$B$163</definedName>
    <definedName name="ProductId83">'Бланк заказа'!$B$167:$B$167</definedName>
    <definedName name="ProductId84">'Бланк заказа'!$B$168:$B$168</definedName>
    <definedName name="ProductId85">'Бланк заказа'!$B$169:$B$169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заказа'!$B$36:$B$36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Setting!$B$33:$E$34</definedName>
    <definedName name="Ref_UnloadCodeAdressList0001">Setting!$C$16:$C$16</definedName>
    <definedName name="Ref_UnloadCodeAdressList0002">Setting!$C$18:$C$18</definedName>
    <definedName name="Ref_UnloadCodeAdressList0003">Setting!$C$20:$C$20</definedName>
    <definedName name="Ref_UnloadCodeAdressList0004">Setting!$C$22:$C$22</definedName>
    <definedName name="Ref_UnloadCodeAdressList0005">Setting!$C$24:$C$24</definedName>
    <definedName name="Ref_UnloadCodeAdressList0006">Setting!$C$26:$C$26</definedName>
    <definedName name="Ref_UnloadCodeAdressList0007">Setting!$C$28:$C$28</definedName>
    <definedName name="Ref_UnloadCodeAdressList0008">Setting!$C$30:$C$30</definedName>
    <definedName name="Ref_UnloadCodeAdressList0009">Setting!$C$32:$C$32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заказа'!$U$187:$U$187</definedName>
    <definedName name="SalesQty101">'Бланк заказа'!$U$188:$U$188</definedName>
    <definedName name="SalesQty102">'Бланк заказа'!$U$193:$U$193</definedName>
    <definedName name="SalesQty103">'Бланк заказа'!$U$194:$U$194</definedName>
    <definedName name="SalesQty104">'Бланк заказа'!$U$195:$U$195</definedName>
    <definedName name="SalesQty105">'Бланк заказа'!$U$196:$U$196</definedName>
    <definedName name="SalesQty106">'Бланк заказа'!$U$197:$U$197</definedName>
    <definedName name="SalesQty107">'Бланк заказа'!$U$198:$U$198</definedName>
    <definedName name="SalesQty108">'Бланк заказа'!$U$199:$U$199</definedName>
    <definedName name="SalesQty109">'Бланк заказа'!$U$200:$U$200</definedName>
    <definedName name="SalesQty11">'Бланк заказа'!$U$44:$U$44</definedName>
    <definedName name="SalesQty110">'Бланк заказа'!$U$201:$U$201</definedName>
    <definedName name="SalesQty111">'Бланк заказа'!$U$202:$U$202</definedName>
    <definedName name="SalesQty112">'Бланк заказа'!$U$203:$U$203</definedName>
    <definedName name="SalesQty113">'Бланк заказа'!$U$204:$U$204</definedName>
    <definedName name="SalesQty114">'Бланк заказа'!$U$205:$U$205</definedName>
    <definedName name="SalesQty115">'Бланк заказа'!$U$206:$U$206</definedName>
    <definedName name="SalesQty116">'Бланк заказа'!$U$207:$U$207</definedName>
    <definedName name="SalesQty117">'Бланк заказа'!$U$211:$U$211</definedName>
    <definedName name="SalesQty118">'Бланк заказа'!$U$215:$U$215</definedName>
    <definedName name="SalesQty119">'Бланк заказа'!$U$216:$U$216</definedName>
    <definedName name="SalesQty12">'Бланк заказа'!$U$50:$U$50</definedName>
    <definedName name="SalesQty120">'Бланк заказа'!$U$217:$U$217</definedName>
    <definedName name="SalesQty121">'Бланк заказа'!$U$218:$U$218</definedName>
    <definedName name="SalesQty122">'Бланк заказа'!$U$222:$U$222</definedName>
    <definedName name="SalesQty123">'Бланк заказа'!$U$223:$U$223</definedName>
    <definedName name="SalesQty124">'Бланк заказа'!$U$224:$U$224</definedName>
    <definedName name="SalesQty125">'Бланк заказа'!$U$225:$U$225</definedName>
    <definedName name="SalesQty126">'Бланк заказа'!$U$226:$U$226</definedName>
    <definedName name="SalesQty127">'Бланк заказа'!$U$227:$U$227</definedName>
    <definedName name="SalesQty128">'Бланк заказа'!$U$231:$U$231</definedName>
    <definedName name="SalesQty129">'Бланк заказа'!$U$232:$U$232</definedName>
    <definedName name="SalesQty13">'Бланк заказа'!$U$51:$U$51</definedName>
    <definedName name="SalesQty130">'Бланк заказа'!$U$233:$U$233</definedName>
    <definedName name="SalesQty131">'Бланк заказа'!$U$234:$U$234</definedName>
    <definedName name="SalesQty132">'Бланк заказа'!$U$238:$U$238</definedName>
    <definedName name="SalesQty133">'Бланк заказа'!$U$239:$U$239</definedName>
    <definedName name="SalesQty134">'Бланк заказа'!$U$240:$U$240</definedName>
    <definedName name="SalesQty135">'Бланк заказа'!$U$244:$U$244</definedName>
    <definedName name="SalesQty136">'Бланк заказа'!$U$245:$U$245</definedName>
    <definedName name="SalesQty137">'Бланк заказа'!$U$246:$U$246</definedName>
    <definedName name="SalesQty138">'Бланк заказа'!$U$251:$U$251</definedName>
    <definedName name="SalesQty139">'Бланк заказа'!$U$252:$U$252</definedName>
    <definedName name="SalesQty14">'Бланк заказа'!$U$56:$U$56</definedName>
    <definedName name="SalesQty140">'Бланк заказа'!$U$253:$U$253</definedName>
    <definedName name="SalesQty141">'Бланк заказа'!$U$254:$U$254</definedName>
    <definedName name="SalesQty142">'Бланк заказа'!$U$255:$U$255</definedName>
    <definedName name="SalesQty143">'Бланк заказа'!$U$256:$U$256</definedName>
    <definedName name="SalesQty144">'Бланк заказа'!$U$257:$U$257</definedName>
    <definedName name="SalesQty145">'Бланк заказа'!$U$261:$U$261</definedName>
    <definedName name="SalesQty146">'Бланк заказа'!$U$262:$U$262</definedName>
    <definedName name="SalesQty147">'Бланк заказа'!$U$267:$U$267</definedName>
    <definedName name="SalesQty148">'Бланк заказа'!$U$268:$U$268</definedName>
    <definedName name="SalesQty149">'Бланк заказа'!$U$272:$U$272</definedName>
    <definedName name="SalesQty15">'Бланк заказа'!$U$57:$U$57</definedName>
    <definedName name="SalesQty150">'Бланк заказа'!$U$273:$U$273</definedName>
    <definedName name="SalesQty151">'Бланк заказа'!$U$274:$U$274</definedName>
    <definedName name="SalesQty152">'Бланк заказа'!$U$278:$U$278</definedName>
    <definedName name="SalesQty153">'Бланк заказа'!$U$282:$U$282</definedName>
    <definedName name="SalesQty154">'Бланк заказа'!$U$288:$U$288</definedName>
    <definedName name="SalesQty155">'Бланк заказа'!$U$289:$U$289</definedName>
    <definedName name="SalesQty156">'Бланк заказа'!$U$290:$U$290</definedName>
    <definedName name="SalesQty157">'Бланк заказа'!$U$291:$U$291</definedName>
    <definedName name="SalesQty158">'Бланк заказа'!$U$292:$U$292</definedName>
    <definedName name="SalesQty159">'Бланк заказа'!$U$293:$U$293</definedName>
    <definedName name="SalesQty16">'Бланк заказа'!$U$58:$U$58</definedName>
    <definedName name="SalesQty160">'Бланк заказа'!$U$294:$U$294</definedName>
    <definedName name="SalesQty161">'Бланк заказа'!$U$295:$U$295</definedName>
    <definedName name="SalesQty162">'Бланк заказа'!$U$299:$U$299</definedName>
    <definedName name="SalesQty163">'Бланк заказа'!$U$300:$U$300</definedName>
    <definedName name="SalesQty164">'Бланк заказа'!$U$304:$U$304</definedName>
    <definedName name="SalesQty165">'Бланк заказа'!$U$308:$U$308</definedName>
    <definedName name="SalesQty166">'Бланк заказа'!$U$312:$U$312</definedName>
    <definedName name="SalesQty167">'Бланк заказа'!$U$317:$U$317</definedName>
    <definedName name="SalesQty168">'Бланк заказа'!$U$318:$U$318</definedName>
    <definedName name="SalesQty169">'Бланк заказа'!$U$319:$U$319</definedName>
    <definedName name="SalesQty17">'Бланк заказа'!$U$63:$U$63</definedName>
    <definedName name="SalesQty170">'Бланк заказа'!$U$320:$U$320</definedName>
    <definedName name="SalesQty171">'Бланк заказа'!$U$324:$U$324</definedName>
    <definedName name="SalesQty172">'Бланк заказа'!$U$325:$U$325</definedName>
    <definedName name="SalesQty173">'Бланк заказа'!$U$329:$U$329</definedName>
    <definedName name="SalesQty174">'Бланк заказа'!$U$330:$U$330</definedName>
    <definedName name="SalesQty175">'Бланк заказа'!$U$331:$U$331</definedName>
    <definedName name="SalesQty176">'Бланк заказа'!$U$332:$U$332</definedName>
    <definedName name="SalesQty177">'Бланк заказа'!$U$336:$U$336</definedName>
    <definedName name="SalesQty178">'Бланк заказа'!$U$342:$U$342</definedName>
    <definedName name="SalesQty179">'Бланк заказа'!$U$343:$U$343</definedName>
    <definedName name="SalesQty18">'Бланк заказа'!$U$64:$U$64</definedName>
    <definedName name="SalesQty180">'Бланк заказа'!$U$347:$U$347</definedName>
    <definedName name="SalesQty181">'Бланк заказа'!$U$348:$U$348</definedName>
    <definedName name="SalesQty182">'Бланк заказа'!$U$349:$U$349</definedName>
    <definedName name="SalesQty183">'Бланк заказа'!$U$350:$U$350</definedName>
    <definedName name="SalesQty184">'Бланк заказа'!$U$351:$U$351</definedName>
    <definedName name="SalesQty185">'Бланк заказа'!$U$352:$U$352</definedName>
    <definedName name="SalesQty186">'Бланк заказа'!$U$353:$U$353</definedName>
    <definedName name="SalesQty187">'Бланк заказа'!$U$354:$U$354</definedName>
    <definedName name="SalesQty188">'Бланк заказа'!$U$355:$U$355</definedName>
    <definedName name="SalesQty189">'Бланк заказа'!$U$356:$U$356</definedName>
    <definedName name="SalesQty19">'Бланк заказа'!$U$65:$U$65</definedName>
    <definedName name="SalesQty190">'Бланк заказа'!$U$357:$U$357</definedName>
    <definedName name="SalesQty191">'Бланк заказа'!$U$358:$U$358</definedName>
    <definedName name="SalesQty192">'Бланк заказа'!$U$359:$U$359</definedName>
    <definedName name="SalesQty193">'Бланк заказа'!$U$363:$U$363</definedName>
    <definedName name="SalesQty194">'Бланк заказа'!$U$364:$U$364</definedName>
    <definedName name="SalesQty195">'Бланк заказа'!$U$365:$U$365</definedName>
    <definedName name="SalesQty196">'Бланк заказа'!$U$366:$U$366</definedName>
    <definedName name="SalesQty197">'Бланк заказа'!$U$370:$U$370</definedName>
    <definedName name="SalesQty198">'Бланк заказа'!$U$374:$U$374</definedName>
    <definedName name="SalesQty199">'Бланк заказа'!$U$375:$U$375</definedName>
    <definedName name="SalesQty2">'Бланк заказа'!$U$26:$U$26</definedName>
    <definedName name="SalesQty20">'Бланк заказа'!$U$66:$U$66</definedName>
    <definedName name="SalesQty200">'Бланк заказа'!$U$376:$U$376</definedName>
    <definedName name="SalesQty201">'Бланк заказа'!$U$381:$U$381</definedName>
    <definedName name="SalesQty202">'Бланк заказа'!$U$382:$U$382</definedName>
    <definedName name="SalesQty203">'Бланк заказа'!$U$386:$U$386</definedName>
    <definedName name="SalesQty204">'Бланк заказа'!$U$387:$U$387</definedName>
    <definedName name="SalesQty205">'Бланк заказа'!$U$388:$U$388</definedName>
    <definedName name="SalesQty206">'Бланк заказа'!$U$389:$U$389</definedName>
    <definedName name="SalesQty207">'Бланк заказа'!$U$390:$U$390</definedName>
    <definedName name="SalesQty208">'Бланк заказа'!$U$391:$U$391</definedName>
    <definedName name="SalesQty209">'Бланк заказа'!$U$392:$U$392</definedName>
    <definedName name="SalesQty21">'Бланк заказа'!$U$67:$U$67</definedName>
    <definedName name="SalesQty210">'Бланк заказа'!$U$396:$U$396</definedName>
    <definedName name="SalesQty211">'Бланк заказа'!$U$400:$U$400</definedName>
    <definedName name="SalesQty212">'Бланк заказа'!$U$406:$U$406</definedName>
    <definedName name="SalesQty213">'Бланк заказа'!$U$407:$U$407</definedName>
    <definedName name="SalesQty214">'Бланк заказа'!$U$408:$U$408</definedName>
    <definedName name="SalesQty215">'Бланк заказа'!$U$409:$U$409</definedName>
    <definedName name="SalesQty216">'Бланк заказа'!$U$410:$U$410</definedName>
    <definedName name="SalesQty217">'Бланк заказа'!$U$411:$U$411</definedName>
    <definedName name="SalesQty218">'Бланк заказа'!$U$412:$U$412</definedName>
    <definedName name="SalesQty219">'Бланк заказа'!$U$413:$U$413</definedName>
    <definedName name="SalesQty22">'Бланк заказа'!$U$68:$U$68</definedName>
    <definedName name="SalesQty220">'Бланк заказа'!$U$414:$U$414</definedName>
    <definedName name="SalesQty221">'Бланк заказа'!$U$415:$U$415</definedName>
    <definedName name="SalesQty222">'Бланк заказа'!$U$419:$U$419</definedName>
    <definedName name="SalesQty223">'Бланк заказа'!$U$420:$U$420</definedName>
    <definedName name="SalesQty224">'Бланк заказа'!$U$424:$U$424</definedName>
    <definedName name="SalesQty225">'Бланк заказа'!$U$425:$U$425</definedName>
    <definedName name="SalesQty226">'Бланк заказа'!$U$426:$U$426</definedName>
    <definedName name="SalesQty227">'Бланк заказа'!$U$427:$U$427</definedName>
    <definedName name="SalesQty228">'Бланк заказа'!$U$428:$U$428</definedName>
    <definedName name="SalesQty229">'Бланк заказа'!$U$429:$U$429</definedName>
    <definedName name="SalesQty23">'Бланк заказа'!$U$69:$U$69</definedName>
    <definedName name="SalesQty230">'Бланк заказа'!$U$430:$U$430</definedName>
    <definedName name="SalesQty231">'Бланк заказа'!$U$431:$U$431</definedName>
    <definedName name="SalesQty232">'Бланк заказа'!$U$432:$U$432</definedName>
    <definedName name="SalesQty233">'Бланк заказа'!$U$436:$U$436</definedName>
    <definedName name="SalesQty234">'Бланк заказа'!$U$437:$U$437</definedName>
    <definedName name="SalesQty235">'Бланк заказа'!$U$443:$U$443</definedName>
    <definedName name="SalesQty236">'Бланк заказа'!$U$444:$U$444</definedName>
    <definedName name="SalesQty237">'Бланк заказа'!$U$448:$U$448</definedName>
    <definedName name="SalesQty238">'Бланк заказа'!$U$449:$U$449</definedName>
    <definedName name="SalesQty239">'Бланк заказа'!$U$453:$U$453</definedName>
    <definedName name="SalesQty24">'Бланк заказа'!$U$70:$U$70</definedName>
    <definedName name="SalesQty240">'Бланк заказа'!$U$454:$U$454</definedName>
    <definedName name="SalesQty241">'Бланк заказа'!$U$458:$U$458</definedName>
    <definedName name="SalesQty242">'Бланк заказа'!$U$459:$U$459</definedName>
    <definedName name="SalesQty243">'Бланк заказа'!$U$460:$U$460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заказа'!$U$117:$U$117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заказа'!$U$125:$U$125</definedName>
    <definedName name="SalesQty64">'Бланк заказа'!$U$131:$U$131</definedName>
    <definedName name="SalesQty65">'Бланк заказа'!$U$132:$U$132</definedName>
    <definedName name="SalesQty66">'Бланк заказа'!$U$133:$U$133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заказа'!$U$150:$U$150</definedName>
    <definedName name="SalesQty76">'Бланк заказа'!$U$151:$U$151</definedName>
    <definedName name="SalesQty77">'Бланк заказа'!$U$155:$U$155</definedName>
    <definedName name="SalesQty78">'Бланк заказа'!$U$156:$U$156</definedName>
    <definedName name="SalesQty79">'Бланк заказа'!$U$160:$U$160</definedName>
    <definedName name="SalesQty8">'Бланк заказа'!$U$35:$U$35</definedName>
    <definedName name="SalesQty80">'Бланк заказа'!$U$161:$U$161</definedName>
    <definedName name="SalesQty81">'Бланк заказа'!$U$162:$U$162</definedName>
    <definedName name="SalesQty82">'Бланк заказа'!$U$163:$U$163</definedName>
    <definedName name="SalesQty83">'Бланк заказа'!$U$167:$U$167</definedName>
    <definedName name="SalesQty84">'Бланк заказа'!$U$168:$U$168</definedName>
    <definedName name="SalesQty85">'Бланк заказа'!$U$169:$U$169</definedName>
    <definedName name="SalesQty86">'Бланк заказа'!$U$170:$U$170</definedName>
    <definedName name="SalesQty87">'Бланк заказа'!$U$171:$U$171</definedName>
    <definedName name="SalesQty88">'Бланк заказа'!$U$172:$U$172</definedName>
    <definedName name="SalesQty89">'Бланк заказа'!$U$173:$U$173</definedName>
    <definedName name="SalesQty9">'Бланк заказа'!$U$36:$U$36</definedName>
    <definedName name="SalesQty90">'Бланк заказа'!$U$174:$U$174</definedName>
    <definedName name="SalesQty91">'Бланк заказа'!$U$175:$U$175</definedName>
    <definedName name="SalesQty92">'Бланк заказа'!$U$176:$U$176</definedName>
    <definedName name="SalesQty93">'Бланк заказа'!$U$177:$U$177</definedName>
    <definedName name="SalesQty94">'Бланк заказа'!$U$178:$U$178</definedName>
    <definedName name="SalesQty95">'Бланк заказа'!$U$179:$U$179</definedName>
    <definedName name="SalesQty96">'Бланк заказа'!$U$180:$U$180</definedName>
    <definedName name="SalesQty97">'Бланк заказа'!$U$181:$U$181</definedName>
    <definedName name="SalesQty98">'Бланк заказа'!$U$182:$U$182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заказа'!$V$187:$V$187</definedName>
    <definedName name="SalesRoundBox101">'Бланк заказа'!$V$188:$V$188</definedName>
    <definedName name="SalesRoundBox102">'Бланк заказа'!$V$193:$V$193</definedName>
    <definedName name="SalesRoundBox103">'Бланк заказа'!$V$194:$V$194</definedName>
    <definedName name="SalesRoundBox104">'Бланк заказа'!$V$195:$V$195</definedName>
    <definedName name="SalesRoundBox105">'Бланк заказа'!$V$196:$V$196</definedName>
    <definedName name="SalesRoundBox106">'Бланк заказа'!$V$197:$V$197</definedName>
    <definedName name="SalesRoundBox107">'Бланк заказа'!$V$198:$V$198</definedName>
    <definedName name="SalesRoundBox108">'Бланк заказа'!$V$199:$V$199</definedName>
    <definedName name="SalesRoundBox109">'Бланк заказа'!$V$200:$V$200</definedName>
    <definedName name="SalesRoundBox11">'Бланк заказа'!$V$44:$V$44</definedName>
    <definedName name="SalesRoundBox110">'Бланк заказа'!$V$201:$V$201</definedName>
    <definedName name="SalesRoundBox111">'Бланк заказа'!$V$202:$V$202</definedName>
    <definedName name="SalesRoundBox112">'Бланк заказа'!$V$203:$V$203</definedName>
    <definedName name="SalesRoundBox113">'Бланк заказа'!$V$204:$V$204</definedName>
    <definedName name="SalesRoundBox114">'Бланк заказа'!$V$205:$V$205</definedName>
    <definedName name="SalesRoundBox115">'Бланк заказа'!$V$206:$V$206</definedName>
    <definedName name="SalesRoundBox116">'Бланк заказа'!$V$207:$V$207</definedName>
    <definedName name="SalesRoundBox117">'Бланк заказа'!$V$211:$V$211</definedName>
    <definedName name="SalesRoundBox118">'Бланк заказа'!$V$215:$V$215</definedName>
    <definedName name="SalesRoundBox119">'Бланк заказа'!$V$216:$V$216</definedName>
    <definedName name="SalesRoundBox12">'Бланк заказа'!$V$50:$V$50</definedName>
    <definedName name="SalesRoundBox120">'Бланк заказа'!$V$217:$V$217</definedName>
    <definedName name="SalesRoundBox121">'Бланк заказа'!$V$218:$V$218</definedName>
    <definedName name="SalesRoundBox122">'Бланк заказа'!$V$222:$V$222</definedName>
    <definedName name="SalesRoundBox123">'Бланк заказа'!$V$223:$V$223</definedName>
    <definedName name="SalesRoundBox124">'Бланк заказа'!$V$224:$V$224</definedName>
    <definedName name="SalesRoundBox125">'Бланк заказа'!$V$225:$V$225</definedName>
    <definedName name="SalesRoundBox126">'Бланк заказа'!$V$226:$V$226</definedName>
    <definedName name="SalesRoundBox127">'Бланк заказа'!$V$227:$V$227</definedName>
    <definedName name="SalesRoundBox128">'Бланк заказа'!$V$231:$V$231</definedName>
    <definedName name="SalesRoundBox129">'Бланк заказа'!$V$232:$V$232</definedName>
    <definedName name="SalesRoundBox13">'Бланк заказа'!$V$51:$V$51</definedName>
    <definedName name="SalesRoundBox130">'Бланк заказа'!$V$233:$V$233</definedName>
    <definedName name="SalesRoundBox131">'Бланк заказа'!$V$234:$V$234</definedName>
    <definedName name="SalesRoundBox132">'Бланк заказа'!$V$238:$V$238</definedName>
    <definedName name="SalesRoundBox133">'Бланк заказа'!$V$239:$V$239</definedName>
    <definedName name="SalesRoundBox134">'Бланк заказа'!$V$240:$V$240</definedName>
    <definedName name="SalesRoundBox135">'Бланк заказа'!$V$244:$V$244</definedName>
    <definedName name="SalesRoundBox136">'Бланк заказа'!$V$245:$V$245</definedName>
    <definedName name="SalesRoundBox137">'Бланк заказа'!$V$246:$V$246</definedName>
    <definedName name="SalesRoundBox138">'Бланк заказа'!$V$251:$V$251</definedName>
    <definedName name="SalesRoundBox139">'Бланк заказа'!$V$252:$V$252</definedName>
    <definedName name="SalesRoundBox14">'Бланк заказа'!$V$56:$V$56</definedName>
    <definedName name="SalesRoundBox140">'Бланк заказа'!$V$253:$V$253</definedName>
    <definedName name="SalesRoundBox141">'Бланк заказа'!$V$254:$V$254</definedName>
    <definedName name="SalesRoundBox142">'Бланк заказа'!$V$255:$V$255</definedName>
    <definedName name="SalesRoundBox143">'Бланк заказа'!$V$256:$V$256</definedName>
    <definedName name="SalesRoundBox144">'Бланк заказа'!$V$257:$V$257</definedName>
    <definedName name="SalesRoundBox145">'Бланк заказа'!$V$261:$V$261</definedName>
    <definedName name="SalesRoundBox146">'Бланк заказа'!$V$262:$V$262</definedName>
    <definedName name="SalesRoundBox147">'Бланк заказа'!$V$267:$V$267</definedName>
    <definedName name="SalesRoundBox148">'Бланк заказа'!$V$268:$V$268</definedName>
    <definedName name="SalesRoundBox149">'Бланк заказа'!$V$272:$V$272</definedName>
    <definedName name="SalesRoundBox15">'Бланк заказа'!$V$57:$V$57</definedName>
    <definedName name="SalesRoundBox150">'Бланк заказа'!$V$273:$V$273</definedName>
    <definedName name="SalesRoundBox151">'Бланк заказа'!$V$274:$V$274</definedName>
    <definedName name="SalesRoundBox152">'Бланк заказа'!$V$278:$V$278</definedName>
    <definedName name="SalesRoundBox153">'Бланк заказа'!$V$282:$V$282</definedName>
    <definedName name="SalesRoundBox154">'Бланк заказа'!$V$288:$V$288</definedName>
    <definedName name="SalesRoundBox155">'Бланк заказа'!$V$289:$V$289</definedName>
    <definedName name="SalesRoundBox156">'Бланк заказа'!$V$290:$V$290</definedName>
    <definedName name="SalesRoundBox157">'Бланк заказа'!$V$291:$V$291</definedName>
    <definedName name="SalesRoundBox158">'Бланк заказа'!$V$292:$V$292</definedName>
    <definedName name="SalesRoundBox159">'Бланк заказа'!$V$293:$V$293</definedName>
    <definedName name="SalesRoundBox16">'Бланк заказа'!$V$58:$V$58</definedName>
    <definedName name="SalesRoundBox160">'Бланк заказа'!$V$294:$V$294</definedName>
    <definedName name="SalesRoundBox161">'Бланк заказа'!$V$295:$V$295</definedName>
    <definedName name="SalesRoundBox162">'Бланк заказа'!$V$299:$V$299</definedName>
    <definedName name="SalesRoundBox163">'Бланк заказа'!$V$300:$V$300</definedName>
    <definedName name="SalesRoundBox164">'Бланк заказа'!$V$304:$V$304</definedName>
    <definedName name="SalesRoundBox165">'Бланк заказа'!$V$308:$V$308</definedName>
    <definedName name="SalesRoundBox166">'Бланк заказа'!$V$312:$V$312</definedName>
    <definedName name="SalesRoundBox167">'Бланк заказа'!$V$317:$V$317</definedName>
    <definedName name="SalesRoundBox168">'Бланк заказа'!$V$318:$V$318</definedName>
    <definedName name="SalesRoundBox169">'Бланк заказа'!$V$319:$V$319</definedName>
    <definedName name="SalesRoundBox17">'Бланк заказа'!$V$63:$V$63</definedName>
    <definedName name="SalesRoundBox170">'Бланк заказа'!$V$320:$V$320</definedName>
    <definedName name="SalesRoundBox171">'Бланк заказа'!$V$324:$V$324</definedName>
    <definedName name="SalesRoundBox172">'Бланк заказа'!$V$325:$V$325</definedName>
    <definedName name="SalesRoundBox173">'Бланк заказа'!$V$329:$V$329</definedName>
    <definedName name="SalesRoundBox174">'Бланк заказа'!$V$330:$V$330</definedName>
    <definedName name="SalesRoundBox175">'Бланк заказа'!$V$331:$V$331</definedName>
    <definedName name="SalesRoundBox176">'Бланк заказа'!$V$332:$V$332</definedName>
    <definedName name="SalesRoundBox177">'Бланк заказа'!$V$336:$V$336</definedName>
    <definedName name="SalesRoundBox178">'Бланк заказа'!$V$342:$V$342</definedName>
    <definedName name="SalesRoundBox179">'Бланк заказа'!$V$343:$V$343</definedName>
    <definedName name="SalesRoundBox18">'Бланк заказа'!$V$64:$V$64</definedName>
    <definedName name="SalesRoundBox180">'Бланк заказа'!$V$347:$V$347</definedName>
    <definedName name="SalesRoundBox181">'Бланк заказа'!$V$348:$V$348</definedName>
    <definedName name="SalesRoundBox182">'Бланк заказа'!$V$349:$V$349</definedName>
    <definedName name="SalesRoundBox183">'Бланк заказа'!$V$350:$V$350</definedName>
    <definedName name="SalesRoundBox184">'Бланк заказа'!$V$351:$V$351</definedName>
    <definedName name="SalesRoundBox185">'Бланк заказа'!$V$352:$V$352</definedName>
    <definedName name="SalesRoundBox186">'Бланк заказа'!$V$353:$V$353</definedName>
    <definedName name="SalesRoundBox187">'Бланк заказа'!$V$354:$V$354</definedName>
    <definedName name="SalesRoundBox188">'Бланк заказа'!$V$355:$V$355</definedName>
    <definedName name="SalesRoundBox189">'Бланк заказа'!$V$356:$V$356</definedName>
    <definedName name="SalesRoundBox19">'Бланк заказа'!$V$65:$V$65</definedName>
    <definedName name="SalesRoundBox190">'Бланк заказа'!$V$357:$V$357</definedName>
    <definedName name="SalesRoundBox191">'Бланк заказа'!$V$358:$V$358</definedName>
    <definedName name="SalesRoundBox192">'Бланк заказа'!$V$359:$V$359</definedName>
    <definedName name="SalesRoundBox193">'Бланк заказа'!$V$363:$V$363</definedName>
    <definedName name="SalesRoundBox194">'Бланк заказа'!$V$364:$V$364</definedName>
    <definedName name="SalesRoundBox195">'Бланк заказа'!$V$365:$V$365</definedName>
    <definedName name="SalesRoundBox196">'Бланк заказа'!$V$366:$V$366</definedName>
    <definedName name="SalesRoundBox197">'Бланк заказа'!$V$370:$V$370</definedName>
    <definedName name="SalesRoundBox198">'Бланк заказа'!$V$374:$V$374</definedName>
    <definedName name="SalesRoundBox199">'Бланк заказа'!$V$375:$V$375</definedName>
    <definedName name="SalesRoundBox2">'Бланк заказа'!$V$26:$V$26</definedName>
    <definedName name="SalesRoundBox20">'Бланк заказа'!$V$66:$V$66</definedName>
    <definedName name="SalesRoundBox200">'Бланк заказа'!$V$376:$V$376</definedName>
    <definedName name="SalesRoundBox201">'Бланк заказа'!$V$381:$V$381</definedName>
    <definedName name="SalesRoundBox202">'Бланк заказа'!$V$382:$V$382</definedName>
    <definedName name="SalesRoundBox203">'Бланк заказа'!$V$386:$V$386</definedName>
    <definedName name="SalesRoundBox204">'Бланк заказа'!$V$387:$V$387</definedName>
    <definedName name="SalesRoundBox205">'Бланк заказа'!$V$388:$V$388</definedName>
    <definedName name="SalesRoundBox206">'Бланк заказа'!$V$389:$V$389</definedName>
    <definedName name="SalesRoundBox207">'Бланк заказа'!$V$390:$V$390</definedName>
    <definedName name="SalesRoundBox208">'Бланк заказа'!$V$391:$V$391</definedName>
    <definedName name="SalesRoundBox209">'Бланк заказа'!$V$392:$V$392</definedName>
    <definedName name="SalesRoundBox21">'Бланк заказа'!$V$67:$V$67</definedName>
    <definedName name="SalesRoundBox210">'Бланк заказа'!$V$396:$V$396</definedName>
    <definedName name="SalesRoundBox211">'Бланк заказа'!$V$400:$V$400</definedName>
    <definedName name="SalesRoundBox212">'Бланк заказа'!$V$406:$V$406</definedName>
    <definedName name="SalesRoundBox213">'Бланк заказа'!$V$407:$V$407</definedName>
    <definedName name="SalesRoundBox214">'Бланк заказа'!$V$408:$V$408</definedName>
    <definedName name="SalesRoundBox215">'Бланк заказа'!$V$409:$V$409</definedName>
    <definedName name="SalesRoundBox216">'Бланк заказа'!$V$410:$V$410</definedName>
    <definedName name="SalesRoundBox217">'Бланк заказа'!$V$411:$V$411</definedName>
    <definedName name="SalesRoundBox218">'Бланк заказа'!$V$412:$V$412</definedName>
    <definedName name="SalesRoundBox219">'Бланк заказа'!$V$413:$V$413</definedName>
    <definedName name="SalesRoundBox22">'Бланк заказа'!$V$68:$V$68</definedName>
    <definedName name="SalesRoundBox220">'Бланк заказа'!$V$414:$V$414</definedName>
    <definedName name="SalesRoundBox221">'Бланк заказа'!$V$415:$V$415</definedName>
    <definedName name="SalesRoundBox222">'Бланк заказа'!$V$419:$V$419</definedName>
    <definedName name="SalesRoundBox223">'Бланк заказа'!$V$420:$V$420</definedName>
    <definedName name="SalesRoundBox224">'Бланк заказа'!$V$424:$V$424</definedName>
    <definedName name="SalesRoundBox225">'Бланк заказа'!$V$425:$V$425</definedName>
    <definedName name="SalesRoundBox226">'Бланк заказа'!$V$426:$V$426</definedName>
    <definedName name="SalesRoundBox227">'Бланк заказа'!$V$427:$V$427</definedName>
    <definedName name="SalesRoundBox228">'Бланк заказа'!$V$428:$V$428</definedName>
    <definedName name="SalesRoundBox229">'Бланк заказа'!$V$429:$V$429</definedName>
    <definedName name="SalesRoundBox23">'Бланк заказа'!$V$69:$V$69</definedName>
    <definedName name="SalesRoundBox230">'Бланк заказа'!$V$430:$V$430</definedName>
    <definedName name="SalesRoundBox231">'Бланк заказа'!$V$431:$V$431</definedName>
    <definedName name="SalesRoundBox232">'Бланк заказа'!$V$432:$V$432</definedName>
    <definedName name="SalesRoundBox233">'Бланк заказа'!$V$436:$V$436</definedName>
    <definedName name="SalesRoundBox234">'Бланк заказа'!$V$437:$V$437</definedName>
    <definedName name="SalesRoundBox235">'Бланк заказа'!$V$443:$V$443</definedName>
    <definedName name="SalesRoundBox236">'Бланк заказа'!$V$444:$V$444</definedName>
    <definedName name="SalesRoundBox237">'Бланк заказа'!$V$448:$V$448</definedName>
    <definedName name="SalesRoundBox238">'Бланк заказа'!$V$449:$V$449</definedName>
    <definedName name="SalesRoundBox239">'Бланк заказа'!$V$453:$V$453</definedName>
    <definedName name="SalesRoundBox24">'Бланк заказа'!$V$70:$V$70</definedName>
    <definedName name="SalesRoundBox240">'Бланк заказа'!$V$454:$V$454</definedName>
    <definedName name="SalesRoundBox241">'Бланк заказа'!$V$458:$V$458</definedName>
    <definedName name="SalesRoundBox242">'Бланк заказа'!$V$459:$V$459</definedName>
    <definedName name="SalesRoundBox243">'Бланк заказа'!$V$460:$V$460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заказа'!$V$117:$V$117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заказа'!$V$125:$V$125</definedName>
    <definedName name="SalesRoundBox64">'Бланк заказа'!$V$131:$V$131</definedName>
    <definedName name="SalesRoundBox65">'Бланк заказа'!$V$132:$V$132</definedName>
    <definedName name="SalesRoundBox66">'Бланк заказа'!$V$133:$V$133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заказа'!$V$150:$V$150</definedName>
    <definedName name="SalesRoundBox76">'Бланк заказа'!$V$151:$V$151</definedName>
    <definedName name="SalesRoundBox77">'Бланк заказа'!$V$155:$V$155</definedName>
    <definedName name="SalesRoundBox78">'Бланк заказа'!$V$156:$V$156</definedName>
    <definedName name="SalesRoundBox79">'Бланк заказа'!$V$160:$V$160</definedName>
    <definedName name="SalesRoundBox8">'Бланк заказа'!$V$35:$V$35</definedName>
    <definedName name="SalesRoundBox80">'Бланк заказа'!$V$161:$V$161</definedName>
    <definedName name="SalesRoundBox81">'Бланк заказа'!$V$162:$V$162</definedName>
    <definedName name="SalesRoundBox82">'Бланк заказа'!$V$163:$V$163</definedName>
    <definedName name="SalesRoundBox83">'Бланк заказа'!$V$167:$V$167</definedName>
    <definedName name="SalesRoundBox84">'Бланк заказа'!$V$168:$V$168</definedName>
    <definedName name="SalesRoundBox85">'Бланк заказа'!$V$169:$V$169</definedName>
    <definedName name="SalesRoundBox86">'Бланк заказа'!$V$170:$V$170</definedName>
    <definedName name="SalesRoundBox87">'Бланк заказа'!$V$171:$V$171</definedName>
    <definedName name="SalesRoundBox88">'Бланк заказа'!$V$172:$V$172</definedName>
    <definedName name="SalesRoundBox89">'Бланк заказа'!$V$173:$V$173</definedName>
    <definedName name="SalesRoundBox9">'Бланк заказа'!$V$36:$V$36</definedName>
    <definedName name="SalesRoundBox90">'Бланк заказа'!$V$174:$V$174</definedName>
    <definedName name="SalesRoundBox91">'Бланк заказа'!$V$175:$V$175</definedName>
    <definedName name="SalesRoundBox92">'Бланк заказа'!$V$176:$V$176</definedName>
    <definedName name="SalesRoundBox93">'Бланк заказа'!$V$177:$V$177</definedName>
    <definedName name="SalesRoundBox94">'Бланк заказа'!$V$178:$V$178</definedName>
    <definedName name="SalesRoundBox95">'Бланк заказа'!$V$179:$V$179</definedName>
    <definedName name="SalesRoundBox96">'Бланк заказа'!$V$180:$V$180</definedName>
    <definedName name="SalesRoundBox97">'Бланк заказа'!$V$181:$V$181</definedName>
    <definedName name="SalesRoundBox98">'Бланк заказа'!$V$182:$V$182</definedName>
    <definedName name="SalesRoundBox99">'Бланк заказа'!$V$183:$V$183</definedName>
    <definedName name="Table">Setting!$B$6:$D$14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заказа'!$T$187:$T$187</definedName>
    <definedName name="UnitOfMeasure101">'Бланк заказа'!$T$188:$T$188</definedName>
    <definedName name="UnitOfMeasure102">'Бланк заказа'!$T$193:$T$193</definedName>
    <definedName name="UnitOfMeasure103">'Бланк заказа'!$T$194:$T$194</definedName>
    <definedName name="UnitOfMeasure104">'Бланк заказа'!$T$195:$T$195</definedName>
    <definedName name="UnitOfMeasure105">'Бланк заказа'!$T$196:$T$196</definedName>
    <definedName name="UnitOfMeasure106">'Бланк заказа'!$T$197:$T$197</definedName>
    <definedName name="UnitOfMeasure107">'Бланк заказа'!$T$198:$T$198</definedName>
    <definedName name="UnitOfMeasure108">'Бланк заказа'!$T$199:$T$199</definedName>
    <definedName name="UnitOfMeasure109">'Бланк заказа'!$T$200:$T$200</definedName>
    <definedName name="UnitOfMeasure11">'Бланк заказа'!$T$44:$T$44</definedName>
    <definedName name="UnitOfMeasure110">'Бланк заказа'!$T$201:$T$201</definedName>
    <definedName name="UnitOfMeasure111">'Бланк заказа'!$T$202:$T$202</definedName>
    <definedName name="UnitOfMeasure112">'Бланк заказа'!$T$203:$T$203</definedName>
    <definedName name="UnitOfMeasure113">'Бланк заказа'!$T$204:$T$204</definedName>
    <definedName name="UnitOfMeasure114">'Бланк заказа'!$T$205:$T$205</definedName>
    <definedName name="UnitOfMeasure115">'Бланк заказа'!$T$206:$T$206</definedName>
    <definedName name="UnitOfMeasure116">'Бланк заказа'!$T$207:$T$207</definedName>
    <definedName name="UnitOfMeasure117">'Бланк заказа'!$T$211:$T$211</definedName>
    <definedName name="UnitOfMeasure118">'Бланк заказа'!$T$215:$T$215</definedName>
    <definedName name="UnitOfMeasure119">'Бланк заказа'!$T$216:$T$216</definedName>
    <definedName name="UnitOfMeasure12">'Бланк заказа'!$T$50:$T$50</definedName>
    <definedName name="UnitOfMeasure120">'Бланк заказа'!$T$217:$T$217</definedName>
    <definedName name="UnitOfMeasure121">'Бланк заказа'!$T$218:$T$218</definedName>
    <definedName name="UnitOfMeasure122">'Бланк заказа'!$T$222:$T$222</definedName>
    <definedName name="UnitOfMeasure123">'Бланк заказа'!$T$223:$T$223</definedName>
    <definedName name="UnitOfMeasure124">'Бланк заказа'!$T$224:$T$224</definedName>
    <definedName name="UnitOfMeasure125">'Бланк заказа'!$T$225:$T$225</definedName>
    <definedName name="UnitOfMeasure126">'Бланк заказа'!$T$226:$T$226</definedName>
    <definedName name="UnitOfMeasure127">'Бланк заказа'!$T$227:$T$227</definedName>
    <definedName name="UnitOfMeasure128">'Бланк заказа'!$T$231:$T$231</definedName>
    <definedName name="UnitOfMeasure129">'Бланк заказа'!$T$232:$T$232</definedName>
    <definedName name="UnitOfMeasure13">'Бланк заказа'!$T$51:$T$51</definedName>
    <definedName name="UnitOfMeasure130">'Бланк заказа'!$T$233:$T$233</definedName>
    <definedName name="UnitOfMeasure131">'Бланк заказа'!$T$234:$T$234</definedName>
    <definedName name="UnitOfMeasure132">'Бланк заказа'!$T$238:$T$238</definedName>
    <definedName name="UnitOfMeasure133">'Бланк заказа'!$T$239:$T$239</definedName>
    <definedName name="UnitOfMeasure134">'Бланк заказа'!$T$240:$T$240</definedName>
    <definedName name="UnitOfMeasure135">'Бланк заказа'!$T$244:$T$244</definedName>
    <definedName name="UnitOfMeasure136">'Бланк заказа'!$T$245:$T$245</definedName>
    <definedName name="UnitOfMeasure137">'Бланк заказа'!$T$246:$T$246</definedName>
    <definedName name="UnitOfMeasure138">'Бланк заказа'!$T$251:$T$251</definedName>
    <definedName name="UnitOfMeasure139">'Бланк заказа'!$T$252:$T$252</definedName>
    <definedName name="UnitOfMeasure14">'Бланк заказа'!$T$56:$T$56</definedName>
    <definedName name="UnitOfMeasure140">'Бланк заказа'!$T$253:$T$253</definedName>
    <definedName name="UnitOfMeasure141">'Бланк заказа'!$T$254:$T$254</definedName>
    <definedName name="UnitOfMeasure142">'Бланк заказа'!$T$255:$T$255</definedName>
    <definedName name="UnitOfMeasure143">'Бланк заказа'!$T$256:$T$256</definedName>
    <definedName name="UnitOfMeasure144">'Бланк заказа'!$T$257:$T$257</definedName>
    <definedName name="UnitOfMeasure145">'Бланк заказа'!$T$261:$T$261</definedName>
    <definedName name="UnitOfMeasure146">'Бланк заказа'!$T$262:$T$262</definedName>
    <definedName name="UnitOfMeasure147">'Бланк заказа'!$T$267:$T$267</definedName>
    <definedName name="UnitOfMeasure148">'Бланк заказа'!$T$268:$T$268</definedName>
    <definedName name="UnitOfMeasure149">'Бланк заказа'!$T$272:$T$272</definedName>
    <definedName name="UnitOfMeasure15">'Бланк заказа'!$T$57:$T$57</definedName>
    <definedName name="UnitOfMeasure150">'Бланк заказа'!$T$273:$T$273</definedName>
    <definedName name="UnitOfMeasure151">'Бланк заказа'!$T$274:$T$274</definedName>
    <definedName name="UnitOfMeasure152">'Бланк заказа'!$T$278:$T$278</definedName>
    <definedName name="UnitOfMeasure153">'Бланк заказа'!$T$282:$T$282</definedName>
    <definedName name="UnitOfMeasure154">'Бланк заказа'!$T$288:$T$288</definedName>
    <definedName name="UnitOfMeasure155">'Бланк заказа'!$T$289:$T$289</definedName>
    <definedName name="UnitOfMeasure156">'Бланк заказа'!$T$290:$T$290</definedName>
    <definedName name="UnitOfMeasure157">'Бланк заказа'!$T$291:$T$291</definedName>
    <definedName name="UnitOfMeasure158">'Бланк заказа'!$T$292:$T$292</definedName>
    <definedName name="UnitOfMeasure159">'Бланк заказа'!$T$293:$T$293</definedName>
    <definedName name="UnitOfMeasure16">'Бланк заказа'!$T$58:$T$58</definedName>
    <definedName name="UnitOfMeasure160">'Бланк заказа'!$T$294:$T$294</definedName>
    <definedName name="UnitOfMeasure161">'Бланк заказа'!$T$295:$T$295</definedName>
    <definedName name="UnitOfMeasure162">'Бланк заказа'!$T$299:$T$299</definedName>
    <definedName name="UnitOfMeasure163">'Бланк заказа'!$T$300:$T$300</definedName>
    <definedName name="UnitOfMeasure164">'Бланк заказа'!$T$304:$T$304</definedName>
    <definedName name="UnitOfMeasure165">'Бланк заказа'!$T$308:$T$308</definedName>
    <definedName name="UnitOfMeasure166">'Бланк заказа'!$T$312:$T$312</definedName>
    <definedName name="UnitOfMeasure167">'Бланк заказа'!$T$317:$T$317</definedName>
    <definedName name="UnitOfMeasure168">'Бланк заказа'!$T$318:$T$318</definedName>
    <definedName name="UnitOfMeasure169">'Бланк заказа'!$T$319:$T$319</definedName>
    <definedName name="UnitOfMeasure17">'Бланк заказа'!$T$63:$T$63</definedName>
    <definedName name="UnitOfMeasure170">'Бланк заказа'!$T$320:$T$320</definedName>
    <definedName name="UnitOfMeasure171">'Бланк заказа'!$T$324:$T$324</definedName>
    <definedName name="UnitOfMeasure172">'Бланк заказа'!$T$325:$T$325</definedName>
    <definedName name="UnitOfMeasure173">'Бланк заказа'!$T$329:$T$329</definedName>
    <definedName name="UnitOfMeasure174">'Бланк заказа'!$T$330:$T$330</definedName>
    <definedName name="UnitOfMeasure175">'Бланк заказа'!$T$331:$T$331</definedName>
    <definedName name="UnitOfMeasure176">'Бланк заказа'!$T$332:$T$332</definedName>
    <definedName name="UnitOfMeasure177">'Бланк заказа'!$T$336:$T$336</definedName>
    <definedName name="UnitOfMeasure178">'Бланк заказа'!$T$342:$T$342</definedName>
    <definedName name="UnitOfMeasure179">'Бланк заказа'!$T$343:$T$343</definedName>
    <definedName name="UnitOfMeasure18">'Бланк заказа'!$T$64:$T$64</definedName>
    <definedName name="UnitOfMeasure180">'Бланк заказа'!$T$347:$T$347</definedName>
    <definedName name="UnitOfMeasure181">'Бланк заказа'!$T$348:$T$348</definedName>
    <definedName name="UnitOfMeasure182">'Бланк заказа'!$T$349:$T$349</definedName>
    <definedName name="UnitOfMeasure183">'Бланк заказа'!$T$350:$T$350</definedName>
    <definedName name="UnitOfMeasure184">'Бланк заказа'!$T$351:$T$351</definedName>
    <definedName name="UnitOfMeasure185">'Бланк заказа'!$T$352:$T$352</definedName>
    <definedName name="UnitOfMeasure186">'Бланк заказа'!$T$353:$T$353</definedName>
    <definedName name="UnitOfMeasure187">'Бланк заказа'!$T$354:$T$354</definedName>
    <definedName name="UnitOfMeasure188">'Бланк заказа'!$T$355:$T$355</definedName>
    <definedName name="UnitOfMeasure189">'Бланк заказа'!$T$356:$T$356</definedName>
    <definedName name="UnitOfMeasure19">'Бланк заказа'!$T$65:$T$65</definedName>
    <definedName name="UnitOfMeasure190">'Бланк заказа'!$T$357:$T$357</definedName>
    <definedName name="UnitOfMeasure191">'Бланк заказа'!$T$358:$T$358</definedName>
    <definedName name="UnitOfMeasure192">'Бланк заказа'!$T$359:$T$359</definedName>
    <definedName name="UnitOfMeasure193">'Бланк заказа'!$T$363:$T$363</definedName>
    <definedName name="UnitOfMeasure194">'Бланк заказа'!$T$364:$T$364</definedName>
    <definedName name="UnitOfMeasure195">'Бланк заказа'!$T$365:$T$365</definedName>
    <definedName name="UnitOfMeasure196">'Бланк заказа'!$T$366:$T$366</definedName>
    <definedName name="UnitOfMeasure197">'Бланк заказа'!$T$370:$T$370</definedName>
    <definedName name="UnitOfMeasure198">'Бланк заказа'!$T$374:$T$374</definedName>
    <definedName name="UnitOfMeasure199">'Бланк заказа'!$T$375:$T$375</definedName>
    <definedName name="UnitOfMeasure2">'Бланк заказа'!$T$26:$T$26</definedName>
    <definedName name="UnitOfMeasure20">'Бланк заказа'!$T$66:$T$66</definedName>
    <definedName name="UnitOfMeasure200">'Бланк заказа'!$T$376:$T$376</definedName>
    <definedName name="UnitOfMeasure201">'Бланк заказа'!$T$381:$T$381</definedName>
    <definedName name="UnitOfMeasure202">'Бланк заказа'!$T$382:$T$382</definedName>
    <definedName name="UnitOfMeasure203">'Бланк заказа'!$T$386:$T$386</definedName>
    <definedName name="UnitOfMeasure204">'Бланк заказа'!$T$387:$T$387</definedName>
    <definedName name="UnitOfMeasure205">'Бланк заказа'!$T$388:$T$388</definedName>
    <definedName name="UnitOfMeasure206">'Бланк заказа'!$T$389:$T$389</definedName>
    <definedName name="UnitOfMeasure207">'Бланк заказа'!$T$390:$T$390</definedName>
    <definedName name="UnitOfMeasure208">'Бланк заказа'!$T$391:$T$391</definedName>
    <definedName name="UnitOfMeasure209">'Бланк заказа'!$T$392:$T$392</definedName>
    <definedName name="UnitOfMeasure21">'Бланк заказа'!$T$67:$T$67</definedName>
    <definedName name="UnitOfMeasure210">'Бланк заказа'!$T$396:$T$396</definedName>
    <definedName name="UnitOfMeasure211">'Бланк заказа'!$T$400:$T$400</definedName>
    <definedName name="UnitOfMeasure212">'Бланк заказа'!$T$406:$T$406</definedName>
    <definedName name="UnitOfMeasure213">'Бланк заказа'!$T$407:$T$407</definedName>
    <definedName name="UnitOfMeasure214">'Бланк заказа'!$T$408:$T$408</definedName>
    <definedName name="UnitOfMeasure215">'Бланк заказа'!$T$409:$T$409</definedName>
    <definedName name="UnitOfMeasure216">'Бланк заказа'!$T$410:$T$410</definedName>
    <definedName name="UnitOfMeasure217">'Бланк заказа'!$T$411:$T$411</definedName>
    <definedName name="UnitOfMeasure218">'Бланк заказа'!$T$412:$T$412</definedName>
    <definedName name="UnitOfMeasure219">'Бланк заказа'!$T$413:$T$413</definedName>
    <definedName name="UnitOfMeasure22">'Бланк заказа'!$T$68:$T$68</definedName>
    <definedName name="UnitOfMeasure220">'Бланк заказа'!$T$414:$T$414</definedName>
    <definedName name="UnitOfMeasure221">'Бланк заказа'!$T$415:$T$415</definedName>
    <definedName name="UnitOfMeasure222">'Бланк заказа'!$T$419:$T$419</definedName>
    <definedName name="UnitOfMeasure223">'Бланк заказа'!$T$420:$T$420</definedName>
    <definedName name="UnitOfMeasure224">'Бланк заказа'!$T$424:$T$424</definedName>
    <definedName name="UnitOfMeasure225">'Бланк заказа'!$T$425:$T$425</definedName>
    <definedName name="UnitOfMeasure226">'Бланк заказа'!$T$426:$T$426</definedName>
    <definedName name="UnitOfMeasure227">'Бланк заказа'!$T$427:$T$427</definedName>
    <definedName name="UnitOfMeasure228">'Бланк заказа'!$T$428:$T$428</definedName>
    <definedName name="UnitOfMeasure229">'Бланк заказа'!$T$429:$T$429</definedName>
    <definedName name="UnitOfMeasure23">'Бланк заказа'!$T$69:$T$69</definedName>
    <definedName name="UnitOfMeasure230">'Бланк заказа'!$T$430:$T$430</definedName>
    <definedName name="UnitOfMeasure231">'Бланк заказа'!$T$431:$T$431</definedName>
    <definedName name="UnitOfMeasure232">'Бланк заказа'!$T$432:$T$432</definedName>
    <definedName name="UnitOfMeasure233">'Бланк заказа'!$T$436:$T$436</definedName>
    <definedName name="UnitOfMeasure234">'Бланк заказа'!$T$437:$T$437</definedName>
    <definedName name="UnitOfMeasure235">'Бланк заказа'!$T$443:$T$443</definedName>
    <definedName name="UnitOfMeasure236">'Бланк заказа'!$T$444:$T$444</definedName>
    <definedName name="UnitOfMeasure237">'Бланк заказа'!$T$448:$T$448</definedName>
    <definedName name="UnitOfMeasure238">'Бланк заказа'!$T$449:$T$449</definedName>
    <definedName name="UnitOfMeasure239">'Бланк заказа'!$T$453:$T$453</definedName>
    <definedName name="UnitOfMeasure24">'Бланк заказа'!$T$70:$T$70</definedName>
    <definedName name="UnitOfMeasure240">'Бланк заказа'!$T$454:$T$454</definedName>
    <definedName name="UnitOfMeasure241">'Бланк заказа'!$T$458:$T$458</definedName>
    <definedName name="UnitOfMeasure242">'Бланк заказа'!$T$459:$T$459</definedName>
    <definedName name="UnitOfMeasure243">'Бланк заказа'!$T$460:$T$460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заказа'!$T$117:$T$117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заказа'!$T$125:$T$125</definedName>
    <definedName name="UnitOfMeasure64">'Бланк заказа'!$T$131:$T$131</definedName>
    <definedName name="UnitOfMeasure65">'Бланк заказа'!$T$132:$T$132</definedName>
    <definedName name="UnitOfMeasure66">'Бланк заказа'!$T$133:$T$133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заказа'!$T$150:$T$150</definedName>
    <definedName name="UnitOfMeasure76">'Бланк заказа'!$T$151:$T$151</definedName>
    <definedName name="UnitOfMeasure77">'Бланк заказа'!$T$155:$T$155</definedName>
    <definedName name="UnitOfMeasure78">'Бланк заказа'!$T$156:$T$156</definedName>
    <definedName name="UnitOfMeasure79">'Бланк заказа'!$T$160:$T$160</definedName>
    <definedName name="UnitOfMeasure8">'Бланк заказа'!$T$35:$T$35</definedName>
    <definedName name="UnitOfMeasure80">'Бланк заказа'!$T$161:$T$161</definedName>
    <definedName name="UnitOfMeasure81">'Бланк заказа'!$T$162:$T$162</definedName>
    <definedName name="UnitOfMeasure82">'Бланк заказа'!$T$163:$T$163</definedName>
    <definedName name="UnitOfMeasure83">'Бланк заказа'!$T$167:$T$167</definedName>
    <definedName name="UnitOfMeasure84">'Бланк заказа'!$T$168:$T$168</definedName>
    <definedName name="UnitOfMeasure85">'Бланк заказа'!$T$169:$T$169</definedName>
    <definedName name="UnitOfMeasure86">'Бланк заказа'!$T$170:$T$170</definedName>
    <definedName name="UnitOfMeasure87">'Бланк заказа'!$T$171:$T$171</definedName>
    <definedName name="UnitOfMeasure88">'Бланк заказа'!$T$172:$T$172</definedName>
    <definedName name="UnitOfMeasure89">'Бланк заказа'!$T$173:$T$173</definedName>
    <definedName name="UnitOfMeasure9">'Бланк заказа'!$T$36:$T$36</definedName>
    <definedName name="UnitOfMeasure90">'Бланк заказа'!$T$174:$T$174</definedName>
    <definedName name="UnitOfMeasure91">'Бланк заказа'!$T$175:$T$175</definedName>
    <definedName name="UnitOfMeasure92">'Бланк заказа'!$T$176:$T$176</definedName>
    <definedName name="UnitOfMeasure93">'Бланк заказа'!$T$177:$T$177</definedName>
    <definedName name="UnitOfMeasure94">'Бланк заказа'!$T$178:$T$178</definedName>
    <definedName name="UnitOfMeasure95">'Бланк заказа'!$T$179:$T$179</definedName>
    <definedName name="UnitOfMeasure96">'Бланк заказа'!$T$180:$T$180</definedName>
    <definedName name="UnitOfMeasure97">'Бланк заказа'!$T$181:$T$181</definedName>
    <definedName name="UnitOfMeasure98">'Бланк заказа'!$T$182:$T$182</definedName>
    <definedName name="UnitOfMeasure99">'Бланк заказа'!$T$183:$T$183</definedName>
    <definedName name="UnloadAddress">'Бланк заказа'!$D$8</definedName>
    <definedName name="UnloadAdressList0001">Setting!$B$16:$B$16</definedName>
    <definedName name="UnloadAdressList0002">Setting!$B$18:$B$18</definedName>
    <definedName name="UnloadAdressList0003">Setting!$B$20:$B$20</definedName>
    <definedName name="UnloadAdressList0004">Setting!$B$22:$B$22</definedName>
    <definedName name="UnloadAdressList0005">Setting!$B$24:$B$24</definedName>
    <definedName name="UnloadAdressList0006">Setting!$B$26:$B$26</definedName>
    <definedName name="UnloadAdressList0007">Setting!$B$28:$B$28</definedName>
    <definedName name="UnloadAdressList0008">Setting!$B$30:$B$30</definedName>
    <definedName name="UnloadAdressList0009">Setting!$B$32:$B$32</definedName>
    <definedName name="_xlnm._FilterDatabase" localSheetId="0" hidden="1">'Бланк заказа'!$B$18:$W$468</definedName>
  </definedNames>
  <calcPr calcId="181029" fullCalcOnLoad="1" refMode="R1C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47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30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applyProtection="1" pivotButton="0" quotePrefix="0" xfId="0">
      <protection locked="1" hidden="1"/>
    </xf>
    <xf numFmtId="0" fontId="64" fillId="0" borderId="0" applyProtection="1" pivotButton="0" quotePrefix="0" xfId="0">
      <protection locked="1" hidden="1"/>
    </xf>
    <xf numFmtId="0" fontId="66" fillId="0" borderId="0" applyProtection="1" pivotButton="0" quotePrefix="0" xfId="0">
      <protection locked="1" hidden="1"/>
    </xf>
    <xf numFmtId="0" fontId="68" fillId="0" borderId="0" applyProtection="1" pivotButton="0" quotePrefix="0" xfId="0">
      <protection locked="1" hidden="1"/>
    </xf>
    <xf numFmtId="0" fontId="70" fillId="0" borderId="0" applyProtection="1" pivotButton="0" quotePrefix="0" xfId="0">
      <protection locked="1" hidden="1"/>
    </xf>
    <xf numFmtId="0" fontId="72" fillId="0" borderId="0" applyProtection="1" pivotButton="0" quotePrefix="0" xfId="0">
      <protection locked="1" hidden="1"/>
    </xf>
    <xf numFmtId="0" fontId="74" fillId="0" borderId="0" applyProtection="1" pivotButton="0" quotePrefix="0" xfId="0">
      <protection locked="1" hidden="1"/>
    </xf>
    <xf numFmtId="0" fontId="76" fillId="0" borderId="0" applyProtection="1" pivotButton="0" quotePrefix="0" xfId="0">
      <protection locked="1" hidden="1"/>
    </xf>
    <xf numFmtId="0" fontId="78" fillId="0" borderId="0" applyProtection="1" pivotButton="0" quotePrefix="0" xfId="0">
      <protection locked="1" hidden="1"/>
    </xf>
    <xf numFmtId="0" fontId="80" fillId="0" borderId="0" applyProtection="1" pivotButton="0" quotePrefix="0" xfId="0">
      <protection locked="1" hidden="1"/>
    </xf>
    <xf numFmtId="0" fontId="82" fillId="0" borderId="0" applyProtection="1" pivotButton="0" quotePrefix="0" xfId="0">
      <protection locked="1" hidden="1"/>
    </xf>
    <xf numFmtId="0" fontId="84" fillId="0" borderId="0" applyProtection="1" pivotButton="0" quotePrefix="0" xfId="0">
      <protection locked="1" hidden="1"/>
    </xf>
    <xf numFmtId="0" fontId="86" fillId="0" borderId="0" applyProtection="1" pivotButton="0" quotePrefix="0" xfId="0">
      <protection locked="1" hidden="1"/>
    </xf>
    <xf numFmtId="0" fontId="88" fillId="0" borderId="0" applyProtection="1" pivotButton="0" quotePrefix="0" xfId="0">
      <protection locked="1" hidden="1"/>
    </xf>
    <xf numFmtId="0" fontId="90" fillId="0" borderId="0" applyProtection="1" pivotButton="0" quotePrefix="0" xfId="0">
      <protection locked="1" hidden="1"/>
    </xf>
    <xf numFmtId="0" fontId="92" fillId="0" borderId="0" applyProtection="1" pivotButton="0" quotePrefix="0" xfId="0">
      <protection locked="1" hidden="1"/>
    </xf>
    <xf numFmtId="0" fontId="94" fillId="0" borderId="0" applyProtection="1" pivotButton="0" quotePrefix="0" xfId="0">
      <protection locked="1" hidden="1"/>
    </xf>
    <xf numFmtId="0" fontId="96" fillId="0" borderId="0" applyProtection="1" pivotButton="0" quotePrefix="0" xfId="0">
      <protection locked="1" hidden="1"/>
    </xf>
    <xf numFmtId="0" fontId="98" fillId="0" borderId="0" applyProtection="1" pivotButton="0" quotePrefix="0" xfId="0">
      <protection locked="1" hidden="1"/>
    </xf>
    <xf numFmtId="0" fontId="100" fillId="0" borderId="0" applyProtection="1" pivotButton="0" quotePrefix="0" xfId="0">
      <protection locked="1" hidden="1"/>
    </xf>
    <xf numFmtId="0" fontId="102" fillId="0" borderId="0" applyProtection="1" pivotButton="0" quotePrefix="0" xfId="0">
      <protection locked="1" hidden="1"/>
    </xf>
    <xf numFmtId="0" fontId="104" fillId="0" borderId="0" applyProtection="1" pivotButton="0" quotePrefix="0" xfId="0">
      <protection locked="1" hidden="1"/>
    </xf>
    <xf numFmtId="0" fontId="106" fillId="0" borderId="0" applyProtection="1" pivotButton="0" quotePrefix="0" xfId="0">
      <protection locked="1" hidden="1"/>
    </xf>
    <xf numFmtId="0" fontId="108" fillId="0" borderId="0" applyProtection="1" pivotButton="0" quotePrefix="0" xfId="0">
      <protection locked="1" hidden="1"/>
    </xf>
    <xf numFmtId="0" fontId="110" fillId="0" borderId="0" applyProtection="1" pivotButton="0" quotePrefix="0" xfId="0">
      <protection locked="1" hidden="1"/>
    </xf>
    <xf numFmtId="0" fontId="112" fillId="0" borderId="0" applyProtection="1" pivotButton="0" quotePrefix="0" xfId="0">
      <protection locked="1" hidden="1"/>
    </xf>
    <xf numFmtId="0" fontId="114" fillId="0" borderId="0" applyProtection="1" pivotButton="0" quotePrefix="0" xfId="0">
      <protection locked="1" hidden="1"/>
    </xf>
    <xf numFmtId="0" fontId="116" fillId="0" borderId="0" applyProtection="1" pivotButton="0" quotePrefix="0" xfId="0">
      <protection locked="1" hidden="1"/>
    </xf>
    <xf numFmtId="0" fontId="118" fillId="0" borderId="0" applyProtection="1" pivotButton="0" quotePrefix="0" xfId="0">
      <protection locked="1" hidden="1"/>
    </xf>
    <xf numFmtId="0" fontId="120" fillId="0" borderId="0" applyProtection="1" pivotButton="0" quotePrefix="0" xfId="0">
      <protection locked="1" hidden="1"/>
    </xf>
    <xf numFmtId="0" fontId="122" fillId="0" borderId="0" applyProtection="1" pivotButton="0" quotePrefix="0" xfId="0">
      <protection locked="1" hidden="1"/>
    </xf>
    <xf numFmtId="0" fontId="124" fillId="0" borderId="0" applyProtection="1" pivotButton="0" quotePrefix="0" xfId="0">
      <protection locked="1" hidden="1"/>
    </xf>
    <xf numFmtId="0" fontId="126" fillId="0" borderId="0" applyProtection="1" pivotButton="0" quotePrefix="0" xfId="0">
      <protection locked="1" hidden="1"/>
    </xf>
    <xf numFmtId="0" fontId="128" fillId="0" borderId="0" applyProtection="1" pivotButton="0" quotePrefix="0" xfId="0">
      <protection locked="1" hidden="1"/>
    </xf>
    <xf numFmtId="0" fontId="130" fillId="0" borderId="0" applyProtection="1" pivotButton="0" quotePrefix="0" xfId="0">
      <protection locked="1" hidden="1"/>
    </xf>
    <xf numFmtId="0" fontId="132" fillId="0" borderId="0" applyProtection="1" pivotButton="0" quotePrefix="0" xfId="0">
      <protection locked="1" hidden="1"/>
    </xf>
    <xf numFmtId="0" fontId="134" fillId="0" borderId="0" applyProtection="1" pivotButton="0" quotePrefix="0" xfId="0">
      <protection locked="1" hidden="1"/>
    </xf>
    <xf numFmtId="0" fontId="136" fillId="0" borderId="0" applyProtection="1" pivotButton="0" quotePrefix="0" xfId="0">
      <protection locked="1" hidden="1"/>
    </xf>
    <xf numFmtId="0" fontId="138" fillId="0" borderId="0" applyProtection="1" pivotButton="0" quotePrefix="0" xfId="0">
      <protection locked="1" hidden="1"/>
    </xf>
    <xf numFmtId="0" fontId="140" fillId="0" borderId="0" applyProtection="1" pivotButton="0" quotePrefix="0" xfId="0">
      <protection locked="1" hidden="1"/>
    </xf>
    <xf numFmtId="0" fontId="142" fillId="0" borderId="0" applyProtection="1" pivotButton="0" quotePrefix="0" xfId="0">
      <protection locked="1" hidden="1"/>
    </xf>
    <xf numFmtId="0" fontId="144" fillId="0" borderId="0" applyProtection="1" pivotButton="0" quotePrefix="0" xfId="0">
      <protection locked="1" hidden="1"/>
    </xf>
    <xf numFmtId="0" fontId="146" fillId="0" borderId="0" applyProtection="1" pivotButton="0" quotePrefix="0" xfId="0">
      <protection locked="1" hidden="1"/>
    </xf>
    <xf numFmtId="0" fontId="148" fillId="0" borderId="0" applyProtection="1" pivotButton="0" quotePrefix="0" xfId="0">
      <protection locked="1" hidden="1"/>
    </xf>
    <xf numFmtId="0" fontId="150" fillId="0" borderId="0" applyProtection="1" pivotButton="0" quotePrefix="0" xfId="0">
      <protection locked="1" hidden="1"/>
    </xf>
    <xf numFmtId="0" fontId="152" fillId="0" borderId="0" applyProtection="1" pivotButton="0" quotePrefix="0" xfId="0">
      <protection locked="1" hidden="1"/>
    </xf>
    <xf numFmtId="0" fontId="154" fillId="0" borderId="0" applyProtection="1" pivotButton="0" quotePrefix="0" xfId="0">
      <protection locked="1" hidden="1"/>
    </xf>
    <xf numFmtId="0" fontId="156" fillId="0" borderId="0" applyProtection="1" pivotButton="0" quotePrefix="0" xfId="0">
      <protection locked="1" hidden="1"/>
    </xf>
    <xf numFmtId="0" fontId="158" fillId="0" borderId="0" applyProtection="1" pivotButton="0" quotePrefix="0" xfId="0">
      <protection locked="1" hidden="1"/>
    </xf>
    <xf numFmtId="0" fontId="160" fillId="0" borderId="0" applyProtection="1" pivotButton="0" quotePrefix="0" xfId="0">
      <protection locked="1" hidden="1"/>
    </xf>
    <xf numFmtId="0" fontId="162" fillId="0" borderId="0" applyProtection="1" pivotButton="0" quotePrefix="0" xfId="0">
      <protection locked="1" hidden="1"/>
    </xf>
    <xf numFmtId="0" fontId="164" fillId="0" borderId="0" applyProtection="1" pivotButton="0" quotePrefix="0" xfId="0">
      <protection locked="1" hidden="1"/>
    </xf>
    <xf numFmtId="0" fontId="166" fillId="0" borderId="0" applyProtection="1" pivotButton="0" quotePrefix="0" xfId="0">
      <protection locked="1" hidden="1"/>
    </xf>
    <xf numFmtId="0" fontId="168" fillId="0" borderId="0" applyProtection="1" pivotButton="0" quotePrefix="0" xfId="0">
      <protection locked="1" hidden="1"/>
    </xf>
    <xf numFmtId="0" fontId="170" fillId="0" borderId="0" applyProtection="1" pivotButton="0" quotePrefix="0" xfId="0">
      <protection locked="1" hidden="1"/>
    </xf>
    <xf numFmtId="0" fontId="172" fillId="0" borderId="0" applyProtection="1" pivotButton="0" quotePrefix="0" xfId="0">
      <protection locked="1" hidden="1"/>
    </xf>
    <xf numFmtId="0" fontId="174" fillId="0" borderId="0" applyProtection="1" pivotButton="0" quotePrefix="0" xfId="0">
      <protection locked="1" hidden="1"/>
    </xf>
    <xf numFmtId="0" fontId="176" fillId="0" borderId="0" applyProtection="1" pivotButton="0" quotePrefix="0" xfId="0">
      <protection locked="1" hidden="1"/>
    </xf>
    <xf numFmtId="0" fontId="178" fillId="0" borderId="0" applyProtection="1" pivotButton="0" quotePrefix="0" xfId="0">
      <protection locked="1" hidden="1"/>
    </xf>
    <xf numFmtId="0" fontId="180" fillId="0" borderId="0" applyProtection="1" pivotButton="0" quotePrefix="0" xfId="0">
      <protection locked="1" hidden="1"/>
    </xf>
    <xf numFmtId="0" fontId="182" fillId="0" borderId="0" applyProtection="1" pivotButton="0" quotePrefix="0" xfId="0">
      <protection locked="1" hidden="1"/>
    </xf>
    <xf numFmtId="0" fontId="184" fillId="0" borderId="0" applyProtection="1" pivotButton="0" quotePrefix="0" xfId="0">
      <protection locked="1" hidden="1"/>
    </xf>
    <xf numFmtId="0" fontId="186" fillId="0" borderId="0" applyProtection="1" pivotButton="0" quotePrefix="0" xfId="0">
      <protection locked="1" hidden="1"/>
    </xf>
    <xf numFmtId="0" fontId="188" fillId="0" borderId="0" applyProtection="1" pivotButton="0" quotePrefix="0" xfId="0">
      <protection locked="1" hidden="1"/>
    </xf>
    <xf numFmtId="0" fontId="190" fillId="0" borderId="0" applyProtection="1" pivotButton="0" quotePrefix="0" xfId="0">
      <protection locked="1" hidden="1"/>
    </xf>
    <xf numFmtId="0" fontId="192" fillId="0" borderId="0" applyProtection="1" pivotButton="0" quotePrefix="0" xfId="0">
      <protection locked="1" hidden="1"/>
    </xf>
    <xf numFmtId="0" fontId="194" fillId="0" borderId="0" applyProtection="1" pivotButton="0" quotePrefix="0" xfId="0">
      <protection locked="1" hidden="1"/>
    </xf>
    <xf numFmtId="0" fontId="196" fillId="0" borderId="0" applyProtection="1" pivotButton="0" quotePrefix="0" xfId="0">
      <protection locked="1" hidden="1"/>
    </xf>
    <xf numFmtId="0" fontId="198" fillId="0" borderId="0" applyProtection="1" pivotButton="0" quotePrefix="0" xfId="0">
      <protection locked="1" hidden="1"/>
    </xf>
    <xf numFmtId="0" fontId="200" fillId="0" borderId="0" applyProtection="1" pivotButton="0" quotePrefix="0" xfId="0">
      <protection locked="1" hidden="1"/>
    </xf>
    <xf numFmtId="0" fontId="202" fillId="0" borderId="0" applyProtection="1" pivotButton="0" quotePrefix="0" xfId="0">
      <protection locked="1" hidden="1"/>
    </xf>
    <xf numFmtId="0" fontId="204" fillId="0" borderId="0" applyProtection="1" pivotButton="0" quotePrefix="0" xfId="0">
      <protection locked="1" hidden="1"/>
    </xf>
    <xf numFmtId="0" fontId="206" fillId="0" borderId="0" applyProtection="1" pivotButton="0" quotePrefix="0" xfId="0">
      <protection locked="1" hidden="1"/>
    </xf>
    <xf numFmtId="0" fontId="208" fillId="0" borderId="0" applyProtection="1" pivotButton="0" quotePrefix="0" xfId="0">
      <protection locked="1" hidden="1"/>
    </xf>
    <xf numFmtId="0" fontId="210" fillId="0" borderId="0" applyProtection="1" pivotButton="0" quotePrefix="0" xfId="0">
      <protection locked="1" hidden="1"/>
    </xf>
    <xf numFmtId="0" fontId="212" fillId="0" borderId="0" applyProtection="1" pivotButton="0" quotePrefix="0" xfId="0">
      <protection locked="1" hidden="1"/>
    </xf>
    <xf numFmtId="0" fontId="214" fillId="0" borderId="0" applyProtection="1" pivotButton="0" quotePrefix="0" xfId="0">
      <protection locked="1" hidden="1"/>
    </xf>
    <xf numFmtId="0" fontId="216" fillId="0" borderId="0" applyProtection="1" pivotButton="0" quotePrefix="0" xfId="0">
      <protection locked="1" hidden="1"/>
    </xf>
    <xf numFmtId="0" fontId="218" fillId="0" borderId="0" applyProtection="1" pivotButton="0" quotePrefix="0" xfId="0">
      <protection locked="1" hidden="1"/>
    </xf>
    <xf numFmtId="0" fontId="220" fillId="0" borderId="0" applyProtection="1" pivotButton="0" quotePrefix="0" xfId="0">
      <protection locked="1" hidden="1"/>
    </xf>
    <xf numFmtId="0" fontId="222" fillId="0" borderId="0" applyProtection="1" pivotButton="0" quotePrefix="0" xfId="0">
      <protection locked="1" hidden="1"/>
    </xf>
    <xf numFmtId="0" fontId="224" fillId="0" borderId="0" applyProtection="1" pivotButton="0" quotePrefix="0" xfId="0">
      <protection locked="1" hidden="1"/>
    </xf>
    <xf numFmtId="0" fontId="226" fillId="0" borderId="0" applyProtection="1" pivotButton="0" quotePrefix="0" xfId="0">
      <protection locked="1" hidden="1"/>
    </xf>
    <xf numFmtId="0" fontId="228" fillId="0" borderId="0" applyProtection="1" pivotButton="0" quotePrefix="0" xfId="0">
      <protection locked="1" hidden="1"/>
    </xf>
    <xf numFmtId="0" fontId="230" fillId="0" borderId="0" applyProtection="1" pivotButton="0" quotePrefix="0" xfId="0">
      <protection locked="1" hidden="1"/>
    </xf>
    <xf numFmtId="0" fontId="232" fillId="0" borderId="0" applyProtection="1" pivotButton="0" quotePrefix="0" xfId="0">
      <protection locked="1" hidden="1"/>
    </xf>
    <xf numFmtId="0" fontId="234" fillId="0" borderId="0" applyProtection="1" pivotButton="0" quotePrefix="0" xfId="0">
      <protection locked="1" hidden="1"/>
    </xf>
    <xf numFmtId="0" fontId="236" fillId="0" borderId="0" applyProtection="1" pivotButton="0" quotePrefix="0" xfId="0">
      <protection locked="1" hidden="1"/>
    </xf>
    <xf numFmtId="0" fontId="238" fillId="0" borderId="0" applyProtection="1" pivotButton="0" quotePrefix="0" xfId="0">
      <protection locked="1" hidden="1"/>
    </xf>
    <xf numFmtId="0" fontId="240" fillId="0" borderId="0" applyProtection="1" pivotButton="0" quotePrefix="0" xfId="0">
      <protection locked="1" hidden="1"/>
    </xf>
    <xf numFmtId="0" fontId="242" fillId="0" borderId="0" applyProtection="1" pivotButton="0" quotePrefix="0" xfId="0">
      <protection locked="1" hidden="1"/>
    </xf>
    <xf numFmtId="0" fontId="244" fillId="0" borderId="0" applyProtection="1" pivotButton="0" quotePrefix="0" xfId="0">
      <protection locked="1" hidden="1"/>
    </xf>
    <xf numFmtId="0" fontId="246" fillId="0" borderId="0" applyProtection="1" pivotButton="0" quotePrefix="0" xfId="0">
      <protection locked="1" hidden="1"/>
    </xf>
    <xf numFmtId="0" fontId="248" fillId="0" borderId="0" applyProtection="1" pivotButton="0" quotePrefix="0" xfId="0">
      <protection locked="1" hidden="1"/>
    </xf>
    <xf numFmtId="0" fontId="250" fillId="0" borderId="0" applyProtection="1" pivotButton="0" quotePrefix="0" xfId="0">
      <protection locked="1" hidden="1"/>
    </xf>
    <xf numFmtId="0" fontId="252" fillId="0" borderId="0" applyProtection="1" pivotButton="0" quotePrefix="0" xfId="0">
      <protection locked="1" hidden="1"/>
    </xf>
    <xf numFmtId="0" fontId="254" fillId="0" borderId="0" applyProtection="1" pivotButton="0" quotePrefix="0" xfId="0">
      <protection locked="1" hidden="1"/>
    </xf>
    <xf numFmtId="0" fontId="256" fillId="0" borderId="0" applyProtection="1" pivotButton="0" quotePrefix="0" xfId="0">
      <protection locked="1" hidden="1"/>
    </xf>
    <xf numFmtId="0" fontId="258" fillId="0" borderId="0" applyProtection="1" pivotButton="0" quotePrefix="0" xfId="0">
      <protection locked="1" hidden="1"/>
    </xf>
    <xf numFmtId="0" fontId="260" fillId="0" borderId="0" applyProtection="1" pivotButton="0" quotePrefix="0" xfId="0">
      <protection locked="1" hidden="1"/>
    </xf>
    <xf numFmtId="0" fontId="262" fillId="0" borderId="0" applyProtection="1" pivotButton="0" quotePrefix="0" xfId="0">
      <protection locked="1" hidden="1"/>
    </xf>
    <xf numFmtId="0" fontId="264" fillId="0" borderId="0" applyProtection="1" pivotButton="0" quotePrefix="0" xfId="0">
      <protection locked="1" hidden="1"/>
    </xf>
    <xf numFmtId="0" fontId="266" fillId="0" borderId="0" applyProtection="1" pivotButton="0" quotePrefix="0" xfId="0">
      <protection locked="1" hidden="1"/>
    </xf>
    <xf numFmtId="0" fontId="268" fillId="0" borderId="0" applyProtection="1" pivotButton="0" quotePrefix="0" xfId="0">
      <protection locked="1" hidden="1"/>
    </xf>
    <xf numFmtId="0" fontId="270" fillId="0" borderId="0" applyProtection="1" pivotButton="0" quotePrefix="0" xfId="0">
      <protection locked="1" hidden="1"/>
    </xf>
    <xf numFmtId="0" fontId="272" fillId="0" borderId="0" applyProtection="1" pivotButton="0" quotePrefix="0" xfId="0">
      <protection locked="1" hidden="1"/>
    </xf>
    <xf numFmtId="0" fontId="274" fillId="0" borderId="0" applyProtection="1" pivotButton="0" quotePrefix="0" xfId="0">
      <protection locked="1" hidden="1"/>
    </xf>
    <xf numFmtId="0" fontId="276" fillId="0" borderId="0" applyProtection="1" pivotButton="0" quotePrefix="0" xfId="0">
      <protection locked="1" hidden="1"/>
    </xf>
    <xf numFmtId="0" fontId="278" fillId="0" borderId="0" applyProtection="1" pivotButton="0" quotePrefix="0" xfId="0">
      <protection locked="1" hidden="1"/>
    </xf>
    <xf numFmtId="0" fontId="280" fillId="0" borderId="0" applyProtection="1" pivotButton="0" quotePrefix="0" xfId="0">
      <protection locked="1" hidden="1"/>
    </xf>
    <xf numFmtId="0" fontId="282" fillId="0" borderId="0" applyProtection="1" pivotButton="0" quotePrefix="0" xfId="0">
      <protection locked="1" hidden="1"/>
    </xf>
    <xf numFmtId="0" fontId="284" fillId="0" borderId="0" applyProtection="1" pivotButton="0" quotePrefix="0" xfId="0">
      <protection locked="1" hidden="1"/>
    </xf>
    <xf numFmtId="0" fontId="286" fillId="0" borderId="0" applyProtection="1" pivotButton="0" quotePrefix="0" xfId="0">
      <protection locked="1" hidden="1"/>
    </xf>
    <xf numFmtId="0" fontId="288" fillId="0" borderId="0" applyProtection="1" pivotButton="0" quotePrefix="0" xfId="0">
      <protection locked="1" hidden="1"/>
    </xf>
    <xf numFmtId="0" fontId="290" fillId="0" borderId="0" applyProtection="1" pivotButton="0" quotePrefix="0" xfId="0">
      <protection locked="1" hidden="1"/>
    </xf>
    <xf numFmtId="0" fontId="292" fillId="0" borderId="0" applyProtection="1" pivotButton="0" quotePrefix="0" xfId="0">
      <protection locked="1" hidden="1"/>
    </xf>
    <xf numFmtId="0" fontId="294" fillId="0" borderId="0" applyProtection="1" pivotButton="0" quotePrefix="0" xfId="0">
      <protection locked="1" hidden="1"/>
    </xf>
    <xf numFmtId="0" fontId="296" fillId="0" borderId="0" applyProtection="1" pivotButton="0" quotePrefix="0" xfId="0">
      <protection locked="1" hidden="1"/>
    </xf>
    <xf numFmtId="0" fontId="298" fillId="0" borderId="0" applyProtection="1" pivotButton="0" quotePrefix="0" xfId="0">
      <protection locked="1" hidden="1"/>
    </xf>
    <xf numFmtId="0" fontId="300" fillId="0" borderId="0" applyProtection="1" pivotButton="0" quotePrefix="0" xfId="0">
      <protection locked="1" hidden="1"/>
    </xf>
    <xf numFmtId="0" fontId="302" fillId="0" borderId="0" applyProtection="1" pivotButton="0" quotePrefix="0" xfId="0">
      <protection locked="1" hidden="1"/>
    </xf>
    <xf numFmtId="0" fontId="304" fillId="0" borderId="0" applyProtection="1" pivotButton="0" quotePrefix="0" xfId="0">
      <protection locked="1" hidden="1"/>
    </xf>
    <xf numFmtId="0" fontId="306" fillId="0" borderId="0" applyProtection="1" pivotButton="0" quotePrefix="0" xfId="0">
      <protection locked="1" hidden="1"/>
    </xf>
    <xf numFmtId="0" fontId="308" fillId="0" borderId="0" applyProtection="1" pivotButton="0" quotePrefix="0" xfId="0">
      <protection locked="1" hidden="1"/>
    </xf>
    <xf numFmtId="0" fontId="310" fillId="0" borderId="0" applyProtection="1" pivotButton="0" quotePrefix="0" xfId="0">
      <protection locked="1" hidden="1"/>
    </xf>
    <xf numFmtId="0" fontId="312" fillId="0" borderId="0" applyProtection="1" pivotButton="0" quotePrefix="0" xfId="0">
      <protection locked="1" hidden="1"/>
    </xf>
    <xf numFmtId="0" fontId="314" fillId="0" borderId="0" applyProtection="1" pivotButton="0" quotePrefix="0" xfId="0">
      <protection locked="1" hidden="1"/>
    </xf>
    <xf numFmtId="0" fontId="316" fillId="0" borderId="0" applyProtection="1" pivotButton="0" quotePrefix="0" xfId="0">
      <protection locked="1" hidden="1"/>
    </xf>
    <xf numFmtId="0" fontId="318" fillId="0" borderId="0" applyProtection="1" pivotButton="0" quotePrefix="0" xfId="0">
      <protection locked="1" hidden="1"/>
    </xf>
    <xf numFmtId="0" fontId="320" fillId="0" borderId="0" applyProtection="1" pivotButton="0" quotePrefix="0" xfId="0">
      <protection locked="1" hidden="1"/>
    </xf>
    <xf numFmtId="0" fontId="322" fillId="0" borderId="0" applyProtection="1" pivotButton="0" quotePrefix="0" xfId="0">
      <protection locked="1" hidden="1"/>
    </xf>
    <xf numFmtId="0" fontId="324" fillId="0" borderId="0" applyProtection="1" pivotButton="0" quotePrefix="0" xfId="0">
      <protection locked="1" hidden="1"/>
    </xf>
    <xf numFmtId="0" fontId="326" fillId="0" borderId="0" applyProtection="1" pivotButton="0" quotePrefix="0" xfId="0">
      <protection locked="1" hidden="1"/>
    </xf>
    <xf numFmtId="0" fontId="328" fillId="0" borderId="0" applyProtection="1" pivotButton="0" quotePrefix="0" xfId="0">
      <protection locked="1" hidden="1"/>
    </xf>
    <xf numFmtId="0" fontId="330" fillId="0" borderId="0" applyProtection="1" pivotButton="0" quotePrefix="0" xfId="0">
      <protection locked="1" hidden="1"/>
    </xf>
    <xf numFmtId="0" fontId="332" fillId="0" borderId="0" applyProtection="1" pivotButton="0" quotePrefix="0" xfId="0">
      <protection locked="1" hidden="1"/>
    </xf>
    <xf numFmtId="0" fontId="334" fillId="0" borderId="0" applyProtection="1" pivotButton="0" quotePrefix="0" xfId="0">
      <protection locked="1" hidden="1"/>
    </xf>
    <xf numFmtId="0" fontId="336" fillId="0" borderId="0" applyProtection="1" pivotButton="0" quotePrefix="0" xfId="0">
      <protection locked="1" hidden="1"/>
    </xf>
    <xf numFmtId="0" fontId="338" fillId="0" borderId="0" applyProtection="1" pivotButton="0" quotePrefix="0" xfId="0">
      <protection locked="1" hidden="1"/>
    </xf>
    <xf numFmtId="0" fontId="340" fillId="0" borderId="0" applyProtection="1" pivotButton="0" quotePrefix="0" xfId="0">
      <protection locked="1" hidden="1"/>
    </xf>
    <xf numFmtId="0" fontId="342" fillId="0" borderId="0" applyProtection="1" pivotButton="0" quotePrefix="0" xfId="0">
      <protection locked="1" hidden="1"/>
    </xf>
    <xf numFmtId="0" fontId="344" fillId="0" borderId="0" applyProtection="1" pivotButton="0" quotePrefix="0" xfId="0">
      <protection locked="1" hidden="1"/>
    </xf>
    <xf numFmtId="0" fontId="346" fillId="0" borderId="0" applyProtection="1" pivotButton="0" quotePrefix="0" xfId="0">
      <protection locked="1" hidden="1"/>
    </xf>
    <xf numFmtId="0" fontId="348" fillId="0" borderId="0" applyProtection="1" pivotButton="0" quotePrefix="0" xfId="0">
      <protection locked="1" hidden="1"/>
    </xf>
    <xf numFmtId="0" fontId="350" fillId="0" borderId="0" applyProtection="1" pivotButton="0" quotePrefix="0" xfId="0">
      <protection locked="1" hidden="1"/>
    </xf>
    <xf numFmtId="0" fontId="352" fillId="0" borderId="0" applyProtection="1" pivotButton="0" quotePrefix="0" xfId="0">
      <protection locked="1" hidden="1"/>
    </xf>
    <xf numFmtId="0" fontId="354" fillId="0" borderId="0" applyProtection="1" pivotButton="0" quotePrefix="0" xfId="0">
      <protection locked="1" hidden="1"/>
    </xf>
    <xf numFmtId="0" fontId="356" fillId="0" borderId="0" applyProtection="1" pivotButton="0" quotePrefix="0" xfId="0">
      <protection locked="1" hidden="1"/>
    </xf>
    <xf numFmtId="0" fontId="358" fillId="0" borderId="0" applyProtection="1" pivotButton="0" quotePrefix="0" xfId="0">
      <protection locked="1" hidden="1"/>
    </xf>
    <xf numFmtId="0" fontId="360" fillId="0" borderId="0" applyProtection="1" pivotButton="0" quotePrefix="0" xfId="0">
      <protection locked="1" hidden="1"/>
    </xf>
    <xf numFmtId="0" fontId="362" fillId="0" borderId="0" applyProtection="1" pivotButton="0" quotePrefix="0" xfId="0">
      <protection locked="1" hidden="1"/>
    </xf>
    <xf numFmtId="0" fontId="364" fillId="0" borderId="0" applyProtection="1" pivotButton="0" quotePrefix="0" xfId="0">
      <protection locked="1" hidden="1"/>
    </xf>
    <xf numFmtId="0" fontId="366" fillId="0" borderId="0" applyProtection="1" pivotButton="0" quotePrefix="0" xfId="0">
      <protection locked="1" hidden="1"/>
    </xf>
    <xf numFmtId="0" fontId="368" fillId="0" borderId="0" applyProtection="1" pivotButton="0" quotePrefix="0" xfId="0">
      <protection locked="1" hidden="1"/>
    </xf>
    <xf numFmtId="0" fontId="370" fillId="0" borderId="0" applyProtection="1" pivotButton="0" quotePrefix="0" xfId="0">
      <protection locked="1" hidden="1"/>
    </xf>
    <xf numFmtId="0" fontId="372" fillId="0" borderId="0" applyProtection="1" pivotButton="0" quotePrefix="0" xfId="0">
      <protection locked="1" hidden="1"/>
    </xf>
    <xf numFmtId="0" fontId="374" fillId="0" borderId="0" applyProtection="1" pivotButton="0" quotePrefix="0" xfId="0">
      <protection locked="1" hidden="1"/>
    </xf>
    <xf numFmtId="0" fontId="376" fillId="0" borderId="0" applyProtection="1" pivotButton="0" quotePrefix="0" xfId="0">
      <protection locked="1" hidden="1"/>
    </xf>
    <xf numFmtId="0" fontId="378" fillId="0" borderId="0" applyProtection="1" pivotButton="0" quotePrefix="0" xfId="0">
      <protection locked="1" hidden="1"/>
    </xf>
    <xf numFmtId="0" fontId="380" fillId="0" borderId="0" applyProtection="1" pivotButton="0" quotePrefix="0" xfId="0">
      <protection locked="1" hidden="1"/>
    </xf>
    <xf numFmtId="0" fontId="382" fillId="0" borderId="0" applyProtection="1" pivotButton="0" quotePrefix="0" xfId="0">
      <protection locked="1" hidden="1"/>
    </xf>
    <xf numFmtId="0" fontId="384" fillId="0" borderId="0" applyProtection="1" pivotButton="0" quotePrefix="0" xfId="0">
      <protection locked="1" hidden="1"/>
    </xf>
    <xf numFmtId="0" fontId="386" fillId="0" borderId="0" applyProtection="1" pivotButton="0" quotePrefix="0" xfId="0">
      <protection locked="1" hidden="1"/>
    </xf>
    <xf numFmtId="0" fontId="388" fillId="0" borderId="0" applyProtection="1" pivotButton="0" quotePrefix="0" xfId="0">
      <protection locked="1" hidden="1"/>
    </xf>
    <xf numFmtId="0" fontId="390" fillId="0" borderId="0" applyProtection="1" pivotButton="0" quotePrefix="0" xfId="0">
      <protection locked="1" hidden="1"/>
    </xf>
    <xf numFmtId="0" fontId="392" fillId="0" borderId="0" applyProtection="1" pivotButton="0" quotePrefix="0" xfId="0">
      <protection locked="1" hidden="1"/>
    </xf>
    <xf numFmtId="0" fontId="394" fillId="0" borderId="0" applyProtection="1" pivotButton="0" quotePrefix="0" xfId="0">
      <protection locked="1" hidden="1"/>
    </xf>
    <xf numFmtId="0" fontId="396" fillId="0" borderId="0" applyProtection="1" pivotButton="0" quotePrefix="0" xfId="0">
      <protection locked="1" hidden="1"/>
    </xf>
    <xf numFmtId="0" fontId="398" fillId="0" borderId="0" applyProtection="1" pivotButton="0" quotePrefix="0" xfId="0">
      <protection locked="1" hidden="1"/>
    </xf>
    <xf numFmtId="0" fontId="400" fillId="0" borderId="0" applyProtection="1" pivotButton="0" quotePrefix="0" xfId="0">
      <protection locked="1" hidden="1"/>
    </xf>
    <xf numFmtId="0" fontId="402" fillId="0" borderId="0" applyProtection="1" pivotButton="0" quotePrefix="0" xfId="0">
      <protection locked="1" hidden="1"/>
    </xf>
    <xf numFmtId="0" fontId="404" fillId="0" borderId="0" applyProtection="1" pivotButton="0" quotePrefix="0" xfId="0">
      <protection locked="1" hidden="1"/>
    </xf>
    <xf numFmtId="0" fontId="406" fillId="0" borderId="0" applyProtection="1" pivotButton="0" quotePrefix="0" xfId="0">
      <protection locked="1" hidden="1"/>
    </xf>
    <xf numFmtId="0" fontId="408" fillId="0" borderId="0" applyProtection="1" pivotButton="0" quotePrefix="0" xfId="0">
      <protection locked="1" hidden="1"/>
    </xf>
    <xf numFmtId="0" fontId="410" fillId="0" borderId="0" applyProtection="1" pivotButton="0" quotePrefix="0" xfId="0">
      <protection locked="1" hidden="1"/>
    </xf>
    <xf numFmtId="0" fontId="412" fillId="0" borderId="0" applyProtection="1" pivotButton="0" quotePrefix="0" xfId="0">
      <protection locked="1" hidden="1"/>
    </xf>
    <xf numFmtId="0" fontId="414" fillId="0" borderId="0" applyProtection="1" pivotButton="0" quotePrefix="0" xfId="0">
      <protection locked="1" hidden="1"/>
    </xf>
    <xf numFmtId="0" fontId="416" fillId="0" borderId="0" applyProtection="1" pivotButton="0" quotePrefix="0" xfId="0">
      <protection locked="1" hidden="1"/>
    </xf>
    <xf numFmtId="0" fontId="418" fillId="0" borderId="0" applyProtection="1" pivotButton="0" quotePrefix="0" xfId="0">
      <protection locked="1" hidden="1"/>
    </xf>
    <xf numFmtId="0" fontId="420" fillId="0" borderId="0" applyProtection="1" pivotButton="0" quotePrefix="0" xfId="0">
      <protection locked="1" hidden="1"/>
    </xf>
    <xf numFmtId="0" fontId="422" fillId="0" borderId="0" applyProtection="1" pivotButton="0" quotePrefix="0" xfId="0">
      <protection locked="1" hidden="1"/>
    </xf>
    <xf numFmtId="0" fontId="424" fillId="0" borderId="0" applyProtection="1" pivotButton="0" quotePrefix="0" xfId="0">
      <protection locked="1" hidden="1"/>
    </xf>
    <xf numFmtId="0" fontId="426" fillId="0" borderId="0" applyProtection="1" pivotButton="0" quotePrefix="0" xfId="0">
      <protection locked="1" hidden="1"/>
    </xf>
    <xf numFmtId="0" fontId="428" fillId="0" borderId="0" applyProtection="1" pivotButton="0" quotePrefix="0" xfId="0">
      <protection locked="1" hidden="1"/>
    </xf>
    <xf numFmtId="0" fontId="430" fillId="0" borderId="0" applyProtection="1" pivotButton="0" quotePrefix="0" xfId="0">
      <protection locked="1" hidden="1"/>
    </xf>
    <xf numFmtId="0" fontId="432" fillId="0" borderId="0" applyProtection="1" pivotButton="0" quotePrefix="0" xfId="0">
      <protection locked="1" hidden="1"/>
    </xf>
    <xf numFmtId="0" fontId="434" fillId="0" borderId="0" applyProtection="1" pivotButton="0" quotePrefix="0" xfId="0">
      <protection locked="1" hidden="1"/>
    </xf>
    <xf numFmtId="0" fontId="436" fillId="0" borderId="0" applyProtection="1" pivotButton="0" quotePrefix="0" xfId="0">
      <protection locked="1" hidden="1"/>
    </xf>
    <xf numFmtId="0" fontId="438" fillId="0" borderId="0" applyProtection="1" pivotButton="0" quotePrefix="0" xfId="0">
      <protection locked="1" hidden="1"/>
    </xf>
    <xf numFmtId="0" fontId="440" fillId="0" borderId="0" applyProtection="1" pivotButton="0" quotePrefix="0" xfId="0">
      <protection locked="1" hidden="1"/>
    </xf>
    <xf numFmtId="0" fontId="442" fillId="0" borderId="0" applyProtection="1" pivotButton="0" quotePrefix="0" xfId="0">
      <protection locked="1" hidden="1"/>
    </xf>
    <xf numFmtId="0" fontId="444" fillId="0" borderId="0" applyProtection="1" pivotButton="0" quotePrefix="0" xfId="0">
      <protection locked="1" hidden="1"/>
    </xf>
    <xf numFmtId="0" fontId="446" fillId="0" borderId="0" applyProtection="1" pivotButton="0" quotePrefix="0" xfId="0">
      <protection locked="1" hidden="1"/>
    </xf>
    <xf numFmtId="0" fontId="448" fillId="0" borderId="0" applyProtection="1" pivotButton="0" quotePrefix="0" xfId="0">
      <protection locked="1" hidden="1"/>
    </xf>
    <xf numFmtId="0" fontId="450" fillId="0" borderId="0" applyProtection="1" pivotButton="0" quotePrefix="0" xfId="0">
      <protection locked="1" hidden="1"/>
    </xf>
    <xf numFmtId="0" fontId="452" fillId="0" borderId="0" applyProtection="1" pivotButton="0" quotePrefix="0" xfId="0">
      <protection locked="1" hidden="1"/>
    </xf>
    <xf numFmtId="0" fontId="454" fillId="0" borderId="0" applyProtection="1" pivotButton="0" quotePrefix="0" xfId="0">
      <protection locked="1" hidden="1"/>
    </xf>
    <xf numFmtId="0" fontId="456" fillId="0" borderId="0" applyProtection="1" pivotButton="0" quotePrefix="0" xfId="0">
      <protection locked="1" hidden="1"/>
    </xf>
    <xf numFmtId="0" fontId="458" fillId="0" borderId="0" applyProtection="1" pivotButton="0" quotePrefix="0" xfId="0">
      <protection locked="1" hidden="1"/>
    </xf>
    <xf numFmtId="0" fontId="460" fillId="0" borderId="0" applyProtection="1" pivotButton="0" quotePrefix="0" xfId="0">
      <protection locked="1" hidden="1"/>
    </xf>
    <xf numFmtId="0" fontId="462" fillId="0" borderId="0" applyProtection="1" pivotButton="0" quotePrefix="0" xfId="0">
      <protection locked="1" hidden="1"/>
    </xf>
    <xf numFmtId="0" fontId="464" fillId="0" borderId="0" applyProtection="1" pivotButton="0" quotePrefix="0" xfId="0">
      <protection locked="1" hidden="1"/>
    </xf>
    <xf numFmtId="0" fontId="466" fillId="0" borderId="0" applyProtection="1" pivotButton="0" quotePrefix="0" xfId="0">
      <protection locked="1" hidden="1"/>
    </xf>
    <xf numFmtId="0" fontId="468" fillId="0" borderId="0" applyProtection="1" pivotButton="0" quotePrefix="0" xfId="0">
      <protection locked="1" hidden="1"/>
    </xf>
    <xf numFmtId="0" fontId="470" fillId="0" borderId="0" applyProtection="1" pivotButton="0" quotePrefix="0" xfId="0">
      <protection locked="1" hidden="1"/>
    </xf>
    <xf numFmtId="0" fontId="472" fillId="0" borderId="0" applyProtection="1" pivotButton="0" quotePrefix="0" xfId="0">
      <protection locked="1" hidden="1"/>
    </xf>
    <xf numFmtId="0" fontId="474" fillId="0" borderId="0" applyProtection="1" pivotButton="0" quotePrefix="0" xfId="0">
      <protection locked="1" hidden="1"/>
    </xf>
    <xf numFmtId="0" fontId="476" fillId="0" borderId="0" applyProtection="1" pivotButton="0" quotePrefix="0" xfId="0">
      <protection locked="1" hidden="1"/>
    </xf>
    <xf numFmtId="0" fontId="478" fillId="0" borderId="0" applyProtection="1" pivotButton="0" quotePrefix="0" xfId="0">
      <protection locked="1" hidden="1"/>
    </xf>
    <xf numFmtId="0" fontId="480" fillId="0" borderId="0" applyProtection="1" pivotButton="0" quotePrefix="0" xfId="0">
      <protection locked="1" hidden="1"/>
    </xf>
    <xf numFmtId="0" fontId="482" fillId="0" borderId="0" applyProtection="1" pivotButton="0" quotePrefix="0" xfId="0">
      <protection locked="1" hidden="1"/>
    </xf>
    <xf numFmtId="0" fontId="484" fillId="0" borderId="0" applyProtection="1" pivotButton="0" quotePrefix="0" xfId="0">
      <protection locked="1" hidden="1"/>
    </xf>
    <xf numFmtId="0" fontId="486" fillId="0" borderId="0" applyProtection="1" pivotButton="0" quotePrefix="0" xfId="0">
      <protection locked="1" hidden="1"/>
    </xf>
    <xf numFmtId="0" fontId="488" fillId="0" borderId="0" applyProtection="1" pivotButton="0" quotePrefix="0" xfId="0">
      <protection locked="1" hidden="1"/>
    </xf>
    <xf numFmtId="0" fontId="490" fillId="0" borderId="0" applyProtection="1" pivotButton="0" quotePrefix="0" xfId="0">
      <protection locked="1" hidden="1"/>
    </xf>
    <xf numFmtId="0" fontId="492" fillId="0" borderId="0" applyProtection="1" pivotButton="0" quotePrefix="0" xfId="0">
      <protection locked="1" hidden="1"/>
    </xf>
    <xf numFmtId="0" fontId="494" fillId="0" borderId="0" applyProtection="1" pivotButton="0" quotePrefix="0" xfId="0">
      <protection locked="1" hidden="1"/>
    </xf>
    <xf numFmtId="0" fontId="496" fillId="0" borderId="0" applyProtection="1" pivotButton="0" quotePrefix="0" xfId="0">
      <protection locked="1" hidden="1"/>
    </xf>
    <xf numFmtId="0" fontId="498" fillId="0" borderId="0" applyProtection="1" pivotButton="0" quotePrefix="0" xfId="0">
      <protection locked="1" hidden="1"/>
    </xf>
    <xf numFmtId="0" fontId="500" fillId="0" borderId="0" applyProtection="1" pivotButton="0" quotePrefix="0" xfId="0">
      <protection locked="1" hidden="1"/>
    </xf>
    <xf numFmtId="0" fontId="502" fillId="0" borderId="0" applyProtection="1" pivotButton="0" quotePrefix="0" xfId="0">
      <protection locked="1" hidden="1"/>
    </xf>
    <xf numFmtId="0" fontId="504" fillId="0" borderId="0" applyProtection="1" pivotButton="0" quotePrefix="0" xfId="0">
      <protection locked="1" hidden="1"/>
    </xf>
    <xf numFmtId="0" fontId="506" fillId="0" borderId="0" applyProtection="1" pivotButton="0" quotePrefix="0" xfId="0">
      <protection locked="1" hidden="1"/>
    </xf>
    <xf numFmtId="0" fontId="508" fillId="0" borderId="0" applyProtection="1" pivotButton="0" quotePrefix="0" xfId="0">
      <protection locked="1" hidden="1"/>
    </xf>
    <xf numFmtId="0" fontId="510" fillId="0" borderId="0" applyProtection="1" pivotButton="0" quotePrefix="0" xfId="0">
      <protection locked="1" hidden="1"/>
    </xf>
    <xf numFmtId="0" fontId="512" fillId="0" borderId="0" applyProtection="1" pivotButton="0" quotePrefix="0" xfId="0">
      <protection locked="1" hidden="1"/>
    </xf>
    <xf numFmtId="0" fontId="514" fillId="0" borderId="0" applyProtection="1" pivotButton="0" quotePrefix="0" xfId="0">
      <protection locked="1" hidden="1"/>
    </xf>
    <xf numFmtId="0" fontId="516" fillId="0" borderId="0" applyProtection="1" pivotButton="0" quotePrefix="0" xfId="0">
      <protection locked="1" hidden="1"/>
    </xf>
    <xf numFmtId="0" fontId="518" fillId="0" borderId="0" applyProtection="1" pivotButton="0" quotePrefix="0" xfId="0">
      <protection locked="1" hidden="1"/>
    </xf>
    <xf numFmtId="0" fontId="520" fillId="0" borderId="0" applyProtection="1" pivotButton="0" quotePrefix="0" xfId="0">
      <protection locked="1" hidden="1"/>
    </xf>
    <xf numFmtId="0" fontId="522" fillId="0" borderId="0" applyProtection="1" pivotButton="0" quotePrefix="0" xfId="0">
      <protection locked="1" hidden="1"/>
    </xf>
    <xf numFmtId="0" fontId="524" fillId="0" borderId="0" applyProtection="1" pivotButton="0" quotePrefix="0" xfId="0">
      <protection locked="1" hidden="1"/>
    </xf>
    <xf numFmtId="0" fontId="526" fillId="0" borderId="0" applyProtection="1" pivotButton="0" quotePrefix="0" xfId="0">
      <protection locked="1" hidden="1"/>
    </xf>
    <xf numFmtId="0" fontId="528" fillId="0" borderId="0" applyProtection="1" pivotButton="0" quotePrefix="0" xfId="0">
      <protection locked="1" hidden="1"/>
    </xf>
    <xf numFmtId="0" fontId="530" fillId="0" borderId="0" applyProtection="1" pivotButton="0" quotePrefix="0" xfId="0">
      <protection locked="1" hidden="1"/>
    </xf>
    <xf numFmtId="0" fontId="532" fillId="0" borderId="0" applyProtection="1" pivotButton="0" quotePrefix="0" xfId="0">
      <protection locked="1" hidden="1"/>
    </xf>
    <xf numFmtId="0" fontId="534" fillId="0" borderId="0" applyProtection="1" pivotButton="0" quotePrefix="0" xfId="0">
      <protection locked="1" hidden="1"/>
    </xf>
    <xf numFmtId="0" fontId="536" fillId="0" borderId="0" applyProtection="1" pivotButton="0" quotePrefix="0" xfId="0">
      <protection locked="1" hidden="1"/>
    </xf>
    <xf numFmtId="0" fontId="538" fillId="0" borderId="0" applyProtection="1" pivotButton="0" quotePrefix="0" xfId="0">
      <protection locked="1" hidden="1"/>
    </xf>
    <xf numFmtId="0" fontId="540" fillId="0" borderId="0" applyProtection="1" pivotButton="0" quotePrefix="0" xfId="0">
      <protection locked="1" hidden="1"/>
    </xf>
    <xf numFmtId="0" fontId="542" fillId="0" borderId="0" applyProtection="1" pivotButton="0" quotePrefix="0" xfId="0">
      <protection locked="1" hidden="1"/>
    </xf>
    <xf numFmtId="0" fontId="544" fillId="0" borderId="0" applyProtection="1" pivotButton="0" quotePrefix="0" xfId="0">
      <protection locked="1" hidden="1"/>
    </xf>
    <xf numFmtId="0" fontId="546" fillId="0" borderId="0" applyProtection="1" pivotButton="0" quotePrefix="0" xfId="0">
      <protection locked="1" hidden="1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61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0" fontId="539" fillId="0" borderId="21" applyAlignment="1" pivotButton="0" quotePrefix="0" xfId="0">
      <alignment horizontal="left" vertical="center" wrapText="1"/>
    </xf>
    <xf numFmtId="0" fontId="541" fillId="0" borderId="21" applyAlignment="1" pivotButton="0" quotePrefix="0" xfId="0">
      <alignment horizontal="left" vertical="center" wrapText="1"/>
    </xf>
    <xf numFmtId="0" fontId="543" fillId="0" borderId="21" applyAlignment="1" pivotButton="0" quotePrefix="0" xfId="0">
      <alignment horizontal="left" vertical="center" wrapText="1"/>
    </xf>
    <xf numFmtId="0" fontId="545" fillId="0" borderId="21" applyAlignment="1" pivotButton="0" quotePrefix="0" xfId="0">
      <alignment horizontal="left" vertical="center" wrapText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9" applyProtection="1" pivotButton="0" quotePrefix="0" xfId="0">
      <protection locked="0" hidden="1"/>
    </xf>
    <xf numFmtId="0" fontId="0" fillId="0" borderId="51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541" fillId="0" borderId="16" applyAlignment="1" pivotButton="0" quotePrefix="0" xfId="0">
      <alignment horizontal="left" vertical="center" wrapText="1"/>
    </xf>
    <xf numFmtId="0" fontId="543" fillId="0" borderId="16" applyAlignment="1" pivotButton="0" quotePrefix="0" xfId="0">
      <alignment horizontal="left" vertical="center" wrapText="1"/>
    </xf>
    <xf numFmtId="0" fontId="545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6" applyProtection="1" pivotButton="0" quotePrefix="0" xfId="0">
      <protection locked="1" hidden="1"/>
    </xf>
    <xf numFmtId="0" fontId="0" fillId="0" borderId="47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5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AC474"/>
  <sheetViews>
    <sheetView showGridLines="0" tabSelected="1" zoomScaleNormal="100" zoomScaleSheetLayoutView="100" workbookViewId="0">
      <selection activeCell="W22" sqref="W22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9.42578125" customWidth="1" style="5" min="11" max="11"/>
    <col width="10.42578125" customWidth="1" style="4" min="12" max="12"/>
    <col width="7.42578125" customWidth="1" style="2" min="13" max="13"/>
    <col width="15.5703125" customWidth="1" style="2" min="14" max="14"/>
    <col width="8.140625" customWidth="1" style="1" min="15" max="15"/>
    <col width="6.140625" customWidth="1" style="1" min="16" max="16"/>
    <col width="10.85546875" customWidth="1" style="3" min="17" max="17"/>
    <col width="10.42578125" customWidth="1" style="3" min="18" max="18"/>
    <col width="9.42578125" customWidth="1" style="3" min="19" max="19"/>
    <col width="8.42578125" customWidth="1" style="3" min="20" max="20"/>
    <col width="10" customWidth="1" style="1" min="21" max="21"/>
    <col width="11" customWidth="1" style="1" min="22" max="22"/>
    <col width="10" customWidth="1" style="1" min="23" max="23"/>
    <col width="11.5703125" customWidth="1" style="1" min="24" max="24"/>
    <col width="10.42578125" customWidth="1" style="1" min="25" max="25"/>
    <col width="11.42578125" bestFit="1" customWidth="1" style="61" min="26" max="26"/>
    <col width="9.140625" customWidth="1" style="61" min="27" max="27"/>
    <col width="8.85546875" customWidth="1" style="61" min="28" max="28"/>
    <col width="13.5703125" customWidth="1" style="1" min="29" max="29"/>
    <col width="9.140625" customWidth="1" style="1" min="30" max="16384"/>
  </cols>
  <sheetData>
    <row r="1" ht="45" customFormat="1" customHeight="1" s="353">
      <c r="A1" s="48" t="n"/>
      <c r="B1" s="48" t="n"/>
      <c r="C1" s="48" t="n"/>
      <c r="D1" s="315" t="inlineStr">
        <is>
          <t xml:space="preserve">  БЛАНК ЗАКАЗА </t>
        </is>
      </c>
      <c r="G1" s="14" t="inlineStr">
        <is>
          <t>КИ</t>
        </is>
      </c>
      <c r="H1" s="315" t="inlineStr">
        <is>
          <t>на отгрузку продукции с ООО Трейд-Сервис с</t>
        </is>
      </c>
      <c r="O1" s="316" t="inlineStr">
        <is>
          <t>21.08.2023</t>
        </is>
      </c>
      <c r="R1" s="15" t="n"/>
      <c r="S1" s="15" t="n"/>
      <c r="T1" s="15" t="n"/>
      <c r="U1" s="15" t="n"/>
      <c r="V1" s="15" t="n"/>
      <c r="W1" s="15" t="n"/>
      <c r="X1" s="15" t="n"/>
      <c r="Y1" s="62" t="n"/>
      <c r="Z1" s="62" t="n"/>
      <c r="AA1" s="62" t="n"/>
      <c r="AB1" s="62" t="n"/>
    </row>
    <row r="2" ht="16.5" customFormat="1" customHeight="1" s="353">
      <c r="A2" s="34" t="inlineStr">
        <is>
          <t>бланк создан</t>
        </is>
      </c>
      <c r="B2" s="35" t="inlineStr">
        <is>
          <t>16.08.2023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318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" t="n"/>
      <c r="O2" s="1" t="n"/>
      <c r="P2" s="1" t="n"/>
      <c r="Q2" s="1" t="n"/>
      <c r="R2" s="1" t="n"/>
      <c r="S2" s="1" t="n"/>
      <c r="T2" s="1" t="n"/>
      <c r="U2" s="19" t="n"/>
      <c r="V2" s="19" t="n"/>
      <c r="W2" s="19" t="n"/>
      <c r="X2" s="19" t="n"/>
      <c r="Y2" s="60" t="n"/>
      <c r="Z2" s="60" t="n"/>
      <c r="AA2" s="60" t="n"/>
    </row>
    <row r="3" ht="11.25" customFormat="1" customHeight="1" s="353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18" t="n"/>
      <c r="L3" s="18" t="n"/>
      <c r="M3" s="1" t="n"/>
      <c r="N3" s="1" t="n"/>
      <c r="O3" s="1" t="n"/>
      <c r="P3" s="1" t="n"/>
      <c r="Q3" s="1" t="n"/>
      <c r="R3" s="1" t="n"/>
      <c r="S3" s="1" t="n"/>
      <c r="T3" s="1" t="n"/>
      <c r="U3" s="19" t="n"/>
      <c r="V3" s="19" t="n"/>
      <c r="W3" s="19" t="n"/>
      <c r="X3" s="19" t="n"/>
      <c r="Y3" s="60" t="n"/>
      <c r="Z3" s="60" t="n"/>
      <c r="AA3" s="60" t="n"/>
    </row>
    <row r="4" ht="9" customFormat="1" customHeight="1" s="353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3" t="n"/>
      <c r="O4" s="23" t="n"/>
      <c r="P4" s="23" t="n"/>
      <c r="Q4" s="23" t="n"/>
      <c r="R4" s="23" t="n"/>
      <c r="S4" s="24" t="n"/>
      <c r="T4" s="25" t="n"/>
      <c r="U4" s="25" t="n"/>
      <c r="V4" s="25" t="n"/>
      <c r="W4" s="25" t="n"/>
      <c r="X4" s="25" t="n"/>
      <c r="Y4" s="60" t="n"/>
      <c r="Z4" s="60" t="n"/>
      <c r="AA4" s="60" t="n"/>
    </row>
    <row r="5" ht="23.45" customFormat="1" customHeight="1" s="353">
      <c r="A5" s="319" t="inlineStr">
        <is>
          <t xml:space="preserve">Ваш контактный телефон и имя: </t>
        </is>
      </c>
      <c r="B5" s="633" t="n"/>
      <c r="C5" s="634" t="n"/>
      <c r="D5" s="320" t="n"/>
      <c r="E5" s="635" t="n"/>
      <c r="F5" s="321" t="inlineStr">
        <is>
          <t>Комментарий к заказу:</t>
        </is>
      </c>
      <c r="G5" s="634" t="n"/>
      <c r="H5" s="320" t="n"/>
      <c r="I5" s="636" t="n"/>
      <c r="J5" s="636" t="n"/>
      <c r="K5" s="635" t="n"/>
      <c r="M5" s="29" t="inlineStr">
        <is>
          <t>Дата загрузки</t>
        </is>
      </c>
      <c r="N5" s="637" t="n">
        <v>45158</v>
      </c>
      <c r="O5" s="638" t="n"/>
      <c r="Q5" s="324" t="inlineStr">
        <is>
          <t>Способ доставки (доставка/самовывоз)</t>
        </is>
      </c>
      <c r="R5" s="639" t="n"/>
      <c r="S5" s="640" t="inlineStr">
        <is>
          <t>Самовывоз</t>
        </is>
      </c>
      <c r="T5" s="638" t="n"/>
      <c r="Y5" s="60" t="n"/>
      <c r="Z5" s="60" t="n"/>
      <c r="AA5" s="60" t="n"/>
    </row>
    <row r="6" ht="24" customFormat="1" customHeight="1" s="353">
      <c r="A6" s="319" t="inlineStr">
        <is>
          <t>Адрес доставки:</t>
        </is>
      </c>
      <c r="B6" s="633" t="n"/>
      <c r="C6" s="634" t="n"/>
      <c r="D6" s="327" t="inlineStr">
        <is>
          <t>ЛП, ООО, Крым Респ, Симферополь г, Данилова ул, 43В, лит В, офис 4,</t>
        </is>
      </c>
      <c r="E6" s="641" t="n"/>
      <c r="F6" s="641" t="n"/>
      <c r="G6" s="641" t="n"/>
      <c r="H6" s="641" t="n"/>
      <c r="I6" s="641" t="n"/>
      <c r="J6" s="641" t="n"/>
      <c r="K6" s="638" t="n"/>
      <c r="M6" s="29" t="inlineStr">
        <is>
          <t>День недели</t>
        </is>
      </c>
      <c r="N6" s="328">
        <f>IF(N5=0," ",CHOOSE(WEEKDAY(N5,2),"Понедельник","Вторник","Среда","Четверг","Пятница","Суббота","Воскресенье"))</f>
        <v/>
      </c>
      <c r="O6" s="642" t="n"/>
      <c r="Q6" s="330" t="inlineStr">
        <is>
          <t>Наименование клиента</t>
        </is>
      </c>
      <c r="R6" s="639" t="n"/>
      <c r="S6" s="643" t="inlineStr">
        <is>
          <t>ОБЩЕСТВО С ОГРАНИЧЕННОЙ ОТВЕТСТВЕННОСТЬЮ "ЛОГИСТИЧЕСКИЙ ПАРТНЕР"</t>
        </is>
      </c>
      <c r="T6" s="644" t="n"/>
      <c r="Y6" s="60" t="n"/>
      <c r="Z6" s="60" t="n"/>
      <c r="AA6" s="60" t="n"/>
    </row>
    <row r="7" hidden="1" ht="21.75" customFormat="1" customHeight="1" s="353">
      <c r="A7" s="65" t="n"/>
      <c r="B7" s="65" t="n"/>
      <c r="C7" s="65" t="n"/>
      <c r="D7" s="645">
        <f>IFERROR(VLOOKUP(DeliveryAddress,Table,3,0),1)</f>
        <v/>
      </c>
      <c r="E7" s="646" t="n"/>
      <c r="F7" s="646" t="n"/>
      <c r="G7" s="646" t="n"/>
      <c r="H7" s="646" t="n"/>
      <c r="I7" s="646" t="n"/>
      <c r="J7" s="646" t="n"/>
      <c r="K7" s="647" t="n"/>
      <c r="M7" s="29" t="n"/>
      <c r="N7" s="49" t="n"/>
      <c r="O7" s="49" t="n"/>
      <c r="Q7" s="1" t="n"/>
      <c r="R7" s="639" t="n"/>
      <c r="S7" s="648" t="n"/>
      <c r="T7" s="649" t="n"/>
      <c r="Y7" s="60" t="n"/>
      <c r="Z7" s="60" t="n"/>
      <c r="AA7" s="60" t="n"/>
    </row>
    <row r="8" ht="25.5" customFormat="1" customHeight="1" s="353">
      <c r="A8" s="340" t="inlineStr">
        <is>
          <t>Адрес сдачи груза:</t>
        </is>
      </c>
      <c r="B8" s="650" t="n"/>
      <c r="C8" s="651" t="n"/>
      <c r="D8" s="341" t="n"/>
      <c r="E8" s="652" t="n"/>
      <c r="F8" s="652" t="n"/>
      <c r="G8" s="652" t="n"/>
      <c r="H8" s="652" t="n"/>
      <c r="I8" s="652" t="n"/>
      <c r="J8" s="652" t="n"/>
      <c r="K8" s="653" t="n"/>
      <c r="M8" s="29" t="inlineStr">
        <is>
          <t>Время загрузки</t>
        </is>
      </c>
      <c r="N8" s="342" t="n">
        <v>0.3333333333333333</v>
      </c>
      <c r="O8" s="638" t="n"/>
      <c r="Q8" s="1" t="n"/>
      <c r="R8" s="639" t="n"/>
      <c r="S8" s="648" t="n"/>
      <c r="T8" s="649" t="n"/>
      <c r="Y8" s="60" t="n"/>
      <c r="Z8" s="60" t="n"/>
      <c r="AA8" s="60" t="n"/>
    </row>
    <row r="9" ht="39.95" customFormat="1" customHeight="1" s="353">
      <c r="A9" s="343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344" t="inlineStr"/>
      <c r="E9" s="3" t="n"/>
      <c r="F9" s="343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346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346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M9" s="31" t="inlineStr">
        <is>
          <t>Дата доставки</t>
        </is>
      </c>
      <c r="N9" s="637" t="n"/>
      <c r="O9" s="638" t="n"/>
      <c r="Q9" s="1" t="n"/>
      <c r="R9" s="639" t="n"/>
      <c r="S9" s="654" t="n"/>
      <c r="T9" s="655" t="n"/>
      <c r="U9" s="50" t="n"/>
      <c r="V9" s="50" t="n"/>
      <c r="W9" s="50" t="n"/>
      <c r="X9" s="50" t="n"/>
      <c r="Y9" s="60" t="n"/>
      <c r="Z9" s="60" t="n"/>
      <c r="AA9" s="60" t="n"/>
    </row>
    <row r="10" ht="26.45" customFormat="1" customHeight="1" s="353">
      <c r="A10" s="343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344" t="n"/>
      <c r="E10" s="3" t="n"/>
      <c r="F10" s="343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347">
        <f>IFERROR(VLOOKUP($D$10,Proxy,2,FALSE),"")</f>
        <v/>
      </c>
      <c r="I10" s="1" t="n"/>
      <c r="J10" s="1" t="n"/>
      <c r="K10" s="1" t="n"/>
      <c r="M10" s="31" t="inlineStr">
        <is>
          <t>Время доставки</t>
        </is>
      </c>
      <c r="N10" s="342" t="n"/>
      <c r="O10" s="638" t="n"/>
      <c r="R10" s="29" t="inlineStr">
        <is>
          <t>КОД Аксапты Клиента</t>
        </is>
      </c>
      <c r="S10" s="656" t="inlineStr">
        <is>
          <t>590704</t>
        </is>
      </c>
      <c r="T10" s="644" t="n"/>
      <c r="U10" s="51" t="n"/>
      <c r="V10" s="51" t="n"/>
      <c r="W10" s="51" t="n"/>
      <c r="X10" s="51" t="n"/>
      <c r="Y10" s="60" t="n"/>
      <c r="Z10" s="60" t="n"/>
      <c r="AA10" s="60" t="n"/>
    </row>
    <row r="11" ht="15.95" customFormat="1" customHeight="1" s="353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M11" s="31" t="inlineStr">
        <is>
          <t>Время доставки 2 машины</t>
        </is>
      </c>
      <c r="N11" s="342" t="n"/>
      <c r="O11" s="638" t="n"/>
      <c r="R11" s="29" t="inlineStr">
        <is>
          <t>Тип заказа</t>
        </is>
      </c>
      <c r="S11" s="350" t="inlineStr">
        <is>
          <t>Основной заказ</t>
        </is>
      </c>
      <c r="T11" s="657" t="n"/>
      <c r="U11" s="52" t="n"/>
      <c r="V11" s="52" t="n"/>
      <c r="W11" s="52" t="n"/>
      <c r="X11" s="52" t="n"/>
      <c r="Y11" s="60" t="n"/>
      <c r="Z11" s="60" t="n"/>
      <c r="AA11" s="60" t="n"/>
    </row>
    <row r="12" ht="18.6" customFormat="1" customHeight="1" s="353">
      <c r="A12" s="351" t="inlineStr">
        <is>
          <t>Телефоны для заказов: 8(919)002-63-01  E-mail: kolbasa@abiproduct.ru  Телефон сотрудников склада: 8 (910) 775-52-91</t>
        </is>
      </c>
      <c r="B12" s="633" t="n"/>
      <c r="C12" s="633" t="n"/>
      <c r="D12" s="633" t="n"/>
      <c r="E12" s="633" t="n"/>
      <c r="F12" s="633" t="n"/>
      <c r="G12" s="633" t="n"/>
      <c r="H12" s="633" t="n"/>
      <c r="I12" s="633" t="n"/>
      <c r="J12" s="633" t="n"/>
      <c r="K12" s="634" t="n"/>
      <c r="M12" s="29" t="inlineStr">
        <is>
          <t>Время доставки 3 машины</t>
        </is>
      </c>
      <c r="N12" s="352" t="n"/>
      <c r="O12" s="647" t="n"/>
      <c r="P12" s="28" t="n"/>
      <c r="R12" s="29" t="inlineStr"/>
      <c r="S12" s="353" t="n"/>
      <c r="T12" s="1" t="n"/>
      <c r="Y12" s="60" t="n"/>
      <c r="Z12" s="60" t="n"/>
      <c r="AA12" s="60" t="n"/>
    </row>
    <row r="13" ht="23.25" customFormat="1" customHeight="1" s="353">
      <c r="A13" s="351" t="inlineStr">
        <is>
          <t>График приема заказов: Заказы принимаются за ДВА дня до отгрузки Пн-Пт: с 9:00 до 14:00, Суб., Вс. - до 12:00</t>
        </is>
      </c>
      <c r="B13" s="633" t="n"/>
      <c r="C13" s="633" t="n"/>
      <c r="D13" s="633" t="n"/>
      <c r="E13" s="633" t="n"/>
      <c r="F13" s="633" t="n"/>
      <c r="G13" s="633" t="n"/>
      <c r="H13" s="633" t="n"/>
      <c r="I13" s="633" t="n"/>
      <c r="J13" s="633" t="n"/>
      <c r="K13" s="634" t="n"/>
      <c r="L13" s="31" t="n"/>
      <c r="M13" s="31" t="inlineStr">
        <is>
          <t>Время доставки 4 машины</t>
        </is>
      </c>
      <c r="N13" s="350" t="n"/>
      <c r="O13" s="657" t="n"/>
      <c r="P13" s="28" t="n"/>
      <c r="U13" s="57" t="n"/>
      <c r="V13" s="57" t="n"/>
      <c r="W13" s="57" t="n"/>
      <c r="X13" s="57" t="n"/>
      <c r="Y13" s="60" t="n"/>
      <c r="Z13" s="60" t="n"/>
      <c r="AA13" s="60" t="n"/>
    </row>
    <row r="14" ht="18.6" customFormat="1" customHeight="1" s="353">
      <c r="A14" s="351" t="inlineStr">
        <is>
          <t>Телефон менеджера по логистике: 8 (919) 012-30-55 - по вопросам доставки продукции</t>
        </is>
      </c>
      <c r="B14" s="633" t="n"/>
      <c r="C14" s="633" t="n"/>
      <c r="D14" s="633" t="n"/>
      <c r="E14" s="633" t="n"/>
      <c r="F14" s="633" t="n"/>
      <c r="G14" s="633" t="n"/>
      <c r="H14" s="633" t="n"/>
      <c r="I14" s="633" t="n"/>
      <c r="J14" s="633" t="n"/>
      <c r="K14" s="634" t="n"/>
      <c r="U14" s="58" t="n"/>
      <c r="V14" s="58" t="n"/>
      <c r="W14" s="58" t="n"/>
      <c r="X14" s="58" t="n"/>
      <c r="Y14" s="60" t="n"/>
      <c r="Z14" s="60" t="n"/>
      <c r="AA14" s="60" t="n"/>
    </row>
    <row r="15" ht="22.5" customFormat="1" customHeight="1" s="353">
      <c r="A15" s="354" t="inlineStr">
        <is>
          <t>Телефон по работе с претензиями/жалобами (WhatSapp): 8 (980) 757-69-93       E-mail: Claims@abiproduct.ru</t>
        </is>
      </c>
      <c r="B15" s="633" t="n"/>
      <c r="C15" s="633" t="n"/>
      <c r="D15" s="633" t="n"/>
      <c r="E15" s="633" t="n"/>
      <c r="F15" s="633" t="n"/>
      <c r="G15" s="633" t="n"/>
      <c r="H15" s="633" t="n"/>
      <c r="I15" s="633" t="n"/>
      <c r="J15" s="633" t="n"/>
      <c r="K15" s="634" t="n"/>
      <c r="M15" s="356" t="inlineStr">
        <is>
          <t>Кликните на продукт, чтобы просмотреть изображение</t>
        </is>
      </c>
      <c r="U15" s="353" t="n"/>
      <c r="V15" s="353" t="n"/>
      <c r="W15" s="353" t="n"/>
      <c r="X15" s="353" t="n"/>
      <c r="Y15" s="60" t="n"/>
      <c r="Z15" s="60" t="n"/>
      <c r="AA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658" t="n"/>
      <c r="N16" s="658" t="n"/>
      <c r="O16" s="658" t="n"/>
      <c r="P16" s="658" t="n"/>
      <c r="Q16" s="658" t="n"/>
      <c r="R16" s="8" t="n"/>
      <c r="S16" s="8" t="n"/>
      <c r="T16" s="10" t="n"/>
      <c r="U16" s="11" t="n"/>
      <c r="V16" s="11" t="n"/>
      <c r="W16" s="11" t="n"/>
      <c r="X16" s="11" t="n"/>
      <c r="Y16" s="11" t="n"/>
    </row>
    <row r="17" ht="27.75" customHeight="1">
      <c r="A17" s="358" t="inlineStr">
        <is>
          <t>Код единицы продаж</t>
        </is>
      </c>
      <c r="B17" s="358" t="inlineStr">
        <is>
          <t>Код продукта</t>
        </is>
      </c>
      <c r="C17" s="359" t="inlineStr">
        <is>
          <t>Номер варианта</t>
        </is>
      </c>
      <c r="D17" s="358" t="inlineStr">
        <is>
          <t xml:space="preserve">Штрих-код </t>
        </is>
      </c>
      <c r="E17" s="659" t="n"/>
      <c r="F17" s="358" t="inlineStr">
        <is>
          <t>Вес нетто штуки, кг</t>
        </is>
      </c>
      <c r="G17" s="358" t="inlineStr">
        <is>
          <t>Кол-во штук в коробе, шт</t>
        </is>
      </c>
      <c r="H17" s="358" t="inlineStr">
        <is>
          <t>Вес нетто короба, кг</t>
        </is>
      </c>
      <c r="I17" s="358" t="inlineStr">
        <is>
          <t>Вес брутто короба, кг</t>
        </is>
      </c>
      <c r="J17" s="358" t="inlineStr">
        <is>
          <t>Кол-во кор. на паллте, шт</t>
        </is>
      </c>
      <c r="K17" s="358" t="inlineStr">
        <is>
          <t>Завод</t>
        </is>
      </c>
      <c r="L17" s="358" t="inlineStr">
        <is>
          <t>Срок годности, сут.</t>
        </is>
      </c>
      <c r="M17" s="358" t="inlineStr">
        <is>
          <t>Наименование</t>
        </is>
      </c>
      <c r="N17" s="660" t="n"/>
      <c r="O17" s="660" t="n"/>
      <c r="P17" s="660" t="n"/>
      <c r="Q17" s="659" t="n"/>
      <c r="R17" s="357" t="inlineStr">
        <is>
          <t>Доступно к отгрузке</t>
        </is>
      </c>
      <c r="S17" s="634" t="n"/>
      <c r="T17" s="358" t="inlineStr">
        <is>
          <t>Ед. изм.</t>
        </is>
      </c>
      <c r="U17" s="358" t="inlineStr">
        <is>
          <t>Заказ</t>
        </is>
      </c>
      <c r="V17" s="362" t="inlineStr">
        <is>
          <t>Заказ с округлением до короба</t>
        </is>
      </c>
      <c r="W17" s="358" t="inlineStr">
        <is>
          <t>Объём заказа, м3</t>
        </is>
      </c>
      <c r="X17" s="364" t="inlineStr">
        <is>
          <t>Примечание по продуктку</t>
        </is>
      </c>
      <c r="Y17" s="364" t="inlineStr">
        <is>
          <t>Признак "НОВИНКА"</t>
        </is>
      </c>
      <c r="Z17" s="364" t="inlineStr">
        <is>
          <t>Для формул</t>
        </is>
      </c>
      <c r="AA17" s="661" t="n"/>
      <c r="AB17" s="662" t="n"/>
      <c r="AC17" s="371" t="inlineStr">
        <is>
          <t>Вид продукции</t>
        </is>
      </c>
    </row>
    <row r="18" ht="14.25" customHeight="1">
      <c r="A18" s="663" t="n"/>
      <c r="B18" s="663" t="n"/>
      <c r="C18" s="663" t="n"/>
      <c r="D18" s="664" t="n"/>
      <c r="E18" s="665" t="n"/>
      <c r="F18" s="663" t="n"/>
      <c r="G18" s="663" t="n"/>
      <c r="H18" s="663" t="n"/>
      <c r="I18" s="663" t="n"/>
      <c r="J18" s="663" t="n"/>
      <c r="K18" s="663" t="n"/>
      <c r="L18" s="663" t="n"/>
      <c r="M18" s="664" t="n"/>
      <c r="N18" s="666" t="n"/>
      <c r="O18" s="666" t="n"/>
      <c r="P18" s="666" t="n"/>
      <c r="Q18" s="665" t="n"/>
      <c r="R18" s="357" t="inlineStr">
        <is>
          <t>начиная с</t>
        </is>
      </c>
      <c r="S18" s="357" t="inlineStr">
        <is>
          <t>до</t>
        </is>
      </c>
      <c r="T18" s="663" t="n"/>
      <c r="U18" s="663" t="n"/>
      <c r="V18" s="667" t="n"/>
      <c r="W18" s="663" t="n"/>
      <c r="X18" s="668" t="n"/>
      <c r="Y18" s="668" t="n"/>
      <c r="Z18" s="669" t="n"/>
      <c r="AA18" s="670" t="n"/>
      <c r="AB18" s="671" t="n"/>
      <c r="AC18" s="672" t="n"/>
    </row>
    <row r="19" ht="27.75" customHeight="1">
      <c r="A19" s="372" t="inlineStr">
        <is>
          <t>Ядрена копоть</t>
        </is>
      </c>
      <c r="B19" s="673" t="n"/>
      <c r="C19" s="673" t="n"/>
      <c r="D19" s="673" t="n"/>
      <c r="E19" s="673" t="n"/>
      <c r="F19" s="673" t="n"/>
      <c r="G19" s="673" t="n"/>
      <c r="H19" s="673" t="n"/>
      <c r="I19" s="673" t="n"/>
      <c r="J19" s="673" t="n"/>
      <c r="K19" s="673" t="n"/>
      <c r="L19" s="673" t="n"/>
      <c r="M19" s="673" t="n"/>
      <c r="N19" s="673" t="n"/>
      <c r="O19" s="673" t="n"/>
      <c r="P19" s="673" t="n"/>
      <c r="Q19" s="673" t="n"/>
      <c r="R19" s="673" t="n"/>
      <c r="S19" s="673" t="n"/>
      <c r="T19" s="673" t="n"/>
      <c r="U19" s="673" t="n"/>
      <c r="V19" s="673" t="n"/>
      <c r="W19" s="673" t="n"/>
      <c r="X19" s="55" t="n"/>
      <c r="Y19" s="55" t="n"/>
    </row>
    <row r="20" ht="16.5" customHeight="1">
      <c r="A20" s="373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373" t="n"/>
      <c r="Y20" s="373" t="n"/>
    </row>
    <row r="21" ht="14.25" customHeight="1">
      <c r="A21" s="374" t="inlineStr">
        <is>
          <t>Копченые колбасы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374" t="n"/>
      <c r="Y21" s="374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75" t="n">
        <v>4607091389258</v>
      </c>
      <c r="E22" s="642" t="n"/>
      <c r="F22" s="674" t="n">
        <v>0.3</v>
      </c>
      <c r="G22" s="38" t="n">
        <v>6</v>
      </c>
      <c r="H22" s="674" t="n">
        <v>1.8</v>
      </c>
      <c r="I22" s="674" t="n">
        <v>2</v>
      </c>
      <c r="J22" s="38" t="n">
        <v>156</v>
      </c>
      <c r="K22" s="39" t="inlineStr">
        <is>
          <t>СК2</t>
        </is>
      </c>
      <c r="L22" s="38" t="n">
        <v>35</v>
      </c>
      <c r="M22" s="675">
        <f>HYPERLINK("https:///products/Охлажденные/Ядрена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N22" s="676" t="n"/>
      <c r="O22" s="676" t="n"/>
      <c r="P22" s="676" t="n"/>
      <c r="Q22" s="642" t="n"/>
      <c r="R22" s="40" t="inlineStr"/>
      <c r="S22" s="40" t="inlineStr"/>
      <c r="T22" s="41" t="inlineStr">
        <is>
          <t>кг</t>
        </is>
      </c>
      <c r="U22" s="677" t="n">
        <v>0</v>
      </c>
      <c r="V22" s="678">
        <f>IFERROR(IF(U22="",0,CEILING((U22/$H22),1)*$H22),"")</f>
        <v/>
      </c>
      <c r="W22" s="42">
        <f>IFERROR(IF(V22=0,"",ROUNDUP(V22/H22,0)*0.00753),"")</f>
        <v/>
      </c>
      <c r="X22" s="69" t="inlineStr"/>
      <c r="Y22" s="70" t="inlineStr"/>
      <c r="AC22" s="72" t="inlineStr">
        <is>
          <t>КИ</t>
        </is>
      </c>
    </row>
    <row r="23">
      <c r="A23" s="383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679" t="n"/>
      <c r="M23" s="680" t="inlineStr">
        <is>
          <t>Итого</t>
        </is>
      </c>
      <c r="N23" s="650" t="n"/>
      <c r="O23" s="650" t="n"/>
      <c r="P23" s="650" t="n"/>
      <c r="Q23" s="650" t="n"/>
      <c r="R23" s="650" t="n"/>
      <c r="S23" s="651" t="n"/>
      <c r="T23" s="43" t="inlineStr">
        <is>
          <t>кор</t>
        </is>
      </c>
      <c r="U23" s="681">
        <f>IFERROR(U22/H22,"0")</f>
        <v/>
      </c>
      <c r="V23" s="681">
        <f>IFERROR(V22/H22,"0")</f>
        <v/>
      </c>
      <c r="W23" s="681">
        <f>IFERROR(IF(W22="",0,W22),"0")</f>
        <v/>
      </c>
      <c r="X23" s="682" t="n"/>
      <c r="Y23" s="682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679" t="n"/>
      <c r="M24" s="680" t="inlineStr">
        <is>
          <t>Итого</t>
        </is>
      </c>
      <c r="N24" s="650" t="n"/>
      <c r="O24" s="650" t="n"/>
      <c r="P24" s="650" t="n"/>
      <c r="Q24" s="650" t="n"/>
      <c r="R24" s="650" t="n"/>
      <c r="S24" s="651" t="n"/>
      <c r="T24" s="43" t="inlineStr">
        <is>
          <t>кг</t>
        </is>
      </c>
      <c r="U24" s="681">
        <f>IFERROR(SUM(U22:U22),"0")</f>
        <v/>
      </c>
      <c r="V24" s="681">
        <f>IFERROR(SUM(V22:V22),"0")</f>
        <v/>
      </c>
      <c r="W24" s="43" t="n"/>
      <c r="X24" s="682" t="n"/>
      <c r="Y24" s="682" t="n"/>
    </row>
    <row r="25" ht="14.25" customHeight="1">
      <c r="A25" s="374" t="inlineStr">
        <is>
          <t>Сосиски</t>
        </is>
      </c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374" t="n"/>
      <c r="Y25" s="374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75" t="n">
        <v>4607091383881</v>
      </c>
      <c r="E26" s="642" t="n"/>
      <c r="F26" s="674" t="n">
        <v>0.33</v>
      </c>
      <c r="G26" s="38" t="n">
        <v>6</v>
      </c>
      <c r="H26" s="674" t="n">
        <v>1.98</v>
      </c>
      <c r="I26" s="674" t="n">
        <v>2.246</v>
      </c>
      <c r="J26" s="38" t="n">
        <v>156</v>
      </c>
      <c r="K26" s="39" t="inlineStr">
        <is>
          <t>СК2</t>
        </is>
      </c>
      <c r="L26" s="38" t="n">
        <v>35</v>
      </c>
      <c r="M26" s="683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N26" s="676" t="n"/>
      <c r="O26" s="676" t="n"/>
      <c r="P26" s="676" t="n"/>
      <c r="Q26" s="642" t="n"/>
      <c r="R26" s="40" t="inlineStr"/>
      <c r="S26" s="40" t="inlineStr"/>
      <c r="T26" s="41" t="inlineStr">
        <is>
          <t>кг</t>
        </is>
      </c>
      <c r="U26" s="677" t="n">
        <v>0</v>
      </c>
      <c r="V26" s="678">
        <f>IFERROR(IF(U26="",0,CEILING((U26/$H26),1)*$H26),"")</f>
        <v/>
      </c>
      <c r="W26" s="42">
        <f>IFERROR(IF(V26=0,"",ROUNDUP(V26/H26,0)*0.00753),"")</f>
        <v/>
      </c>
      <c r="X26" s="69" t="inlineStr"/>
      <c r="Y26" s="70" t="inlineStr"/>
      <c r="AC26" s="73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75" t="n">
        <v>4607091388237</v>
      </c>
      <c r="E27" s="642" t="n"/>
      <c r="F27" s="674" t="n">
        <v>0.42</v>
      </c>
      <c r="G27" s="38" t="n">
        <v>6</v>
      </c>
      <c r="H27" s="674" t="n">
        <v>2.52</v>
      </c>
      <c r="I27" s="674" t="n">
        <v>2.786</v>
      </c>
      <c r="J27" s="38" t="n">
        <v>156</v>
      </c>
      <c r="K27" s="39" t="inlineStr">
        <is>
          <t>СК2</t>
        </is>
      </c>
      <c r="L27" s="38" t="n">
        <v>35</v>
      </c>
      <c r="M27" s="684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N27" s="676" t="n"/>
      <c r="O27" s="676" t="n"/>
      <c r="P27" s="676" t="n"/>
      <c r="Q27" s="642" t="n"/>
      <c r="R27" s="40" t="inlineStr"/>
      <c r="S27" s="40" t="inlineStr"/>
      <c r="T27" s="41" t="inlineStr">
        <is>
          <t>кг</t>
        </is>
      </c>
      <c r="U27" s="677" t="n">
        <v>0</v>
      </c>
      <c r="V27" s="678">
        <f>IFERROR(IF(U27="",0,CEILING((U27/$H27),1)*$H27),"")</f>
        <v/>
      </c>
      <c r="W27" s="42">
        <f>IFERROR(IF(V27=0,"",ROUNDUP(V27/H27,0)*0.00753),"")</f>
        <v/>
      </c>
      <c r="X27" s="69" t="inlineStr"/>
      <c r="Y27" s="70" t="inlineStr"/>
      <c r="AC27" s="74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75" t="n">
        <v>4607091383935</v>
      </c>
      <c r="E28" s="642" t="n"/>
      <c r="F28" s="674" t="n">
        <v>0.33</v>
      </c>
      <c r="G28" s="38" t="n">
        <v>6</v>
      </c>
      <c r="H28" s="674" t="n">
        <v>1.98</v>
      </c>
      <c r="I28" s="674" t="n">
        <v>2.246</v>
      </c>
      <c r="J28" s="38" t="n">
        <v>156</v>
      </c>
      <c r="K28" s="39" t="inlineStr">
        <is>
          <t>СК2</t>
        </is>
      </c>
      <c r="L28" s="38" t="n">
        <v>30</v>
      </c>
      <c r="M28" s="685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N28" s="676" t="n"/>
      <c r="O28" s="676" t="n"/>
      <c r="P28" s="676" t="n"/>
      <c r="Q28" s="642" t="n"/>
      <c r="R28" s="40" t="inlineStr"/>
      <c r="S28" s="40" t="inlineStr"/>
      <c r="T28" s="41" t="inlineStr">
        <is>
          <t>кг</t>
        </is>
      </c>
      <c r="U28" s="677" t="n">
        <v>0</v>
      </c>
      <c r="V28" s="678">
        <f>IFERROR(IF(U28="",0,CEILING((U28/$H28),1)*$H28),"")</f>
        <v/>
      </c>
      <c r="W28" s="42">
        <f>IFERROR(IF(V28=0,"",ROUNDUP(V28/H28,0)*0.00753),"")</f>
        <v/>
      </c>
      <c r="X28" s="69" t="inlineStr"/>
      <c r="Y28" s="70" t="inlineStr"/>
      <c r="AC28" s="75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75" t="n">
        <v>4680115881853</v>
      </c>
      <c r="E29" s="642" t="n"/>
      <c r="F29" s="674" t="n">
        <v>0.33</v>
      </c>
      <c r="G29" s="38" t="n">
        <v>6</v>
      </c>
      <c r="H29" s="674" t="n">
        <v>1.98</v>
      </c>
      <c r="I29" s="674" t="n">
        <v>2.246</v>
      </c>
      <c r="J29" s="38" t="n">
        <v>156</v>
      </c>
      <c r="K29" s="39" t="inlineStr">
        <is>
          <t>СК2</t>
        </is>
      </c>
      <c r="L29" s="38" t="n">
        <v>30</v>
      </c>
      <c r="M29" s="686">
        <f>HYPERLINK("https:///products/Охлажденные/Ядрена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N29" s="676" t="n"/>
      <c r="O29" s="676" t="n"/>
      <c r="P29" s="676" t="n"/>
      <c r="Q29" s="642" t="n"/>
      <c r="R29" s="40" t="inlineStr"/>
      <c r="S29" s="40" t="inlineStr"/>
      <c r="T29" s="41" t="inlineStr">
        <is>
          <t>кг</t>
        </is>
      </c>
      <c r="U29" s="677" t="n">
        <v>0</v>
      </c>
      <c r="V29" s="678">
        <f>IFERROR(IF(U29="",0,CEILING((U29/$H29),1)*$H29),"")</f>
        <v/>
      </c>
      <c r="W29" s="42">
        <f>IFERROR(IF(V29=0,"",ROUNDUP(V29/H29,0)*0.00753),"")</f>
        <v/>
      </c>
      <c r="X29" s="69" t="inlineStr"/>
      <c r="Y29" s="70" t="inlineStr"/>
      <c r="AC29" s="76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75" t="n">
        <v>4607091383911</v>
      </c>
      <c r="E30" s="642" t="n"/>
      <c r="F30" s="674" t="n">
        <v>0.33</v>
      </c>
      <c r="G30" s="38" t="n">
        <v>6</v>
      </c>
      <c r="H30" s="674" t="n">
        <v>1.98</v>
      </c>
      <c r="I30" s="674" t="n">
        <v>2.246</v>
      </c>
      <c r="J30" s="38" t="n">
        <v>156</v>
      </c>
      <c r="K30" s="39" t="inlineStr">
        <is>
          <t>СК2</t>
        </is>
      </c>
      <c r="L30" s="38" t="n">
        <v>35</v>
      </c>
      <c r="M30" s="687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N30" s="676" t="n"/>
      <c r="O30" s="676" t="n"/>
      <c r="P30" s="676" t="n"/>
      <c r="Q30" s="642" t="n"/>
      <c r="R30" s="40" t="inlineStr"/>
      <c r="S30" s="40" t="inlineStr"/>
      <c r="T30" s="41" t="inlineStr">
        <is>
          <t>кг</t>
        </is>
      </c>
      <c r="U30" s="677" t="n">
        <v>0</v>
      </c>
      <c r="V30" s="678">
        <f>IFERROR(IF(U30="",0,CEILING((U30/$H30),1)*$H30),"")</f>
        <v/>
      </c>
      <c r="W30" s="42">
        <f>IFERROR(IF(V30=0,"",ROUNDUP(V30/H30,0)*0.00753),"")</f>
        <v/>
      </c>
      <c r="X30" s="69" t="inlineStr"/>
      <c r="Y30" s="70" t="inlineStr"/>
      <c r="AC30" s="77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75" t="n">
        <v>4607091388244</v>
      </c>
      <c r="E31" s="642" t="n"/>
      <c r="F31" s="674" t="n">
        <v>0.42</v>
      </c>
      <c r="G31" s="38" t="n">
        <v>6</v>
      </c>
      <c r="H31" s="674" t="n">
        <v>2.52</v>
      </c>
      <c r="I31" s="674" t="n">
        <v>2.786</v>
      </c>
      <c r="J31" s="38" t="n">
        <v>156</v>
      </c>
      <c r="K31" s="39" t="inlineStr">
        <is>
          <t>СК2</t>
        </is>
      </c>
      <c r="L31" s="38" t="n">
        <v>35</v>
      </c>
      <c r="M31" s="688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N31" s="676" t="n"/>
      <c r="O31" s="676" t="n"/>
      <c r="P31" s="676" t="n"/>
      <c r="Q31" s="642" t="n"/>
      <c r="R31" s="40" t="inlineStr"/>
      <c r="S31" s="40" t="inlineStr"/>
      <c r="T31" s="41" t="inlineStr">
        <is>
          <t>кг</t>
        </is>
      </c>
      <c r="U31" s="677" t="n">
        <v>0</v>
      </c>
      <c r="V31" s="678">
        <f>IFERROR(IF(U31="",0,CEILING((U31/$H31),1)*$H31),"")</f>
        <v/>
      </c>
      <c r="W31" s="42">
        <f>IFERROR(IF(V31=0,"",ROUNDUP(V31/H31,0)*0.00753),"")</f>
        <v/>
      </c>
      <c r="X31" s="69" t="inlineStr"/>
      <c r="Y31" s="70" t="inlineStr"/>
      <c r="AC31" s="78" t="inlineStr">
        <is>
          <t>КИ</t>
        </is>
      </c>
    </row>
    <row r="32">
      <c r="A32" s="383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679" t="n"/>
      <c r="M32" s="680" t="inlineStr">
        <is>
          <t>Итого</t>
        </is>
      </c>
      <c r="N32" s="650" t="n"/>
      <c r="O32" s="650" t="n"/>
      <c r="P32" s="650" t="n"/>
      <c r="Q32" s="650" t="n"/>
      <c r="R32" s="650" t="n"/>
      <c r="S32" s="651" t="n"/>
      <c r="T32" s="43" t="inlineStr">
        <is>
          <t>кор</t>
        </is>
      </c>
      <c r="U32" s="681">
        <f>IFERROR(U26/H26,"0")+IFERROR(U27/H27,"0")+IFERROR(U28/H28,"0")+IFERROR(U29/H29,"0")+IFERROR(U30/H30,"0")+IFERROR(U31/H31,"0")</f>
        <v/>
      </c>
      <c r="V32" s="681">
        <f>IFERROR(V26/H26,"0")+IFERROR(V27/H27,"0")+IFERROR(V28/H28,"0")+IFERROR(V29/H29,"0")+IFERROR(V30/H30,"0")+IFERROR(V31/H31,"0")</f>
        <v/>
      </c>
      <c r="W32" s="681">
        <f>IFERROR(IF(W26="",0,W26),"0")+IFERROR(IF(W27="",0,W27),"0")+IFERROR(IF(W28="",0,W28),"0")+IFERROR(IF(W29="",0,W29),"0")+IFERROR(IF(W30="",0,W30),"0")+IFERROR(IF(W31="",0,W31),"0")</f>
        <v/>
      </c>
      <c r="X32" s="682" t="n"/>
      <c r="Y32" s="682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679" t="n"/>
      <c r="M33" s="680" t="inlineStr">
        <is>
          <t>Итого</t>
        </is>
      </c>
      <c r="N33" s="650" t="n"/>
      <c r="O33" s="650" t="n"/>
      <c r="P33" s="650" t="n"/>
      <c r="Q33" s="650" t="n"/>
      <c r="R33" s="650" t="n"/>
      <c r="S33" s="651" t="n"/>
      <c r="T33" s="43" t="inlineStr">
        <is>
          <t>кг</t>
        </is>
      </c>
      <c r="U33" s="681">
        <f>IFERROR(SUM(U26:U31),"0")</f>
        <v/>
      </c>
      <c r="V33" s="681">
        <f>IFERROR(SUM(V26:V31),"0")</f>
        <v/>
      </c>
      <c r="W33" s="43" t="n"/>
      <c r="X33" s="682" t="n"/>
      <c r="Y33" s="682" t="n"/>
    </row>
    <row r="34" ht="14.25" customHeight="1">
      <c r="A34" s="374" t="inlineStr">
        <is>
          <t>Сырокопченые колбасы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374" t="n"/>
      <c r="Y34" s="374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75" t="n">
        <v>4607091388503</v>
      </c>
      <c r="E35" s="642" t="n"/>
      <c r="F35" s="674" t="n">
        <v>0.05</v>
      </c>
      <c r="G35" s="38" t="n">
        <v>12</v>
      </c>
      <c r="H35" s="674" t="n">
        <v>0.6</v>
      </c>
      <c r="I35" s="674" t="n">
        <v>0.842</v>
      </c>
      <c r="J35" s="38" t="n">
        <v>156</v>
      </c>
      <c r="K35" s="39" t="inlineStr">
        <is>
          <t>АК</t>
        </is>
      </c>
      <c r="L35" s="38" t="n">
        <v>120</v>
      </c>
      <c r="M35" s="689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N35" s="676" t="n"/>
      <c r="O35" s="676" t="n"/>
      <c r="P35" s="676" t="n"/>
      <c r="Q35" s="642" t="n"/>
      <c r="R35" s="40" t="inlineStr"/>
      <c r="S35" s="40" t="inlineStr"/>
      <c r="T35" s="41" t="inlineStr">
        <is>
          <t>кг</t>
        </is>
      </c>
      <c r="U35" s="677" t="n">
        <v>0</v>
      </c>
      <c r="V35" s="678">
        <f>IFERROR(IF(U35="",0,CEILING((U35/$H35),1)*$H35),"")</f>
        <v/>
      </c>
      <c r="W35" s="42">
        <f>IFERROR(IF(V35=0,"",ROUNDUP(V35/H35,0)*0.00753),"")</f>
        <v/>
      </c>
      <c r="X35" s="69" t="inlineStr"/>
      <c r="Y35" s="70" t="inlineStr"/>
      <c r="AC35" s="79" t="inlineStr">
        <is>
          <t>СНК</t>
        </is>
      </c>
    </row>
    <row r="36" ht="27" customHeight="1">
      <c r="A36" s="64" t="inlineStr">
        <is>
          <t>SU002648</t>
        </is>
      </c>
      <c r="B36" s="64" t="inlineStr">
        <is>
          <t>P003009</t>
        </is>
      </c>
      <c r="C36" s="37" t="n">
        <v>4301032036</v>
      </c>
      <c r="D36" s="375" t="n">
        <v>4680115880139</v>
      </c>
      <c r="E36" s="642" t="n"/>
      <c r="F36" s="674" t="n">
        <v>0.025</v>
      </c>
      <c r="G36" s="38" t="n">
        <v>10</v>
      </c>
      <c r="H36" s="674" t="n">
        <v>0.25</v>
      </c>
      <c r="I36" s="674" t="n">
        <v>0.41</v>
      </c>
      <c r="J36" s="38" t="n">
        <v>234</v>
      </c>
      <c r="K36" s="39" t="inlineStr">
        <is>
          <t>МТК</t>
        </is>
      </c>
      <c r="L36" s="38" t="n">
        <v>120</v>
      </c>
      <c r="M36" s="690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/>
      </c>
      <c r="N36" s="676" t="n"/>
      <c r="O36" s="676" t="n"/>
      <c r="P36" s="676" t="n"/>
      <c r="Q36" s="642" t="n"/>
      <c r="R36" s="40" t="inlineStr"/>
      <c r="S36" s="40" t="inlineStr"/>
      <c r="T36" s="41" t="inlineStr">
        <is>
          <t>кг</t>
        </is>
      </c>
      <c r="U36" s="677" t="n">
        <v>0</v>
      </c>
      <c r="V36" s="678">
        <f>IFERROR(IF(U36="",0,CEILING((U36/$H36),1)*$H36),"")</f>
        <v/>
      </c>
      <c r="W36" s="42">
        <f>IFERROR(IF(V36=0,"",ROUNDUP(V36/H36,0)*0.00502),"")</f>
        <v/>
      </c>
      <c r="X36" s="69" t="inlineStr"/>
      <c r="Y36" s="70" t="inlineStr"/>
      <c r="AC36" s="80" t="inlineStr">
        <is>
          <t>СНК</t>
        </is>
      </c>
    </row>
    <row r="37">
      <c r="A37" s="383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679" t="n"/>
      <c r="M37" s="680" t="inlineStr">
        <is>
          <t>Итого</t>
        </is>
      </c>
      <c r="N37" s="650" t="n"/>
      <c r="O37" s="650" t="n"/>
      <c r="P37" s="650" t="n"/>
      <c r="Q37" s="650" t="n"/>
      <c r="R37" s="650" t="n"/>
      <c r="S37" s="651" t="n"/>
      <c r="T37" s="43" t="inlineStr">
        <is>
          <t>кор</t>
        </is>
      </c>
      <c r="U37" s="681">
        <f>IFERROR(U35/H35,"0")+IFERROR(U36/H36,"0")</f>
        <v/>
      </c>
      <c r="V37" s="681">
        <f>IFERROR(V35/H35,"0")+IFERROR(V36/H36,"0")</f>
        <v/>
      </c>
      <c r="W37" s="681">
        <f>IFERROR(IF(W35="",0,W35),"0")+IFERROR(IF(W36="",0,W36),"0")</f>
        <v/>
      </c>
      <c r="X37" s="682" t="n"/>
      <c r="Y37" s="682" t="n"/>
    </row>
    <row r="3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679" t="n"/>
      <c r="M38" s="680" t="inlineStr">
        <is>
          <t>Итого</t>
        </is>
      </c>
      <c r="N38" s="650" t="n"/>
      <c r="O38" s="650" t="n"/>
      <c r="P38" s="650" t="n"/>
      <c r="Q38" s="650" t="n"/>
      <c r="R38" s="650" t="n"/>
      <c r="S38" s="651" t="n"/>
      <c r="T38" s="43" t="inlineStr">
        <is>
          <t>кг</t>
        </is>
      </c>
      <c r="U38" s="681">
        <f>IFERROR(SUM(U35:U36),"0")</f>
        <v/>
      </c>
      <c r="V38" s="681">
        <f>IFERROR(SUM(V35:V36),"0")</f>
        <v/>
      </c>
      <c r="W38" s="43" t="n"/>
      <c r="X38" s="682" t="n"/>
      <c r="Y38" s="682" t="n"/>
    </row>
    <row r="39" ht="14.25" customHeight="1">
      <c r="A39" s="374" t="inlineStr">
        <is>
          <t>Продукты из мяса птицы копчено-вареные</t>
        </is>
      </c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374" t="n"/>
      <c r="Y39" s="374" t="n"/>
    </row>
    <row r="40" ht="80.25" customHeight="1">
      <c r="A40" s="64" t="inlineStr">
        <is>
          <t>SU001872</t>
        </is>
      </c>
      <c r="B40" s="64" t="inlineStr">
        <is>
          <t>P001933</t>
        </is>
      </c>
      <c r="C40" s="37" t="n">
        <v>4301160001</v>
      </c>
      <c r="D40" s="375" t="n">
        <v>4607091388282</v>
      </c>
      <c r="E40" s="642" t="n"/>
      <c r="F40" s="674" t="n">
        <v>0.3</v>
      </c>
      <c r="G40" s="38" t="n">
        <v>6</v>
      </c>
      <c r="H40" s="674" t="n">
        <v>1.8</v>
      </c>
      <c r="I40" s="674" t="n">
        <v>2.084</v>
      </c>
      <c r="J40" s="38" t="n">
        <v>156</v>
      </c>
      <c r="K40" s="39" t="inlineStr">
        <is>
          <t>АК</t>
        </is>
      </c>
      <c r="L40" s="38" t="n">
        <v>30</v>
      </c>
      <c r="M40" s="691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N40" s="676" t="n"/>
      <c r="O40" s="676" t="n"/>
      <c r="P40" s="676" t="n"/>
      <c r="Q40" s="642" t="n"/>
      <c r="R40" s="40" t="inlineStr"/>
      <c r="S40" s="40" t="inlineStr"/>
      <c r="T40" s="41" t="inlineStr">
        <is>
          <t>кг</t>
        </is>
      </c>
      <c r="U40" s="677" t="n">
        <v>0</v>
      </c>
      <c r="V40" s="678">
        <f>IFERROR(IF(U40="",0,CEILING((U40/$H40),1)*$H40),"")</f>
        <v/>
      </c>
      <c r="W40" s="42">
        <f>IFERROR(IF(V40=0,"",ROUNDUP(V40/H40,0)*0.00753),"")</f>
        <v/>
      </c>
      <c r="X40" s="69" t="inlineStr">
        <is>
          <t>Предзаказ по четвергам до 12:00 на отгрузку со вторника следующей недели</t>
        </is>
      </c>
      <c r="Y40" s="70" t="inlineStr"/>
      <c r="AC40" s="81" t="inlineStr">
        <is>
          <t>КИ</t>
        </is>
      </c>
    </row>
    <row r="41">
      <c r="A41" s="383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679" t="n"/>
      <c r="M41" s="680" t="inlineStr">
        <is>
          <t>Итого</t>
        </is>
      </c>
      <c r="N41" s="650" t="n"/>
      <c r="O41" s="650" t="n"/>
      <c r="P41" s="650" t="n"/>
      <c r="Q41" s="650" t="n"/>
      <c r="R41" s="650" t="n"/>
      <c r="S41" s="651" t="n"/>
      <c r="T41" s="43" t="inlineStr">
        <is>
          <t>кор</t>
        </is>
      </c>
      <c r="U41" s="681">
        <f>IFERROR(U40/H40,"0")</f>
        <v/>
      </c>
      <c r="V41" s="681">
        <f>IFERROR(V40/H40,"0")</f>
        <v/>
      </c>
      <c r="W41" s="681">
        <f>IFERROR(IF(W40="",0,W40),"0")</f>
        <v/>
      </c>
      <c r="X41" s="682" t="n"/>
      <c r="Y41" s="682" t="n"/>
    </row>
    <row r="42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679" t="n"/>
      <c r="M42" s="680" t="inlineStr">
        <is>
          <t>Итого</t>
        </is>
      </c>
      <c r="N42" s="650" t="n"/>
      <c r="O42" s="650" t="n"/>
      <c r="P42" s="650" t="n"/>
      <c r="Q42" s="650" t="n"/>
      <c r="R42" s="650" t="n"/>
      <c r="S42" s="651" t="n"/>
      <c r="T42" s="43" t="inlineStr">
        <is>
          <t>кг</t>
        </is>
      </c>
      <c r="U42" s="681">
        <f>IFERROR(SUM(U40:U40),"0")</f>
        <v/>
      </c>
      <c r="V42" s="681">
        <f>IFERROR(SUM(V40:V40),"0")</f>
        <v/>
      </c>
      <c r="W42" s="43" t="n"/>
      <c r="X42" s="682" t="n"/>
      <c r="Y42" s="682" t="n"/>
    </row>
    <row r="43" ht="14.25" customHeight="1">
      <c r="A43" s="374" t="inlineStr">
        <is>
          <t>Сыровяленые колбасы</t>
        </is>
      </c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374" t="n"/>
      <c r="Y43" s="374" t="n"/>
    </row>
    <row r="44" ht="27" customHeight="1">
      <c r="A44" s="64" t="inlineStr">
        <is>
          <t>SU002049</t>
        </is>
      </c>
      <c r="B44" s="64" t="inlineStr">
        <is>
          <t>P002191</t>
        </is>
      </c>
      <c r="C44" s="37" t="n">
        <v>4301170002</v>
      </c>
      <c r="D44" s="375" t="n">
        <v>4607091389111</v>
      </c>
      <c r="E44" s="642" t="n"/>
      <c r="F44" s="674" t="n">
        <v>0.025</v>
      </c>
      <c r="G44" s="38" t="n">
        <v>10</v>
      </c>
      <c r="H44" s="674" t="n">
        <v>0.25</v>
      </c>
      <c r="I44" s="674" t="n">
        <v>0.492</v>
      </c>
      <c r="J44" s="38" t="n">
        <v>156</v>
      </c>
      <c r="K44" s="39" t="inlineStr">
        <is>
          <t>АК</t>
        </is>
      </c>
      <c r="L44" s="38" t="n">
        <v>120</v>
      </c>
      <c r="M44" s="692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/>
      </c>
      <c r="N44" s="676" t="n"/>
      <c r="O44" s="676" t="n"/>
      <c r="P44" s="676" t="n"/>
      <c r="Q44" s="642" t="n"/>
      <c r="R44" s="40" t="inlineStr"/>
      <c r="S44" s="40" t="inlineStr"/>
      <c r="T44" s="41" t="inlineStr">
        <is>
          <t>кг</t>
        </is>
      </c>
      <c r="U44" s="677" t="n">
        <v>0</v>
      </c>
      <c r="V44" s="678">
        <f>IFERROR(IF(U44="",0,CEILING((U44/$H44),1)*$H44),"")</f>
        <v/>
      </c>
      <c r="W44" s="42">
        <f>IFERROR(IF(V44=0,"",ROUNDUP(V44/H44,0)*0.00753),"")</f>
        <v/>
      </c>
      <c r="X44" s="69" t="inlineStr"/>
      <c r="Y44" s="70" t="inlineStr"/>
      <c r="AC44" s="82" t="inlineStr">
        <is>
          <t>СНК</t>
        </is>
      </c>
    </row>
    <row r="45">
      <c r="A45" s="383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679" t="n"/>
      <c r="M45" s="680" t="inlineStr">
        <is>
          <t>Итого</t>
        </is>
      </c>
      <c r="N45" s="650" t="n"/>
      <c r="O45" s="650" t="n"/>
      <c r="P45" s="650" t="n"/>
      <c r="Q45" s="650" t="n"/>
      <c r="R45" s="650" t="n"/>
      <c r="S45" s="651" t="n"/>
      <c r="T45" s="43" t="inlineStr">
        <is>
          <t>кор</t>
        </is>
      </c>
      <c r="U45" s="681">
        <f>IFERROR(U44/H44,"0")</f>
        <v/>
      </c>
      <c r="V45" s="681">
        <f>IFERROR(V44/H44,"0")</f>
        <v/>
      </c>
      <c r="W45" s="681">
        <f>IFERROR(IF(W44="",0,W44),"0")</f>
        <v/>
      </c>
      <c r="X45" s="682" t="n"/>
      <c r="Y45" s="682" t="n"/>
    </row>
    <row r="46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679" t="n"/>
      <c r="M46" s="680" t="inlineStr">
        <is>
          <t>Итого</t>
        </is>
      </c>
      <c r="N46" s="650" t="n"/>
      <c r="O46" s="650" t="n"/>
      <c r="P46" s="650" t="n"/>
      <c r="Q46" s="650" t="n"/>
      <c r="R46" s="650" t="n"/>
      <c r="S46" s="651" t="n"/>
      <c r="T46" s="43" t="inlineStr">
        <is>
          <t>кг</t>
        </is>
      </c>
      <c r="U46" s="681">
        <f>IFERROR(SUM(U44:U44),"0")</f>
        <v/>
      </c>
      <c r="V46" s="681">
        <f>IFERROR(SUM(V44:V44),"0")</f>
        <v/>
      </c>
      <c r="W46" s="43" t="n"/>
      <c r="X46" s="682" t="n"/>
      <c r="Y46" s="682" t="n"/>
    </row>
    <row r="47" ht="27.75" customHeight="1">
      <c r="A47" s="372" t="inlineStr">
        <is>
          <t>Вязанка</t>
        </is>
      </c>
      <c r="B47" s="673" t="n"/>
      <c r="C47" s="673" t="n"/>
      <c r="D47" s="673" t="n"/>
      <c r="E47" s="673" t="n"/>
      <c r="F47" s="673" t="n"/>
      <c r="G47" s="673" t="n"/>
      <c r="H47" s="673" t="n"/>
      <c r="I47" s="673" t="n"/>
      <c r="J47" s="673" t="n"/>
      <c r="K47" s="673" t="n"/>
      <c r="L47" s="673" t="n"/>
      <c r="M47" s="673" t="n"/>
      <c r="N47" s="673" t="n"/>
      <c r="O47" s="673" t="n"/>
      <c r="P47" s="673" t="n"/>
      <c r="Q47" s="673" t="n"/>
      <c r="R47" s="673" t="n"/>
      <c r="S47" s="673" t="n"/>
      <c r="T47" s="673" t="n"/>
      <c r="U47" s="673" t="n"/>
      <c r="V47" s="673" t="n"/>
      <c r="W47" s="673" t="n"/>
      <c r="X47" s="55" t="n"/>
      <c r="Y47" s="55" t="n"/>
    </row>
    <row r="48" ht="16.5" customHeight="1">
      <c r="A48" s="373" t="inlineStr">
        <is>
          <t>Столичная</t>
        </is>
      </c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373" t="n"/>
      <c r="Y48" s="373" t="n"/>
    </row>
    <row r="49" ht="14.25" customHeight="1">
      <c r="A49" s="374" t="inlineStr">
        <is>
          <t>Ветчины</t>
        </is>
      </c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374" t="n"/>
      <c r="Y49" s="374" t="n"/>
    </row>
    <row r="50" ht="27" customHeight="1">
      <c r="A50" s="64" t="inlineStr">
        <is>
          <t>SU002828</t>
        </is>
      </c>
      <c r="B50" s="64" t="inlineStr">
        <is>
          <t>P003234</t>
        </is>
      </c>
      <c r="C50" s="37" t="n">
        <v>4301020234</v>
      </c>
      <c r="D50" s="375" t="n">
        <v>4680115881440</v>
      </c>
      <c r="E50" s="642" t="n"/>
      <c r="F50" s="674" t="n">
        <v>1.35</v>
      </c>
      <c r="G50" s="38" t="n">
        <v>8</v>
      </c>
      <c r="H50" s="674" t="n">
        <v>10.8</v>
      </c>
      <c r="I50" s="674" t="n">
        <v>11.28</v>
      </c>
      <c r="J50" s="38" t="n">
        <v>56</v>
      </c>
      <c r="K50" s="39" t="inlineStr">
        <is>
          <t>СК1</t>
        </is>
      </c>
      <c r="L50" s="38" t="n">
        <v>50</v>
      </c>
      <c r="M50" s="693">
        <f>HYPERLINK("https://abi.ru/products/Охлажденные/Вязанка/Столичная/Ветчины/P003234/","Ветчины «Филейская» Весовые Вектор ТМ «Вязанка»")</f>
        <v/>
      </c>
      <c r="N50" s="676" t="n"/>
      <c r="O50" s="676" t="n"/>
      <c r="P50" s="676" t="n"/>
      <c r="Q50" s="642" t="n"/>
      <c r="R50" s="40" t="inlineStr"/>
      <c r="S50" s="40" t="inlineStr"/>
      <c r="T50" s="41" t="inlineStr">
        <is>
          <t>кг</t>
        </is>
      </c>
      <c r="U50" s="677" t="n">
        <v>95</v>
      </c>
      <c r="V50" s="678">
        <f>IFERROR(IF(U50="",0,CEILING((U50/$H50),1)*$H50),"")</f>
        <v/>
      </c>
      <c r="W50" s="42">
        <f>IFERROR(IF(V50=0,"",ROUNDUP(V50/H50,0)*0.02175),"")</f>
        <v/>
      </c>
      <c r="X50" s="69" t="inlineStr"/>
      <c r="Y50" s="70" t="inlineStr"/>
      <c r="AC50" s="83" t="inlineStr">
        <is>
          <t>КИ</t>
        </is>
      </c>
    </row>
    <row r="51" ht="27" customHeight="1">
      <c r="A51" s="64" t="inlineStr">
        <is>
          <t>SU002814</t>
        </is>
      </c>
      <c r="B51" s="64" t="inlineStr">
        <is>
          <t>P003226</t>
        </is>
      </c>
      <c r="C51" s="37" t="n">
        <v>4301020232</v>
      </c>
      <c r="D51" s="375" t="n">
        <v>4680115881433</v>
      </c>
      <c r="E51" s="642" t="n"/>
      <c r="F51" s="674" t="n">
        <v>0.45</v>
      </c>
      <c r="G51" s="38" t="n">
        <v>6</v>
      </c>
      <c r="H51" s="674" t="n">
        <v>2.7</v>
      </c>
      <c r="I51" s="674" t="n">
        <v>2.9</v>
      </c>
      <c r="J51" s="38" t="n">
        <v>156</v>
      </c>
      <c r="K51" s="39" t="inlineStr">
        <is>
          <t>СК1</t>
        </is>
      </c>
      <c r="L51" s="38" t="n">
        <v>50</v>
      </c>
      <c r="M51" s="694">
        <f>HYPERLINK("https://abi.ru/products/Охлажденные/Вязанка/Столичная/Ветчины/P003226/","Ветчины «Филейская» Фикс.вес 0,45 Вектор ТМ «Вязанка»")</f>
        <v/>
      </c>
      <c r="N51" s="676" t="n"/>
      <c r="O51" s="676" t="n"/>
      <c r="P51" s="676" t="n"/>
      <c r="Q51" s="642" t="n"/>
      <c r="R51" s="40" t="inlineStr"/>
      <c r="S51" s="40" t="inlineStr"/>
      <c r="T51" s="41" t="inlineStr">
        <is>
          <t>кг</t>
        </is>
      </c>
      <c r="U51" s="677" t="n">
        <v>0</v>
      </c>
      <c r="V51" s="678">
        <f>IFERROR(IF(U51="",0,CEILING((U51/$H51),1)*$H51),"")</f>
        <v/>
      </c>
      <c r="W51" s="42">
        <f>IFERROR(IF(V51=0,"",ROUNDUP(V51/H51,0)*0.00753),"")</f>
        <v/>
      </c>
      <c r="X51" s="69" t="inlineStr"/>
      <c r="Y51" s="70" t="inlineStr"/>
      <c r="AC51" s="84" t="inlineStr">
        <is>
          <t>КИ</t>
        </is>
      </c>
    </row>
    <row r="52">
      <c r="A52" s="383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679" t="n"/>
      <c r="M52" s="680" t="inlineStr">
        <is>
          <t>Итого</t>
        </is>
      </c>
      <c r="N52" s="650" t="n"/>
      <c r="O52" s="650" t="n"/>
      <c r="P52" s="650" t="n"/>
      <c r="Q52" s="650" t="n"/>
      <c r="R52" s="650" t="n"/>
      <c r="S52" s="651" t="n"/>
      <c r="T52" s="43" t="inlineStr">
        <is>
          <t>кор</t>
        </is>
      </c>
      <c r="U52" s="681">
        <f>IFERROR(U50/H50,"0")+IFERROR(U51/H51,"0")</f>
        <v/>
      </c>
      <c r="V52" s="681">
        <f>IFERROR(V50/H50,"0")+IFERROR(V51/H51,"0")</f>
        <v/>
      </c>
      <c r="W52" s="681">
        <f>IFERROR(IF(W50="",0,W50),"0")+IFERROR(IF(W51="",0,W51),"0")</f>
        <v/>
      </c>
      <c r="X52" s="682" t="n"/>
      <c r="Y52" s="682" t="n"/>
    </row>
    <row r="53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679" t="n"/>
      <c r="M53" s="680" t="inlineStr">
        <is>
          <t>Итого</t>
        </is>
      </c>
      <c r="N53" s="650" t="n"/>
      <c r="O53" s="650" t="n"/>
      <c r="P53" s="650" t="n"/>
      <c r="Q53" s="650" t="n"/>
      <c r="R53" s="650" t="n"/>
      <c r="S53" s="651" t="n"/>
      <c r="T53" s="43" t="inlineStr">
        <is>
          <t>кг</t>
        </is>
      </c>
      <c r="U53" s="681">
        <f>IFERROR(SUM(U50:U51),"0")</f>
        <v/>
      </c>
      <c r="V53" s="681">
        <f>IFERROR(SUM(V50:V51),"0")</f>
        <v/>
      </c>
      <c r="W53" s="43" t="n"/>
      <c r="X53" s="682" t="n"/>
      <c r="Y53" s="682" t="n"/>
    </row>
    <row r="54" ht="16.5" customHeight="1">
      <c r="A54" s="373" t="inlineStr">
        <is>
          <t>Классическая</t>
        </is>
      </c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373" t="n"/>
      <c r="Y54" s="373" t="n"/>
    </row>
    <row r="55" ht="14.25" customHeight="1">
      <c r="A55" s="374" t="inlineStr">
        <is>
          <t>Вареные колбасы</t>
        </is>
      </c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374" t="n"/>
      <c r="Y55" s="374" t="n"/>
    </row>
    <row r="56" ht="27" customHeight="1">
      <c r="A56" s="64" t="inlineStr">
        <is>
          <t>SU002829</t>
        </is>
      </c>
      <c r="B56" s="64" t="inlineStr">
        <is>
          <t>P003235</t>
        </is>
      </c>
      <c r="C56" s="37" t="n">
        <v>4301011452</v>
      </c>
      <c r="D56" s="375" t="n">
        <v>4680115881426</v>
      </c>
      <c r="E56" s="642" t="n"/>
      <c r="F56" s="674" t="n">
        <v>1.35</v>
      </c>
      <c r="G56" s="38" t="n">
        <v>8</v>
      </c>
      <c r="H56" s="674" t="n">
        <v>10.8</v>
      </c>
      <c r="I56" s="674" t="n">
        <v>11.28</v>
      </c>
      <c r="J56" s="38" t="n">
        <v>56</v>
      </c>
      <c r="K56" s="39" t="inlineStr">
        <is>
          <t>СК1</t>
        </is>
      </c>
      <c r="L56" s="38" t="n">
        <v>50</v>
      </c>
      <c r="M56" s="695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N56" s="676" t="n"/>
      <c r="O56" s="676" t="n"/>
      <c r="P56" s="676" t="n"/>
      <c r="Q56" s="642" t="n"/>
      <c r="R56" s="40" t="inlineStr"/>
      <c r="S56" s="40" t="inlineStr"/>
      <c r="T56" s="41" t="inlineStr">
        <is>
          <t>кг</t>
        </is>
      </c>
      <c r="U56" s="677" t="n">
        <v>110</v>
      </c>
      <c r="V56" s="678">
        <f>IFERROR(IF(U56="",0,CEILING((U56/$H56),1)*$H56),"")</f>
        <v/>
      </c>
      <c r="W56" s="42">
        <f>IFERROR(IF(V56=0,"",ROUNDUP(V56/H56,0)*0.02175),"")</f>
        <v/>
      </c>
      <c r="X56" s="69" t="inlineStr"/>
      <c r="Y56" s="70" t="inlineStr"/>
      <c r="AC56" s="85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75" t="n">
        <v>4680115881419</v>
      </c>
      <c r="E57" s="642" t="n"/>
      <c r="F57" s="674" t="n">
        <v>0.45</v>
      </c>
      <c r="G57" s="38" t="n">
        <v>10</v>
      </c>
      <c r="H57" s="674" t="n">
        <v>4.5</v>
      </c>
      <c r="I57" s="674" t="n">
        <v>4.74</v>
      </c>
      <c r="J57" s="38" t="n">
        <v>120</v>
      </c>
      <c r="K57" s="39" t="inlineStr">
        <is>
          <t>СК1</t>
        </is>
      </c>
      <c r="L57" s="38" t="n">
        <v>50</v>
      </c>
      <c r="M57" s="696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N57" s="676" t="n"/>
      <c r="O57" s="676" t="n"/>
      <c r="P57" s="676" t="n"/>
      <c r="Q57" s="642" t="n"/>
      <c r="R57" s="40" t="inlineStr"/>
      <c r="S57" s="40" t="inlineStr"/>
      <c r="T57" s="41" t="inlineStr">
        <is>
          <t>кг</t>
        </is>
      </c>
      <c r="U57" s="677" t="n">
        <v>0</v>
      </c>
      <c r="V57" s="678">
        <f>IFERROR(IF(U57="",0,CEILING((U57/$H57),1)*$H57),"")</f>
        <v/>
      </c>
      <c r="W57" s="42">
        <f>IFERROR(IF(V57=0,"",ROUNDUP(V57/H57,0)*0.00937),"")</f>
        <v/>
      </c>
      <c r="X57" s="69" t="inlineStr"/>
      <c r="Y57" s="70" t="inlineStr"/>
      <c r="AC57" s="86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75" t="n">
        <v>4680115881525</v>
      </c>
      <c r="E58" s="642" t="n"/>
      <c r="F58" s="674" t="n">
        <v>0.4</v>
      </c>
      <c r="G58" s="38" t="n">
        <v>10</v>
      </c>
      <c r="H58" s="674" t="n">
        <v>4</v>
      </c>
      <c r="I58" s="674" t="n">
        <v>4.24</v>
      </c>
      <c r="J58" s="38" t="n">
        <v>120</v>
      </c>
      <c r="K58" s="39" t="inlineStr">
        <is>
          <t>СК1</t>
        </is>
      </c>
      <c r="L58" s="38" t="n">
        <v>50</v>
      </c>
      <c r="M58" s="697" t="inlineStr">
        <is>
          <t>Колбаса вареная Филейская ТМ Вязанка ТС Классическая полиамид ф/в 0,4 кг</t>
        </is>
      </c>
      <c r="N58" s="676" t="n"/>
      <c r="O58" s="676" t="n"/>
      <c r="P58" s="676" t="n"/>
      <c r="Q58" s="642" t="n"/>
      <c r="R58" s="40" t="inlineStr"/>
      <c r="S58" s="40" t="inlineStr"/>
      <c r="T58" s="41" t="inlineStr">
        <is>
          <t>кг</t>
        </is>
      </c>
      <c r="U58" s="677" t="n">
        <v>0</v>
      </c>
      <c r="V58" s="678">
        <f>IFERROR(IF(U58="",0,CEILING((U58/$H58),1)*$H58),"")</f>
        <v/>
      </c>
      <c r="W58" s="42">
        <f>IFERROR(IF(V58=0,"",ROUNDUP(V58/H58,0)*0.00937),"")</f>
        <v/>
      </c>
      <c r="X58" s="69" t="inlineStr"/>
      <c r="Y58" s="70" t="inlineStr"/>
      <c r="AC58" s="87" t="inlineStr">
        <is>
          <t>КИ</t>
        </is>
      </c>
    </row>
    <row r="59">
      <c r="A59" s="383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679" t="n"/>
      <c r="M59" s="680" t="inlineStr">
        <is>
          <t>Итого</t>
        </is>
      </c>
      <c r="N59" s="650" t="n"/>
      <c r="O59" s="650" t="n"/>
      <c r="P59" s="650" t="n"/>
      <c r="Q59" s="650" t="n"/>
      <c r="R59" s="650" t="n"/>
      <c r="S59" s="651" t="n"/>
      <c r="T59" s="43" t="inlineStr">
        <is>
          <t>кор</t>
        </is>
      </c>
      <c r="U59" s="681">
        <f>IFERROR(U56/H56,"0")+IFERROR(U57/H57,"0")+IFERROR(U58/H58,"0")</f>
        <v/>
      </c>
      <c r="V59" s="681">
        <f>IFERROR(V56/H56,"0")+IFERROR(V57/H57,"0")+IFERROR(V58/H58,"0")</f>
        <v/>
      </c>
      <c r="W59" s="681">
        <f>IFERROR(IF(W56="",0,W56),"0")+IFERROR(IF(W57="",0,W57),"0")+IFERROR(IF(W58="",0,W58),"0")</f>
        <v/>
      </c>
      <c r="X59" s="682" t="n"/>
      <c r="Y59" s="682" t="n"/>
    </row>
    <row r="60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679" t="n"/>
      <c r="M60" s="680" t="inlineStr">
        <is>
          <t>Итого</t>
        </is>
      </c>
      <c r="N60" s="650" t="n"/>
      <c r="O60" s="650" t="n"/>
      <c r="P60" s="650" t="n"/>
      <c r="Q60" s="650" t="n"/>
      <c r="R60" s="650" t="n"/>
      <c r="S60" s="651" t="n"/>
      <c r="T60" s="43" t="inlineStr">
        <is>
          <t>кг</t>
        </is>
      </c>
      <c r="U60" s="681">
        <f>IFERROR(SUM(U56:U58),"0")</f>
        <v/>
      </c>
      <c r="V60" s="681">
        <f>IFERROR(SUM(V56:V58),"0")</f>
        <v/>
      </c>
      <c r="W60" s="43" t="n"/>
      <c r="X60" s="682" t="n"/>
      <c r="Y60" s="682" t="n"/>
    </row>
    <row r="61" ht="16.5" customHeight="1">
      <c r="A61" s="373" t="inlineStr">
        <is>
          <t>Вязанка</t>
        </is>
      </c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373" t="n"/>
      <c r="Y61" s="373" t="n"/>
    </row>
    <row r="62" ht="14.25" customHeight="1">
      <c r="A62" s="374" t="inlineStr">
        <is>
          <t>Вареные колбасы</t>
        </is>
      </c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374" t="n"/>
      <c r="Y62" s="374" t="n"/>
    </row>
    <row r="63" ht="27" customHeight="1">
      <c r="A63" s="64" t="inlineStr">
        <is>
          <t>SU000124</t>
        </is>
      </c>
      <c r="B63" s="64" t="inlineStr">
        <is>
          <t>P002478</t>
        </is>
      </c>
      <c r="C63" s="37" t="n">
        <v>4301011191</v>
      </c>
      <c r="D63" s="375" t="n">
        <v>4607091382945</v>
      </c>
      <c r="E63" s="642" t="n"/>
      <c r="F63" s="674" t="n">
        <v>1.35</v>
      </c>
      <c r="G63" s="38" t="n">
        <v>8</v>
      </c>
      <c r="H63" s="674" t="n">
        <v>10.8</v>
      </c>
      <c r="I63" s="674" t="n">
        <v>11.28</v>
      </c>
      <c r="J63" s="38" t="n">
        <v>56</v>
      </c>
      <c r="K63" s="39" t="inlineStr">
        <is>
          <t>СК1</t>
        </is>
      </c>
      <c r="L63" s="38" t="n">
        <v>50</v>
      </c>
      <c r="M63" s="698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/>
      </c>
      <c r="N63" s="676" t="n"/>
      <c r="O63" s="676" t="n"/>
      <c r="P63" s="676" t="n"/>
      <c r="Q63" s="642" t="n"/>
      <c r="R63" s="40" t="inlineStr"/>
      <c r="S63" s="40" t="inlineStr"/>
      <c r="T63" s="41" t="inlineStr">
        <is>
          <t>кг</t>
        </is>
      </c>
      <c r="U63" s="677" t="n">
        <v>0</v>
      </c>
      <c r="V63" s="678">
        <f>IFERROR(IF(U63="",0,CEILING((U63/$H63),1)*$H63),"")</f>
        <v/>
      </c>
      <c r="W63" s="42">
        <f>IFERROR(IF(V63=0,"",ROUNDUP(V63/H63,0)*0.02175),"")</f>
        <v/>
      </c>
      <c r="X63" s="69" t="inlineStr"/>
      <c r="Y63" s="70" t="inlineStr"/>
      <c r="AC63" s="88" t="inlineStr">
        <is>
          <t>КИ</t>
        </is>
      </c>
    </row>
    <row r="64" ht="27" customHeight="1">
      <c r="A64" s="64" t="inlineStr">
        <is>
          <t>SU000722</t>
        </is>
      </c>
      <c r="B64" s="64" t="inlineStr">
        <is>
          <t>P003011</t>
        </is>
      </c>
      <c r="C64" s="37" t="n">
        <v>4301011380</v>
      </c>
      <c r="D64" s="375" t="n">
        <v>4607091385670</v>
      </c>
      <c r="E64" s="642" t="n"/>
      <c r="F64" s="674" t="n">
        <v>1.35</v>
      </c>
      <c r="G64" s="38" t="n">
        <v>8</v>
      </c>
      <c r="H64" s="674" t="n">
        <v>10.8</v>
      </c>
      <c r="I64" s="674" t="n">
        <v>11.28</v>
      </c>
      <c r="J64" s="38" t="n">
        <v>56</v>
      </c>
      <c r="K64" s="39" t="inlineStr">
        <is>
          <t>СК1</t>
        </is>
      </c>
      <c r="L64" s="38" t="n">
        <v>50</v>
      </c>
      <c r="M64" s="699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N64" s="676" t="n"/>
      <c r="O64" s="676" t="n"/>
      <c r="P64" s="676" t="n"/>
      <c r="Q64" s="642" t="n"/>
      <c r="R64" s="40" t="inlineStr"/>
      <c r="S64" s="40" t="inlineStr"/>
      <c r="T64" s="41" t="inlineStr">
        <is>
          <t>кг</t>
        </is>
      </c>
      <c r="U64" s="677" t="n">
        <v>20</v>
      </c>
      <c r="V64" s="678">
        <f>IFERROR(IF(U64="",0,CEILING((U64/$H64),1)*$H64),"")</f>
        <v/>
      </c>
      <c r="W64" s="42">
        <f>IFERROR(IF(V64=0,"",ROUNDUP(V64/H64,0)*0.02175),"")</f>
        <v/>
      </c>
      <c r="X64" s="69" t="inlineStr"/>
      <c r="Y64" s="70" t="inlineStr"/>
      <c r="AC64" s="89" t="inlineStr">
        <is>
          <t>КИ</t>
        </is>
      </c>
    </row>
    <row r="65" ht="27" customHeight="1">
      <c r="A65" s="64" t="inlineStr">
        <is>
          <t>SU002830</t>
        </is>
      </c>
      <c r="B65" s="64" t="inlineStr">
        <is>
          <t>P003239</t>
        </is>
      </c>
      <c r="C65" s="37" t="n">
        <v>4301011468</v>
      </c>
      <c r="D65" s="375" t="n">
        <v>4680115881327</v>
      </c>
      <c r="E65" s="642" t="n"/>
      <c r="F65" s="674" t="n">
        <v>1.35</v>
      </c>
      <c r="G65" s="38" t="n">
        <v>8</v>
      </c>
      <c r="H65" s="674" t="n">
        <v>10.8</v>
      </c>
      <c r="I65" s="674" t="n">
        <v>11.28</v>
      </c>
      <c r="J65" s="38" t="n">
        <v>56</v>
      </c>
      <c r="K65" s="39" t="inlineStr">
        <is>
          <t>СК4</t>
        </is>
      </c>
      <c r="L65" s="38" t="n">
        <v>50</v>
      </c>
      <c r="M65" s="700">
        <f>HYPERLINK("https://abi.ru/products/Охлажденные/Вязанка/Вязанка/Вареные колбасы/P003239/","Вареные колбасы Молокуша Вязанка Вес п/а Вязанка")</f>
        <v/>
      </c>
      <c r="N65" s="676" t="n"/>
      <c r="O65" s="676" t="n"/>
      <c r="P65" s="676" t="n"/>
      <c r="Q65" s="642" t="n"/>
      <c r="R65" s="40" t="inlineStr"/>
      <c r="S65" s="40" t="inlineStr"/>
      <c r="T65" s="41" t="inlineStr">
        <is>
          <t>кг</t>
        </is>
      </c>
      <c r="U65" s="677" t="n">
        <v>0</v>
      </c>
      <c r="V65" s="678">
        <f>IFERROR(IF(U65="",0,CEILING((U65/$H65),1)*$H65),"")</f>
        <v/>
      </c>
      <c r="W65" s="42">
        <f>IFERROR(IF(V65=0,"",ROUNDUP(V65/H65,0)*0.02175),"")</f>
        <v/>
      </c>
      <c r="X65" s="69" t="inlineStr"/>
      <c r="Y65" s="70" t="inlineStr"/>
      <c r="AC65" s="90" t="inlineStr">
        <is>
          <t>КИ</t>
        </is>
      </c>
    </row>
    <row r="66" ht="16.5" customHeight="1">
      <c r="A66" s="64" t="inlineStr">
        <is>
          <t>SU001904</t>
        </is>
      </c>
      <c r="B66" s="64" t="inlineStr">
        <is>
          <t>P001681</t>
        </is>
      </c>
      <c r="C66" s="37" t="n">
        <v>4301011348</v>
      </c>
      <c r="D66" s="375" t="n">
        <v>4607091388312</v>
      </c>
      <c r="E66" s="642" t="n"/>
      <c r="F66" s="674" t="n">
        <v>1.35</v>
      </c>
      <c r="G66" s="38" t="n">
        <v>8</v>
      </c>
      <c r="H66" s="674" t="n">
        <v>10.8</v>
      </c>
      <c r="I66" s="674" t="n">
        <v>11.28</v>
      </c>
      <c r="J66" s="38" t="n">
        <v>56</v>
      </c>
      <c r="K66" s="39" t="inlineStr">
        <is>
          <t>СК1</t>
        </is>
      </c>
      <c r="L66" s="38" t="n">
        <v>45</v>
      </c>
      <c r="M66" s="701">
        <f>HYPERLINK("https://abi.ru/products/Охлажденные/Вязанка/Вязанка/Вареные колбасы/P001681/","Вареные колбасы с индейкой Вязанка Весовые вектор Вязанка")</f>
        <v/>
      </c>
      <c r="N66" s="676" t="n"/>
      <c r="O66" s="676" t="n"/>
      <c r="P66" s="676" t="n"/>
      <c r="Q66" s="642" t="n"/>
      <c r="R66" s="40" t="inlineStr"/>
      <c r="S66" s="40" t="inlineStr"/>
      <c r="T66" s="41" t="inlineStr">
        <is>
          <t>кг</t>
        </is>
      </c>
      <c r="U66" s="677" t="n">
        <v>0</v>
      </c>
      <c r="V66" s="678">
        <f>IFERROR(IF(U66="",0,CEILING((U66/$H66),1)*$H66),"")</f>
        <v/>
      </c>
      <c r="W66" s="42">
        <f>IFERROR(IF(V66=0,"",ROUNDUP(V66/H66,0)*0.02175),"")</f>
        <v/>
      </c>
      <c r="X66" s="69" t="inlineStr"/>
      <c r="Y66" s="70" t="inlineStr"/>
      <c r="AC66" s="91" t="inlineStr">
        <is>
          <t>КИ</t>
        </is>
      </c>
    </row>
    <row r="67" ht="16.5" customHeight="1">
      <c r="A67" s="64" t="inlineStr">
        <is>
          <t>SU002928</t>
        </is>
      </c>
      <c r="B67" s="64" t="inlineStr">
        <is>
          <t>P003357</t>
        </is>
      </c>
      <c r="C67" s="37" t="n">
        <v>4301011514</v>
      </c>
      <c r="D67" s="375" t="n">
        <v>4680115882133</v>
      </c>
      <c r="E67" s="642" t="n"/>
      <c r="F67" s="674" t="n">
        <v>1.35</v>
      </c>
      <c r="G67" s="38" t="n">
        <v>8</v>
      </c>
      <c r="H67" s="674" t="n">
        <v>10.8</v>
      </c>
      <c r="I67" s="674" t="n">
        <v>11.28</v>
      </c>
      <c r="J67" s="38" t="n">
        <v>56</v>
      </c>
      <c r="K67" s="39" t="inlineStr">
        <is>
          <t>СК1</t>
        </is>
      </c>
      <c r="L67" s="38" t="n">
        <v>50</v>
      </c>
      <c r="M67" s="702">
        <f>HYPERLINK("https:///products/Охлажденные/Вязанка/Вязанка/Вареные колбасы/P003357/","Вареные колбасы «Сливушка» Вес П/а ТМ «Вязанка»")</f>
        <v/>
      </c>
      <c r="N67" s="676" t="n"/>
      <c r="O67" s="676" t="n"/>
      <c r="P67" s="676" t="n"/>
      <c r="Q67" s="642" t="n"/>
      <c r="R67" s="40" t="inlineStr"/>
      <c r="S67" s="40" t="inlineStr"/>
      <c r="T67" s="41" t="inlineStr">
        <is>
          <t>кг</t>
        </is>
      </c>
      <c r="U67" s="677" t="n">
        <v>0</v>
      </c>
      <c r="V67" s="678">
        <f>IFERROR(IF(U67="",0,CEILING((U67/$H67),1)*$H67),"")</f>
        <v/>
      </c>
      <c r="W67" s="42">
        <f>IFERROR(IF(V67=0,"",ROUNDUP(V67/H67,0)*0.02175),"")</f>
        <v/>
      </c>
      <c r="X67" s="69" t="inlineStr"/>
      <c r="Y67" s="70" t="inlineStr"/>
      <c r="AC67" s="92" t="inlineStr">
        <is>
          <t>КИ</t>
        </is>
      </c>
    </row>
    <row r="68" ht="27" customHeight="1">
      <c r="A68" s="64" t="inlineStr">
        <is>
          <t>SU000125</t>
        </is>
      </c>
      <c r="B68" s="64" t="inlineStr">
        <is>
          <t>P002479</t>
        </is>
      </c>
      <c r="C68" s="37" t="n">
        <v>4301011192</v>
      </c>
      <c r="D68" s="375" t="n">
        <v>4607091382952</v>
      </c>
      <c r="E68" s="642" t="n"/>
      <c r="F68" s="674" t="n">
        <v>0.5</v>
      </c>
      <c r="G68" s="38" t="n">
        <v>6</v>
      </c>
      <c r="H68" s="674" t="n">
        <v>3</v>
      </c>
      <c r="I68" s="674" t="n">
        <v>3.2</v>
      </c>
      <c r="J68" s="38" t="n">
        <v>156</v>
      </c>
      <c r="K68" s="39" t="inlineStr">
        <is>
          <t>СК1</t>
        </is>
      </c>
      <c r="L68" s="38" t="n">
        <v>50</v>
      </c>
      <c r="M68" s="703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N68" s="676" t="n"/>
      <c r="O68" s="676" t="n"/>
      <c r="P68" s="676" t="n"/>
      <c r="Q68" s="642" t="n"/>
      <c r="R68" s="40" t="inlineStr"/>
      <c r="S68" s="40" t="inlineStr"/>
      <c r="T68" s="41" t="inlineStr">
        <is>
          <t>кг</t>
        </is>
      </c>
      <c r="U68" s="677" t="n">
        <v>0</v>
      </c>
      <c r="V68" s="678">
        <f>IFERROR(IF(U68="",0,CEILING((U68/$H68),1)*$H68),"")</f>
        <v/>
      </c>
      <c r="W68" s="42">
        <f>IFERROR(IF(V68=0,"",ROUNDUP(V68/H68,0)*0.00753),"")</f>
        <v/>
      </c>
      <c r="X68" s="69" t="inlineStr"/>
      <c r="Y68" s="70" t="inlineStr"/>
      <c r="AC68" s="93" t="inlineStr">
        <is>
          <t>КИ</t>
        </is>
      </c>
    </row>
    <row r="69" ht="27" customHeight="1">
      <c r="A69" s="64" t="inlineStr">
        <is>
          <t>SU001485</t>
        </is>
      </c>
      <c r="B69" s="64" t="inlineStr">
        <is>
          <t>P003008</t>
        </is>
      </c>
      <c r="C69" s="37" t="n">
        <v>4301011382</v>
      </c>
      <c r="D69" s="375" t="n">
        <v>4607091385687</v>
      </c>
      <c r="E69" s="642" t="n"/>
      <c r="F69" s="674" t="n">
        <v>0.4</v>
      </c>
      <c r="G69" s="38" t="n">
        <v>10</v>
      </c>
      <c r="H69" s="674" t="n">
        <v>4</v>
      </c>
      <c r="I69" s="674" t="n">
        <v>4.24</v>
      </c>
      <c r="J69" s="38" t="n">
        <v>120</v>
      </c>
      <c r="K69" s="39" t="inlineStr">
        <is>
          <t>СК3</t>
        </is>
      </c>
      <c r="L69" s="38" t="n">
        <v>50</v>
      </c>
      <c r="M69" s="704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N69" s="676" t="n"/>
      <c r="O69" s="676" t="n"/>
      <c r="P69" s="676" t="n"/>
      <c r="Q69" s="642" t="n"/>
      <c r="R69" s="40" t="inlineStr"/>
      <c r="S69" s="40" t="inlineStr"/>
      <c r="T69" s="41" t="inlineStr">
        <is>
          <t>кг</t>
        </is>
      </c>
      <c r="U69" s="677" t="n">
        <v>0</v>
      </c>
      <c r="V69" s="678">
        <f>IFERROR(IF(U69="",0,CEILING((U69/$H69),1)*$H69),"")</f>
        <v/>
      </c>
      <c r="W69" s="42">
        <f>IFERROR(IF(V69=0,"",ROUNDUP(V69/H69,0)*0.00937),"")</f>
        <v/>
      </c>
      <c r="X69" s="69" t="inlineStr"/>
      <c r="Y69" s="70" t="inlineStr"/>
      <c r="AC69" s="94" t="inlineStr">
        <is>
          <t>КИ</t>
        </is>
      </c>
    </row>
    <row r="70" ht="27" customHeight="1">
      <c r="A70" s="64" t="inlineStr">
        <is>
          <t>SU002986</t>
        </is>
      </c>
      <c r="B70" s="64" t="inlineStr">
        <is>
          <t>P003429</t>
        </is>
      </c>
      <c r="C70" s="37" t="n">
        <v>4301011565</v>
      </c>
      <c r="D70" s="375" t="n">
        <v>4680115882539</v>
      </c>
      <c r="E70" s="642" t="n"/>
      <c r="F70" s="674" t="n">
        <v>0.37</v>
      </c>
      <c r="G70" s="38" t="n">
        <v>10</v>
      </c>
      <c r="H70" s="674" t="n">
        <v>3.7</v>
      </c>
      <c r="I70" s="674" t="n">
        <v>3.94</v>
      </c>
      <c r="J70" s="38" t="n">
        <v>120</v>
      </c>
      <c r="K70" s="39" t="inlineStr">
        <is>
          <t>СК3</t>
        </is>
      </c>
      <c r="L70" s="38" t="n">
        <v>50</v>
      </c>
      <c r="M70" s="705" t="inlineStr">
        <is>
          <t>Вареные колбасы «Докторская ГОСТ» Фикс.вес 0,37 п/а ТМ «Вязанка»</t>
        </is>
      </c>
      <c r="N70" s="676" t="n"/>
      <c r="O70" s="676" t="n"/>
      <c r="P70" s="676" t="n"/>
      <c r="Q70" s="642" t="n"/>
      <c r="R70" s="40" t="inlineStr"/>
      <c r="S70" s="40" t="inlineStr"/>
      <c r="T70" s="41" t="inlineStr">
        <is>
          <t>кг</t>
        </is>
      </c>
      <c r="U70" s="677" t="n">
        <v>0</v>
      </c>
      <c r="V70" s="678">
        <f>IFERROR(IF(U70="",0,CEILING((U70/$H70),1)*$H70),"")</f>
        <v/>
      </c>
      <c r="W70" s="42">
        <f>IFERROR(IF(V70=0,"",ROUNDUP(V70/H70,0)*0.00937),"")</f>
        <v/>
      </c>
      <c r="X70" s="69" t="inlineStr"/>
      <c r="Y70" s="70" t="inlineStr"/>
      <c r="AC70" s="95" t="inlineStr">
        <is>
          <t>КИ</t>
        </is>
      </c>
    </row>
    <row r="71" ht="27" customHeight="1">
      <c r="A71" s="64" t="inlineStr">
        <is>
          <t>SU002312</t>
        </is>
      </c>
      <c r="B71" s="64" t="inlineStr">
        <is>
          <t>P002577</t>
        </is>
      </c>
      <c r="C71" s="37" t="n">
        <v>4301011344</v>
      </c>
      <c r="D71" s="375" t="n">
        <v>4607091384604</v>
      </c>
      <c r="E71" s="642" t="n"/>
      <c r="F71" s="674" t="n">
        <v>0.4</v>
      </c>
      <c r="G71" s="38" t="n">
        <v>10</v>
      </c>
      <c r="H71" s="674" t="n">
        <v>4</v>
      </c>
      <c r="I71" s="674" t="n">
        <v>4.24</v>
      </c>
      <c r="J71" s="38" t="n">
        <v>120</v>
      </c>
      <c r="K71" s="39" t="inlineStr">
        <is>
          <t>СК1</t>
        </is>
      </c>
      <c r="L71" s="38" t="n">
        <v>50</v>
      </c>
      <c r="M71" s="706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N71" s="676" t="n"/>
      <c r="O71" s="676" t="n"/>
      <c r="P71" s="676" t="n"/>
      <c r="Q71" s="642" t="n"/>
      <c r="R71" s="40" t="inlineStr"/>
      <c r="S71" s="40" t="inlineStr"/>
      <c r="T71" s="41" t="inlineStr">
        <is>
          <t>кг</t>
        </is>
      </c>
      <c r="U71" s="677" t="n">
        <v>0</v>
      </c>
      <c r="V71" s="678">
        <f>IFERROR(IF(U71="",0,CEILING((U71/$H71),1)*$H71),"")</f>
        <v/>
      </c>
      <c r="W71" s="42">
        <f>IFERROR(IF(V71=0,"",ROUNDUP(V71/H71,0)*0.00937),"")</f>
        <v/>
      </c>
      <c r="X71" s="69" t="inlineStr"/>
      <c r="Y71" s="70" t="inlineStr"/>
      <c r="AC71" s="96" t="inlineStr">
        <is>
          <t>КИ</t>
        </is>
      </c>
    </row>
    <row r="72" ht="27" customHeight="1">
      <c r="A72" s="64" t="inlineStr">
        <is>
          <t>SU002674</t>
        </is>
      </c>
      <c r="B72" s="64" t="inlineStr">
        <is>
          <t>P003045</t>
        </is>
      </c>
      <c r="C72" s="37" t="n">
        <v>4301011386</v>
      </c>
      <c r="D72" s="375" t="n">
        <v>4680115880283</v>
      </c>
      <c r="E72" s="642" t="n"/>
      <c r="F72" s="674" t="n">
        <v>0.6</v>
      </c>
      <c r="G72" s="38" t="n">
        <v>8</v>
      </c>
      <c r="H72" s="674" t="n">
        <v>4.8</v>
      </c>
      <c r="I72" s="674" t="n">
        <v>5.04</v>
      </c>
      <c r="J72" s="38" t="n">
        <v>120</v>
      </c>
      <c r="K72" s="39" t="inlineStr">
        <is>
          <t>СК1</t>
        </is>
      </c>
      <c r="L72" s="38" t="n">
        <v>45</v>
      </c>
      <c r="M72" s="707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N72" s="676" t="n"/>
      <c r="O72" s="676" t="n"/>
      <c r="P72" s="676" t="n"/>
      <c r="Q72" s="642" t="n"/>
      <c r="R72" s="40" t="inlineStr"/>
      <c r="S72" s="40" t="inlineStr"/>
      <c r="T72" s="41" t="inlineStr">
        <is>
          <t>кг</t>
        </is>
      </c>
      <c r="U72" s="677" t="n">
        <v>0</v>
      </c>
      <c r="V72" s="678">
        <f>IFERROR(IF(U72="",0,CEILING((U72/$H72),1)*$H72),"")</f>
        <v/>
      </c>
      <c r="W72" s="42">
        <f>IFERROR(IF(V72=0,"",ROUNDUP(V72/H72,0)*0.00937),"")</f>
        <v/>
      </c>
      <c r="X72" s="69" t="inlineStr"/>
      <c r="Y72" s="70" t="inlineStr"/>
      <c r="AC72" s="97" t="inlineStr">
        <is>
          <t>КИ</t>
        </is>
      </c>
    </row>
    <row r="73" ht="16.5" customHeight="1">
      <c r="A73" s="64" t="inlineStr">
        <is>
          <t>SU002832</t>
        </is>
      </c>
      <c r="B73" s="64" t="inlineStr">
        <is>
          <t>P003245</t>
        </is>
      </c>
      <c r="C73" s="37" t="n">
        <v>4301011476</v>
      </c>
      <c r="D73" s="375" t="n">
        <v>4680115881518</v>
      </c>
      <c r="E73" s="642" t="n"/>
      <c r="F73" s="674" t="n">
        <v>0.4</v>
      </c>
      <c r="G73" s="38" t="n">
        <v>10</v>
      </c>
      <c r="H73" s="674" t="n">
        <v>4</v>
      </c>
      <c r="I73" s="674" t="n">
        <v>4.24</v>
      </c>
      <c r="J73" s="38" t="n">
        <v>120</v>
      </c>
      <c r="K73" s="39" t="inlineStr">
        <is>
          <t>СК3</t>
        </is>
      </c>
      <c r="L73" s="38" t="n">
        <v>50</v>
      </c>
      <c r="M73" s="708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N73" s="676" t="n"/>
      <c r="O73" s="676" t="n"/>
      <c r="P73" s="676" t="n"/>
      <c r="Q73" s="642" t="n"/>
      <c r="R73" s="40" t="inlineStr"/>
      <c r="S73" s="40" t="inlineStr"/>
      <c r="T73" s="41" t="inlineStr">
        <is>
          <t>кг</t>
        </is>
      </c>
      <c r="U73" s="677" t="n">
        <v>0</v>
      </c>
      <c r="V73" s="678">
        <f>IFERROR(IF(U73="",0,CEILING((U73/$H73),1)*$H73),"")</f>
        <v/>
      </c>
      <c r="W73" s="42">
        <f>IFERROR(IF(V73=0,"",ROUNDUP(V73/H73,0)*0.00937),"")</f>
        <v/>
      </c>
      <c r="X73" s="69" t="inlineStr"/>
      <c r="Y73" s="70" t="inlineStr"/>
      <c r="AC73" s="98" t="inlineStr">
        <is>
          <t>КИ</t>
        </is>
      </c>
    </row>
    <row r="74" ht="27" customHeight="1">
      <c r="A74" s="64" t="inlineStr">
        <is>
          <t>SU002816</t>
        </is>
      </c>
      <c r="B74" s="64" t="inlineStr">
        <is>
          <t>P003228</t>
        </is>
      </c>
      <c r="C74" s="37" t="n">
        <v>4301011443</v>
      </c>
      <c r="D74" s="375" t="n">
        <v>4680115881303</v>
      </c>
      <c r="E74" s="642" t="n"/>
      <c r="F74" s="674" t="n">
        <v>0.45</v>
      </c>
      <c r="G74" s="38" t="n">
        <v>10</v>
      </c>
      <c r="H74" s="674" t="n">
        <v>4.5</v>
      </c>
      <c r="I74" s="674" t="n">
        <v>4.71</v>
      </c>
      <c r="J74" s="38" t="n">
        <v>120</v>
      </c>
      <c r="K74" s="39" t="inlineStr">
        <is>
          <t>СК4</t>
        </is>
      </c>
      <c r="L74" s="38" t="n">
        <v>50</v>
      </c>
      <c r="M74" s="709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N74" s="676" t="n"/>
      <c r="O74" s="676" t="n"/>
      <c r="P74" s="676" t="n"/>
      <c r="Q74" s="642" t="n"/>
      <c r="R74" s="40" t="inlineStr"/>
      <c r="S74" s="40" t="inlineStr"/>
      <c r="T74" s="41" t="inlineStr">
        <is>
          <t>кг</t>
        </is>
      </c>
      <c r="U74" s="677" t="n">
        <v>0</v>
      </c>
      <c r="V74" s="678">
        <f>IFERROR(IF(U74="",0,CEILING((U74/$H74),1)*$H74),"")</f>
        <v/>
      </c>
      <c r="W74" s="42">
        <f>IFERROR(IF(V74=0,"",ROUNDUP(V74/H74,0)*0.00937),"")</f>
        <v/>
      </c>
      <c r="X74" s="69" t="inlineStr"/>
      <c r="Y74" s="70" t="inlineStr"/>
      <c r="AC74" s="99" t="inlineStr">
        <is>
          <t>КИ</t>
        </is>
      </c>
    </row>
    <row r="75" ht="27" customHeight="1">
      <c r="A75" s="64" t="inlineStr">
        <is>
          <t>SU000084</t>
        </is>
      </c>
      <c r="B75" s="64" t="inlineStr">
        <is>
          <t>P003074</t>
        </is>
      </c>
      <c r="C75" s="37" t="n">
        <v>4301011414</v>
      </c>
      <c r="D75" s="375" t="n">
        <v>4607091381986</v>
      </c>
      <c r="E75" s="642" t="n"/>
      <c r="F75" s="674" t="n">
        <v>0.5</v>
      </c>
      <c r="G75" s="38" t="n">
        <v>10</v>
      </c>
      <c r="H75" s="674" t="n">
        <v>5</v>
      </c>
      <c r="I75" s="674" t="n">
        <v>5.24</v>
      </c>
      <c r="J75" s="38" t="n">
        <v>120</v>
      </c>
      <c r="K75" s="39" t="inlineStr">
        <is>
          <t>СК1</t>
        </is>
      </c>
      <c r="L75" s="38" t="n">
        <v>45</v>
      </c>
      <c r="M75" s="710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/>
      </c>
      <c r="N75" s="676" t="n"/>
      <c r="O75" s="676" t="n"/>
      <c r="P75" s="676" t="n"/>
      <c r="Q75" s="642" t="n"/>
      <c r="R75" s="40" t="inlineStr"/>
      <c r="S75" s="40" t="inlineStr"/>
      <c r="T75" s="41" t="inlineStr">
        <is>
          <t>кг</t>
        </is>
      </c>
      <c r="U75" s="677" t="n">
        <v>0</v>
      </c>
      <c r="V75" s="678">
        <f>IFERROR(IF(U75="",0,CEILING((U75/$H75),1)*$H75),"")</f>
        <v/>
      </c>
      <c r="W75" s="42">
        <f>IFERROR(IF(V75=0,"",ROUNDUP(V75/H75,0)*0.00937),"")</f>
        <v/>
      </c>
      <c r="X75" s="69" t="inlineStr"/>
      <c r="Y75" s="70" t="inlineStr"/>
      <c r="AC75" s="100" t="inlineStr">
        <is>
          <t>КИ</t>
        </is>
      </c>
    </row>
    <row r="76" ht="27" customHeight="1">
      <c r="A76" s="64" t="inlineStr">
        <is>
          <t>SU001905</t>
        </is>
      </c>
      <c r="B76" s="64" t="inlineStr">
        <is>
          <t>P001685</t>
        </is>
      </c>
      <c r="C76" s="37" t="n">
        <v>4301011352</v>
      </c>
      <c r="D76" s="375" t="n">
        <v>4607091388466</v>
      </c>
      <c r="E76" s="642" t="n"/>
      <c r="F76" s="674" t="n">
        <v>0.45</v>
      </c>
      <c r="G76" s="38" t="n">
        <v>6</v>
      </c>
      <c r="H76" s="674" t="n">
        <v>2.7</v>
      </c>
      <c r="I76" s="674" t="n">
        <v>2.9</v>
      </c>
      <c r="J76" s="38" t="n">
        <v>156</v>
      </c>
      <c r="K76" s="39" t="inlineStr">
        <is>
          <t>СК3</t>
        </is>
      </c>
      <c r="L76" s="38" t="n">
        <v>45</v>
      </c>
      <c r="M76" s="711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N76" s="676" t="n"/>
      <c r="O76" s="676" t="n"/>
      <c r="P76" s="676" t="n"/>
      <c r="Q76" s="642" t="n"/>
      <c r="R76" s="40" t="inlineStr"/>
      <c r="S76" s="40" t="inlineStr"/>
      <c r="T76" s="41" t="inlineStr">
        <is>
          <t>кг</t>
        </is>
      </c>
      <c r="U76" s="677" t="n">
        <v>0</v>
      </c>
      <c r="V76" s="678">
        <f>IFERROR(IF(U76="",0,CEILING((U76/$H76),1)*$H76),"")</f>
        <v/>
      </c>
      <c r="W76" s="42">
        <f>IFERROR(IF(V76=0,"",ROUNDUP(V76/H76,0)*0.00753),"")</f>
        <v/>
      </c>
      <c r="X76" s="69" t="inlineStr"/>
      <c r="Y76" s="70" t="inlineStr"/>
      <c r="AC76" s="101" t="inlineStr">
        <is>
          <t>КИ</t>
        </is>
      </c>
    </row>
    <row r="77" ht="27" customHeight="1">
      <c r="A77" s="64" t="inlineStr">
        <is>
          <t>SU002733</t>
        </is>
      </c>
      <c r="B77" s="64" t="inlineStr">
        <is>
          <t>P003102</t>
        </is>
      </c>
      <c r="C77" s="37" t="n">
        <v>4301011417</v>
      </c>
      <c r="D77" s="375" t="n">
        <v>4680115880269</v>
      </c>
      <c r="E77" s="642" t="n"/>
      <c r="F77" s="674" t="n">
        <v>0.375</v>
      </c>
      <c r="G77" s="38" t="n">
        <v>10</v>
      </c>
      <c r="H77" s="674" t="n">
        <v>3.75</v>
      </c>
      <c r="I77" s="674" t="n">
        <v>3.99</v>
      </c>
      <c r="J77" s="38" t="n">
        <v>120</v>
      </c>
      <c r="K77" s="39" t="inlineStr">
        <is>
          <t>СК3</t>
        </is>
      </c>
      <c r="L77" s="38" t="n">
        <v>50</v>
      </c>
      <c r="M77" s="712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N77" s="676" t="n"/>
      <c r="O77" s="676" t="n"/>
      <c r="P77" s="676" t="n"/>
      <c r="Q77" s="642" t="n"/>
      <c r="R77" s="40" t="inlineStr"/>
      <c r="S77" s="40" t="inlineStr"/>
      <c r="T77" s="41" t="inlineStr">
        <is>
          <t>кг</t>
        </is>
      </c>
      <c r="U77" s="677" t="n">
        <v>0</v>
      </c>
      <c r="V77" s="678">
        <f>IFERROR(IF(U77="",0,CEILING((U77/$H77),1)*$H77),"")</f>
        <v/>
      </c>
      <c r="W77" s="42">
        <f>IFERROR(IF(V77=0,"",ROUNDUP(V77/H77,0)*0.00937),"")</f>
        <v/>
      </c>
      <c r="X77" s="69" t="inlineStr"/>
      <c r="Y77" s="70" t="inlineStr"/>
      <c r="AC77" s="102" t="inlineStr">
        <is>
          <t>КИ</t>
        </is>
      </c>
    </row>
    <row r="78" ht="16.5" customHeight="1">
      <c r="A78" s="64" t="inlineStr">
        <is>
          <t>SU002734</t>
        </is>
      </c>
      <c r="B78" s="64" t="inlineStr">
        <is>
          <t>P003103</t>
        </is>
      </c>
      <c r="C78" s="37" t="n">
        <v>4301011415</v>
      </c>
      <c r="D78" s="375" t="n">
        <v>4680115880429</v>
      </c>
      <c r="E78" s="642" t="n"/>
      <c r="F78" s="674" t="n">
        <v>0.45</v>
      </c>
      <c r="G78" s="38" t="n">
        <v>10</v>
      </c>
      <c r="H78" s="674" t="n">
        <v>4.5</v>
      </c>
      <c r="I78" s="674" t="n">
        <v>4.74</v>
      </c>
      <c r="J78" s="38" t="n">
        <v>120</v>
      </c>
      <c r="K78" s="39" t="inlineStr">
        <is>
          <t>СК3</t>
        </is>
      </c>
      <c r="L78" s="38" t="n">
        <v>50</v>
      </c>
      <c r="M78" s="713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N78" s="676" t="n"/>
      <c r="O78" s="676" t="n"/>
      <c r="P78" s="676" t="n"/>
      <c r="Q78" s="642" t="n"/>
      <c r="R78" s="40" t="inlineStr"/>
      <c r="S78" s="40" t="inlineStr"/>
      <c r="T78" s="41" t="inlineStr">
        <is>
          <t>кг</t>
        </is>
      </c>
      <c r="U78" s="677" t="n">
        <v>0</v>
      </c>
      <c r="V78" s="678">
        <f>IFERROR(IF(U78="",0,CEILING((U78/$H78),1)*$H78),"")</f>
        <v/>
      </c>
      <c r="W78" s="42">
        <f>IFERROR(IF(V78=0,"",ROUNDUP(V78/H78,0)*0.00937),"")</f>
        <v/>
      </c>
      <c r="X78" s="69" t="inlineStr"/>
      <c r="Y78" s="70" t="inlineStr"/>
      <c r="AC78" s="103" t="inlineStr">
        <is>
          <t>КИ</t>
        </is>
      </c>
    </row>
    <row r="79" ht="16.5" customHeight="1">
      <c r="A79" s="64" t="inlineStr">
        <is>
          <t>SU002827</t>
        </is>
      </c>
      <c r="B79" s="64" t="inlineStr">
        <is>
          <t>P003233</t>
        </is>
      </c>
      <c r="C79" s="37" t="n">
        <v>4301011462</v>
      </c>
      <c r="D79" s="375" t="n">
        <v>4680115881457</v>
      </c>
      <c r="E79" s="642" t="n"/>
      <c r="F79" s="674" t="n">
        <v>0.75</v>
      </c>
      <c r="G79" s="38" t="n">
        <v>6</v>
      </c>
      <c r="H79" s="674" t="n">
        <v>4.5</v>
      </c>
      <c r="I79" s="674" t="n">
        <v>4.74</v>
      </c>
      <c r="J79" s="38" t="n">
        <v>120</v>
      </c>
      <c r="K79" s="39" t="inlineStr">
        <is>
          <t>СК3</t>
        </is>
      </c>
      <c r="L79" s="38" t="n">
        <v>50</v>
      </c>
      <c r="M79" s="714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N79" s="676" t="n"/>
      <c r="O79" s="676" t="n"/>
      <c r="P79" s="676" t="n"/>
      <c r="Q79" s="642" t="n"/>
      <c r="R79" s="40" t="inlineStr"/>
      <c r="S79" s="40" t="inlineStr"/>
      <c r="T79" s="41" t="inlineStr">
        <is>
          <t>кг</t>
        </is>
      </c>
      <c r="U79" s="677" t="n">
        <v>0</v>
      </c>
      <c r="V79" s="678">
        <f>IFERROR(IF(U79="",0,CEILING((U79/$H79),1)*$H79),"")</f>
        <v/>
      </c>
      <c r="W79" s="42">
        <f>IFERROR(IF(V79=0,"",ROUNDUP(V79/H79,0)*0.00937),"")</f>
        <v/>
      </c>
      <c r="X79" s="69" t="inlineStr"/>
      <c r="Y79" s="70" t="inlineStr"/>
      <c r="AC79" s="104" t="inlineStr">
        <is>
          <t>КИ</t>
        </is>
      </c>
    </row>
    <row r="80">
      <c r="A80" s="383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679" t="n"/>
      <c r="M80" s="680" t="inlineStr">
        <is>
          <t>Итого</t>
        </is>
      </c>
      <c r="N80" s="650" t="n"/>
      <c r="O80" s="650" t="n"/>
      <c r="P80" s="650" t="n"/>
      <c r="Q80" s="650" t="n"/>
      <c r="R80" s="650" t="n"/>
      <c r="S80" s="651" t="n"/>
      <c r="T80" s="43" t="inlineStr">
        <is>
          <t>кор</t>
        </is>
      </c>
      <c r="U80" s="681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+IFERROR(U79/H79,"0")</f>
        <v/>
      </c>
      <c r="V80" s="681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/>
      </c>
      <c r="W80" s="681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+IFERROR(IF(W79="",0,W79),"0")</f>
        <v/>
      </c>
      <c r="X80" s="682" t="n"/>
      <c r="Y80" s="682" t="n"/>
    </row>
    <row r="81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679" t="n"/>
      <c r="M81" s="680" t="inlineStr">
        <is>
          <t>Итого</t>
        </is>
      </c>
      <c r="N81" s="650" t="n"/>
      <c r="O81" s="650" t="n"/>
      <c r="P81" s="650" t="n"/>
      <c r="Q81" s="650" t="n"/>
      <c r="R81" s="650" t="n"/>
      <c r="S81" s="651" t="n"/>
      <c r="T81" s="43" t="inlineStr">
        <is>
          <t>кг</t>
        </is>
      </c>
      <c r="U81" s="681">
        <f>IFERROR(SUM(U63:U79),"0")</f>
        <v/>
      </c>
      <c r="V81" s="681">
        <f>IFERROR(SUM(V63:V79),"0")</f>
        <v/>
      </c>
      <c r="W81" s="43" t="n"/>
      <c r="X81" s="682" t="n"/>
      <c r="Y81" s="682" t="n"/>
    </row>
    <row r="82" ht="14.25" customHeight="1">
      <c r="A82" s="374" t="inlineStr">
        <is>
          <t>Ветчины</t>
        </is>
      </c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374" t="n"/>
      <c r="Y82" s="374" t="n"/>
    </row>
    <row r="83" ht="16.5" customHeight="1">
      <c r="A83" s="64" t="inlineStr">
        <is>
          <t>SU001944</t>
        </is>
      </c>
      <c r="B83" s="64" t="inlineStr">
        <is>
          <t>P001620</t>
        </is>
      </c>
      <c r="C83" s="37" t="n">
        <v>4301020204</v>
      </c>
      <c r="D83" s="375" t="n">
        <v>4607091388442</v>
      </c>
      <c r="E83" s="642" t="n"/>
      <c r="F83" s="674" t="n">
        <v>1.35</v>
      </c>
      <c r="G83" s="38" t="n">
        <v>8</v>
      </c>
      <c r="H83" s="674" t="n">
        <v>10.8</v>
      </c>
      <c r="I83" s="674" t="n">
        <v>11.28</v>
      </c>
      <c r="J83" s="38" t="n">
        <v>56</v>
      </c>
      <c r="K83" s="39" t="inlineStr">
        <is>
          <t>СК1</t>
        </is>
      </c>
      <c r="L83" s="38" t="n">
        <v>45</v>
      </c>
      <c r="M83" s="715">
        <f>HYPERLINK("https://abi.ru/products/Охлажденные/Вязанка/Вязанка/Ветчины/P001620/","Ветчины Вязанка с индейкой Вязанка Весовые Вектор Вязанка")</f>
        <v/>
      </c>
      <c r="N83" s="676" t="n"/>
      <c r="O83" s="676" t="n"/>
      <c r="P83" s="676" t="n"/>
      <c r="Q83" s="642" t="n"/>
      <c r="R83" s="40" t="inlineStr"/>
      <c r="S83" s="40" t="inlineStr"/>
      <c r="T83" s="41" t="inlineStr">
        <is>
          <t>кг</t>
        </is>
      </c>
      <c r="U83" s="677" t="n">
        <v>0</v>
      </c>
      <c r="V83" s="678">
        <f>IFERROR(IF(U83="",0,CEILING((U83/$H83),1)*$H83),"")</f>
        <v/>
      </c>
      <c r="W83" s="42">
        <f>IFERROR(IF(V83=0,"",ROUNDUP(V83/H83,0)*0.02175),"")</f>
        <v/>
      </c>
      <c r="X83" s="69" t="inlineStr"/>
      <c r="Y83" s="70" t="inlineStr"/>
      <c r="AC83" s="105" t="inlineStr">
        <is>
          <t>КИ</t>
        </is>
      </c>
    </row>
    <row r="84" ht="27" customHeight="1">
      <c r="A84" s="64" t="inlineStr">
        <is>
          <t>SU002488</t>
        </is>
      </c>
      <c r="B84" s="64" t="inlineStr">
        <is>
          <t>P002800</t>
        </is>
      </c>
      <c r="C84" s="37" t="n">
        <v>4301020189</v>
      </c>
      <c r="D84" s="375" t="n">
        <v>4607091384789</v>
      </c>
      <c r="E84" s="642" t="n"/>
      <c r="F84" s="674" t="n">
        <v>1</v>
      </c>
      <c r="G84" s="38" t="n">
        <v>6</v>
      </c>
      <c r="H84" s="674" t="n">
        <v>6</v>
      </c>
      <c r="I84" s="674" t="n">
        <v>6.36</v>
      </c>
      <c r="J84" s="38" t="n">
        <v>104</v>
      </c>
      <c r="K84" s="39" t="inlineStr">
        <is>
          <t>СК1</t>
        </is>
      </c>
      <c r="L84" s="38" t="n">
        <v>45</v>
      </c>
      <c r="M84" s="716" t="inlineStr">
        <is>
          <t>Ветчины Запекуша с сочным окороком Вязанка Весовые П/а Вязанка</t>
        </is>
      </c>
      <c r="N84" s="676" t="n"/>
      <c r="O84" s="676" t="n"/>
      <c r="P84" s="676" t="n"/>
      <c r="Q84" s="642" t="n"/>
      <c r="R84" s="40" t="inlineStr"/>
      <c r="S84" s="40" t="inlineStr"/>
      <c r="T84" s="41" t="inlineStr">
        <is>
          <t>кг</t>
        </is>
      </c>
      <c r="U84" s="677" t="n">
        <v>0</v>
      </c>
      <c r="V84" s="678">
        <f>IFERROR(IF(U84="",0,CEILING((U84/$H84),1)*$H84),"")</f>
        <v/>
      </c>
      <c r="W84" s="42">
        <f>IFERROR(IF(V84=0,"",ROUNDUP(V84/H84,0)*0.01196),"")</f>
        <v/>
      </c>
      <c r="X84" s="69" t="inlineStr"/>
      <c r="Y84" s="70" t="inlineStr"/>
      <c r="AC84" s="106" t="inlineStr">
        <is>
          <t>КИ</t>
        </is>
      </c>
    </row>
    <row r="85" ht="16.5" customHeight="1">
      <c r="A85" s="64" t="inlineStr">
        <is>
          <t>SU002833</t>
        </is>
      </c>
      <c r="B85" s="64" t="inlineStr">
        <is>
          <t>P003236</t>
        </is>
      </c>
      <c r="C85" s="37" t="n">
        <v>4301020235</v>
      </c>
      <c r="D85" s="375" t="n">
        <v>4680115881488</v>
      </c>
      <c r="E85" s="642" t="n"/>
      <c r="F85" s="674" t="n">
        <v>1.35</v>
      </c>
      <c r="G85" s="38" t="n">
        <v>8</v>
      </c>
      <c r="H85" s="674" t="n">
        <v>10.8</v>
      </c>
      <c r="I85" s="674" t="n">
        <v>11.28</v>
      </c>
      <c r="J85" s="38" t="n">
        <v>48</v>
      </c>
      <c r="K85" s="39" t="inlineStr">
        <is>
          <t>СК1</t>
        </is>
      </c>
      <c r="L85" s="38" t="n">
        <v>50</v>
      </c>
      <c r="M85" s="717">
        <f>HYPERLINK("https://abi.ru/products/Охлажденные/Вязанка/Вязанка/Ветчины/P003236/","Ветчины Сливушка с индейкой Вязанка вес П/а Вязанка")</f>
        <v/>
      </c>
      <c r="N85" s="676" t="n"/>
      <c r="O85" s="676" t="n"/>
      <c r="P85" s="676" t="n"/>
      <c r="Q85" s="642" t="n"/>
      <c r="R85" s="40" t="inlineStr"/>
      <c r="S85" s="40" t="inlineStr"/>
      <c r="T85" s="41" t="inlineStr">
        <is>
          <t>кг</t>
        </is>
      </c>
      <c r="U85" s="677" t="n">
        <v>0</v>
      </c>
      <c r="V85" s="678">
        <f>IFERROR(IF(U85="",0,CEILING((U85/$H85),1)*$H85),"")</f>
        <v/>
      </c>
      <c r="W85" s="42">
        <f>IFERROR(IF(V85=0,"",ROUNDUP(V85/H85,0)*0.02175),"")</f>
        <v/>
      </c>
      <c r="X85" s="69" t="inlineStr"/>
      <c r="Y85" s="70" t="inlineStr"/>
      <c r="AC85" s="107" t="inlineStr">
        <is>
          <t>КИ</t>
        </is>
      </c>
    </row>
    <row r="86" ht="27" customHeight="1">
      <c r="A86" s="64" t="inlineStr">
        <is>
          <t>SU002313</t>
        </is>
      </c>
      <c r="B86" s="64" t="inlineStr">
        <is>
          <t>P002583</t>
        </is>
      </c>
      <c r="C86" s="37" t="n">
        <v>4301020183</v>
      </c>
      <c r="D86" s="375" t="n">
        <v>4607091384765</v>
      </c>
      <c r="E86" s="642" t="n"/>
      <c r="F86" s="674" t="n">
        <v>0.42</v>
      </c>
      <c r="G86" s="38" t="n">
        <v>6</v>
      </c>
      <c r="H86" s="674" t="n">
        <v>2.52</v>
      </c>
      <c r="I86" s="674" t="n">
        <v>2.72</v>
      </c>
      <c r="J86" s="38" t="n">
        <v>156</v>
      </c>
      <c r="K86" s="39" t="inlineStr">
        <is>
          <t>СК1</t>
        </is>
      </c>
      <c r="L86" s="38" t="n">
        <v>45</v>
      </c>
      <c r="M86" s="718" t="inlineStr">
        <is>
          <t>Ветчины Запекуша с сочным окороком Вязанка Фикс.вес 0,42 п/а Вязанка</t>
        </is>
      </c>
      <c r="N86" s="676" t="n"/>
      <c r="O86" s="676" t="n"/>
      <c r="P86" s="676" t="n"/>
      <c r="Q86" s="642" t="n"/>
      <c r="R86" s="40" t="inlineStr"/>
      <c r="S86" s="40" t="inlineStr"/>
      <c r="T86" s="41" t="inlineStr">
        <is>
          <t>кг</t>
        </is>
      </c>
      <c r="U86" s="677" t="n">
        <v>0</v>
      </c>
      <c r="V86" s="678">
        <f>IFERROR(IF(U86="",0,CEILING((U86/$H86),1)*$H86),"")</f>
        <v/>
      </c>
      <c r="W86" s="42">
        <f>IFERROR(IF(V86=0,"",ROUNDUP(V86/H86,0)*0.00753),"")</f>
        <v/>
      </c>
      <c r="X86" s="69" t="inlineStr"/>
      <c r="Y86" s="70" t="inlineStr"/>
      <c r="AC86" s="108" t="inlineStr">
        <is>
          <t>КИ</t>
        </is>
      </c>
    </row>
    <row r="87" ht="27" customHeight="1">
      <c r="A87" s="64" t="inlineStr">
        <is>
          <t>SU002735</t>
        </is>
      </c>
      <c r="B87" s="64" t="inlineStr">
        <is>
          <t>P003107</t>
        </is>
      </c>
      <c r="C87" s="37" t="n">
        <v>4301020217</v>
      </c>
      <c r="D87" s="375" t="n">
        <v>4680115880658</v>
      </c>
      <c r="E87" s="642" t="n"/>
      <c r="F87" s="674" t="n">
        <v>0.4</v>
      </c>
      <c r="G87" s="38" t="n">
        <v>6</v>
      </c>
      <c r="H87" s="674" t="n">
        <v>2.4</v>
      </c>
      <c r="I87" s="674" t="n">
        <v>2.6</v>
      </c>
      <c r="J87" s="38" t="n">
        <v>156</v>
      </c>
      <c r="K87" s="39" t="inlineStr">
        <is>
          <t>СК1</t>
        </is>
      </c>
      <c r="L87" s="38" t="n">
        <v>50</v>
      </c>
      <c r="M87" s="719">
        <f>HYPERLINK("https://abi.ru/products/Охлажденные/Вязанка/Вязанка/Ветчины/P003107/","Ветчины Сливушка с индейкой Вязанка Фикс.вес 0,4 П/а Вязанка")</f>
        <v/>
      </c>
      <c r="N87" s="676" t="n"/>
      <c r="O87" s="676" t="n"/>
      <c r="P87" s="676" t="n"/>
      <c r="Q87" s="642" t="n"/>
      <c r="R87" s="40" t="inlineStr"/>
      <c r="S87" s="40" t="inlineStr"/>
      <c r="T87" s="41" t="inlineStr">
        <is>
          <t>кг</t>
        </is>
      </c>
      <c r="U87" s="677" t="n">
        <v>0</v>
      </c>
      <c r="V87" s="678">
        <f>IFERROR(IF(U87="",0,CEILING((U87/$H87),1)*$H87),"")</f>
        <v/>
      </c>
      <c r="W87" s="42">
        <f>IFERROR(IF(V87=0,"",ROUNDUP(V87/H87,0)*0.00753),"")</f>
        <v/>
      </c>
      <c r="X87" s="69" t="inlineStr"/>
      <c r="Y87" s="70" t="inlineStr"/>
      <c r="AC87" s="109" t="inlineStr">
        <is>
          <t>КИ</t>
        </is>
      </c>
    </row>
    <row r="88" ht="27" customHeight="1">
      <c r="A88" s="64" t="inlineStr">
        <is>
          <t>SU000082</t>
        </is>
      </c>
      <c r="B88" s="64" t="inlineStr">
        <is>
          <t>P003164</t>
        </is>
      </c>
      <c r="C88" s="37" t="n">
        <v>4301020223</v>
      </c>
      <c r="D88" s="375" t="n">
        <v>4607091381962</v>
      </c>
      <c r="E88" s="642" t="n"/>
      <c r="F88" s="674" t="n">
        <v>0.5</v>
      </c>
      <c r="G88" s="38" t="n">
        <v>6</v>
      </c>
      <c r="H88" s="674" t="n">
        <v>3</v>
      </c>
      <c r="I88" s="674" t="n">
        <v>3.2</v>
      </c>
      <c r="J88" s="38" t="n">
        <v>156</v>
      </c>
      <c r="K88" s="39" t="inlineStr">
        <is>
          <t>СК1</t>
        </is>
      </c>
      <c r="L88" s="38" t="n">
        <v>50</v>
      </c>
      <c r="M88" s="720">
        <f>HYPERLINK("https://abi.ru/products/Охлажденные/Вязанка/Вязанка/Ветчины/P003164/","Ветчины Столичная Вязанка Фикс.вес 0,5 Вектор Вязанка")</f>
        <v/>
      </c>
      <c r="N88" s="676" t="n"/>
      <c r="O88" s="676" t="n"/>
      <c r="P88" s="676" t="n"/>
      <c r="Q88" s="642" t="n"/>
      <c r="R88" s="40" t="inlineStr"/>
      <c r="S88" s="40" t="inlineStr"/>
      <c r="T88" s="41" t="inlineStr">
        <is>
          <t>кг</t>
        </is>
      </c>
      <c r="U88" s="677" t="n">
        <v>0</v>
      </c>
      <c r="V88" s="678">
        <f>IFERROR(IF(U88="",0,CEILING((U88/$H88),1)*$H88),"")</f>
        <v/>
      </c>
      <c r="W88" s="42">
        <f>IFERROR(IF(V88=0,"",ROUNDUP(V88/H88,0)*0.00753),"")</f>
        <v/>
      </c>
      <c r="X88" s="69" t="inlineStr"/>
      <c r="Y88" s="70" t="inlineStr"/>
      <c r="AC88" s="110" t="inlineStr">
        <is>
          <t>КИ</t>
        </is>
      </c>
    </row>
    <row r="89">
      <c r="A89" s="383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679" t="n"/>
      <c r="M89" s="680" t="inlineStr">
        <is>
          <t>Итого</t>
        </is>
      </c>
      <c r="N89" s="650" t="n"/>
      <c r="O89" s="650" t="n"/>
      <c r="P89" s="650" t="n"/>
      <c r="Q89" s="650" t="n"/>
      <c r="R89" s="650" t="n"/>
      <c r="S89" s="651" t="n"/>
      <c r="T89" s="43" t="inlineStr">
        <is>
          <t>кор</t>
        </is>
      </c>
      <c r="U89" s="681">
        <f>IFERROR(U83/H83,"0")+IFERROR(U84/H84,"0")+IFERROR(U85/H85,"0")+IFERROR(U86/H86,"0")+IFERROR(U87/H87,"0")+IFERROR(U88/H88,"0")</f>
        <v/>
      </c>
      <c r="V89" s="681">
        <f>IFERROR(V83/H83,"0")+IFERROR(V84/H84,"0")+IFERROR(V85/H85,"0")+IFERROR(V86/H86,"0")+IFERROR(V87/H87,"0")+IFERROR(V88/H88,"0")</f>
        <v/>
      </c>
      <c r="W89" s="681">
        <f>IFERROR(IF(W83="",0,W83),"0")+IFERROR(IF(W84="",0,W84),"0")+IFERROR(IF(W85="",0,W85),"0")+IFERROR(IF(W86="",0,W86),"0")+IFERROR(IF(W87="",0,W87),"0")+IFERROR(IF(W88="",0,W88),"0")</f>
        <v/>
      </c>
      <c r="X89" s="682" t="n"/>
      <c r="Y89" s="682" t="n"/>
    </row>
    <row r="90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679" t="n"/>
      <c r="M90" s="680" t="inlineStr">
        <is>
          <t>Итого</t>
        </is>
      </c>
      <c r="N90" s="650" t="n"/>
      <c r="O90" s="650" t="n"/>
      <c r="P90" s="650" t="n"/>
      <c r="Q90" s="650" t="n"/>
      <c r="R90" s="650" t="n"/>
      <c r="S90" s="651" t="n"/>
      <c r="T90" s="43" t="inlineStr">
        <is>
          <t>кг</t>
        </is>
      </c>
      <c r="U90" s="681">
        <f>IFERROR(SUM(U83:U88),"0")</f>
        <v/>
      </c>
      <c r="V90" s="681">
        <f>IFERROR(SUM(V83:V88),"0")</f>
        <v/>
      </c>
      <c r="W90" s="43" t="n"/>
      <c r="X90" s="682" t="n"/>
      <c r="Y90" s="682" t="n"/>
    </row>
    <row r="91" ht="14.25" customHeight="1">
      <c r="A91" s="374" t="inlineStr">
        <is>
          <t>Копченые колбасы</t>
        </is>
      </c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374" t="n"/>
      <c r="Y91" s="374" t="n"/>
    </row>
    <row r="92" ht="16.5" customHeight="1">
      <c r="A92" s="64" t="inlineStr">
        <is>
          <t>SU000064</t>
        </is>
      </c>
      <c r="B92" s="64" t="inlineStr">
        <is>
          <t>P001841</t>
        </is>
      </c>
      <c r="C92" s="37" t="n">
        <v>4301030895</v>
      </c>
      <c r="D92" s="375" t="n">
        <v>4607091387667</v>
      </c>
      <c r="E92" s="642" t="n"/>
      <c r="F92" s="674" t="n">
        <v>0.9</v>
      </c>
      <c r="G92" s="38" t="n">
        <v>10</v>
      </c>
      <c r="H92" s="674" t="n">
        <v>9</v>
      </c>
      <c r="I92" s="674" t="n">
        <v>9.630000000000001</v>
      </c>
      <c r="J92" s="38" t="n">
        <v>56</v>
      </c>
      <c r="K92" s="39" t="inlineStr">
        <is>
          <t>СК1</t>
        </is>
      </c>
      <c r="L92" s="38" t="n">
        <v>40</v>
      </c>
      <c r="M92" s="721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N92" s="676" t="n"/>
      <c r="O92" s="676" t="n"/>
      <c r="P92" s="676" t="n"/>
      <c r="Q92" s="642" t="n"/>
      <c r="R92" s="40" t="inlineStr"/>
      <c r="S92" s="40" t="inlineStr"/>
      <c r="T92" s="41" t="inlineStr">
        <is>
          <t>кг</t>
        </is>
      </c>
      <c r="U92" s="677" t="n">
        <v>0</v>
      </c>
      <c r="V92" s="678">
        <f>IFERROR(IF(U92="",0,CEILING((U92/$H92),1)*$H92),"")</f>
        <v/>
      </c>
      <c r="W92" s="42">
        <f>IFERROR(IF(V92=0,"",ROUNDUP(V92/H92,0)*0.02175),"")</f>
        <v/>
      </c>
      <c r="X92" s="69" t="inlineStr"/>
      <c r="Y92" s="70" t="inlineStr"/>
      <c r="AC92" s="111" t="inlineStr">
        <is>
          <t>КИ</t>
        </is>
      </c>
    </row>
    <row r="93" ht="27" customHeight="1">
      <c r="A93" s="64" t="inlineStr">
        <is>
          <t>SU000664</t>
        </is>
      </c>
      <c r="B93" s="64" t="inlineStr">
        <is>
          <t>P002177</t>
        </is>
      </c>
      <c r="C93" s="37" t="n">
        <v>4301030961</v>
      </c>
      <c r="D93" s="375" t="n">
        <v>4607091387636</v>
      </c>
      <c r="E93" s="642" t="n"/>
      <c r="F93" s="674" t="n">
        <v>0.7</v>
      </c>
      <c r="G93" s="38" t="n">
        <v>6</v>
      </c>
      <c r="H93" s="674" t="n">
        <v>4.2</v>
      </c>
      <c r="I93" s="674" t="n">
        <v>4.5</v>
      </c>
      <c r="J93" s="38" t="n">
        <v>120</v>
      </c>
      <c r="K93" s="39" t="inlineStr">
        <is>
          <t>СК2</t>
        </is>
      </c>
      <c r="L93" s="38" t="n">
        <v>40</v>
      </c>
      <c r="M93" s="722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N93" s="676" t="n"/>
      <c r="O93" s="676" t="n"/>
      <c r="P93" s="676" t="n"/>
      <c r="Q93" s="642" t="n"/>
      <c r="R93" s="40" t="inlineStr"/>
      <c r="S93" s="40" t="inlineStr"/>
      <c r="T93" s="41" t="inlineStr">
        <is>
          <t>кг</t>
        </is>
      </c>
      <c r="U93" s="677" t="n">
        <v>0</v>
      </c>
      <c r="V93" s="678">
        <f>IFERROR(IF(U93="",0,CEILING((U93/$H93),1)*$H93),"")</f>
        <v/>
      </c>
      <c r="W93" s="42">
        <f>IFERROR(IF(V93=0,"",ROUNDUP(V93/H93,0)*0.00937),"")</f>
        <v/>
      </c>
      <c r="X93" s="69" t="inlineStr"/>
      <c r="Y93" s="70" t="inlineStr"/>
      <c r="AC93" s="112" t="inlineStr">
        <is>
          <t>КИ</t>
        </is>
      </c>
    </row>
    <row r="94" ht="27" customHeight="1">
      <c r="A94" s="64" t="inlineStr">
        <is>
          <t>SU002308</t>
        </is>
      </c>
      <c r="B94" s="64" t="inlineStr">
        <is>
          <t>P002572</t>
        </is>
      </c>
      <c r="C94" s="37" t="n">
        <v>4301031078</v>
      </c>
      <c r="D94" s="375" t="n">
        <v>4607091384727</v>
      </c>
      <c r="E94" s="642" t="n"/>
      <c r="F94" s="674" t="n">
        <v>0.8</v>
      </c>
      <c r="G94" s="38" t="n">
        <v>6</v>
      </c>
      <c r="H94" s="674" t="n">
        <v>4.8</v>
      </c>
      <c r="I94" s="674" t="n">
        <v>5.16</v>
      </c>
      <c r="J94" s="38" t="n">
        <v>104</v>
      </c>
      <c r="K94" s="39" t="inlineStr">
        <is>
          <t>СК2</t>
        </is>
      </c>
      <c r="L94" s="38" t="n">
        <v>45</v>
      </c>
      <c r="M94" s="723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N94" s="676" t="n"/>
      <c r="O94" s="676" t="n"/>
      <c r="P94" s="676" t="n"/>
      <c r="Q94" s="642" t="n"/>
      <c r="R94" s="40" t="inlineStr"/>
      <c r="S94" s="40" t="inlineStr"/>
      <c r="T94" s="41" t="inlineStr">
        <is>
          <t>кг</t>
        </is>
      </c>
      <c r="U94" s="677" t="n">
        <v>0</v>
      </c>
      <c r="V94" s="678">
        <f>IFERROR(IF(U94="",0,CEILING((U94/$H94),1)*$H94),"")</f>
        <v/>
      </c>
      <c r="W94" s="42">
        <f>IFERROR(IF(V94=0,"",ROUNDUP(V94/H94,0)*0.01196),"")</f>
        <v/>
      </c>
      <c r="X94" s="69" t="inlineStr"/>
      <c r="Y94" s="70" t="inlineStr"/>
      <c r="AC94" s="113" t="inlineStr">
        <is>
          <t>КИ</t>
        </is>
      </c>
    </row>
    <row r="95" ht="27" customHeight="1">
      <c r="A95" s="64" t="inlineStr">
        <is>
          <t>SU002310</t>
        </is>
      </c>
      <c r="B95" s="64" t="inlineStr">
        <is>
          <t>P002574</t>
        </is>
      </c>
      <c r="C95" s="37" t="n">
        <v>4301031080</v>
      </c>
      <c r="D95" s="375" t="n">
        <v>4607091386745</v>
      </c>
      <c r="E95" s="642" t="n"/>
      <c r="F95" s="674" t="n">
        <v>0.8</v>
      </c>
      <c r="G95" s="38" t="n">
        <v>6</v>
      </c>
      <c r="H95" s="674" t="n">
        <v>4.8</v>
      </c>
      <c r="I95" s="674" t="n">
        <v>5.16</v>
      </c>
      <c r="J95" s="38" t="n">
        <v>104</v>
      </c>
      <c r="K95" s="39" t="inlineStr">
        <is>
          <t>СК2</t>
        </is>
      </c>
      <c r="L95" s="38" t="n">
        <v>45</v>
      </c>
      <c r="M95" s="724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N95" s="676" t="n"/>
      <c r="O95" s="676" t="n"/>
      <c r="P95" s="676" t="n"/>
      <c r="Q95" s="642" t="n"/>
      <c r="R95" s="40" t="inlineStr"/>
      <c r="S95" s="40" t="inlineStr"/>
      <c r="T95" s="41" t="inlineStr">
        <is>
          <t>кг</t>
        </is>
      </c>
      <c r="U95" s="677" t="n">
        <v>0</v>
      </c>
      <c r="V95" s="678">
        <f>IFERROR(IF(U95="",0,CEILING((U95/$H95),1)*$H95),"")</f>
        <v/>
      </c>
      <c r="W95" s="42">
        <f>IFERROR(IF(V95=0,"",ROUNDUP(V95/H95,0)*0.01196),"")</f>
        <v/>
      </c>
      <c r="X95" s="69" t="inlineStr"/>
      <c r="Y95" s="70" t="inlineStr"/>
      <c r="AC95" s="114" t="inlineStr">
        <is>
          <t>КИ</t>
        </is>
      </c>
    </row>
    <row r="96" ht="16.5" customHeight="1">
      <c r="A96" s="64" t="inlineStr">
        <is>
          <t>SU000097</t>
        </is>
      </c>
      <c r="B96" s="64" t="inlineStr">
        <is>
          <t>P002179</t>
        </is>
      </c>
      <c r="C96" s="37" t="n">
        <v>4301030963</v>
      </c>
      <c r="D96" s="375" t="n">
        <v>4607091382426</v>
      </c>
      <c r="E96" s="642" t="n"/>
      <c r="F96" s="674" t="n">
        <v>0.9</v>
      </c>
      <c r="G96" s="38" t="n">
        <v>10</v>
      </c>
      <c r="H96" s="674" t="n">
        <v>9</v>
      </c>
      <c r="I96" s="674" t="n">
        <v>9.630000000000001</v>
      </c>
      <c r="J96" s="38" t="n">
        <v>56</v>
      </c>
      <c r="K96" s="39" t="inlineStr">
        <is>
          <t>СК2</t>
        </is>
      </c>
      <c r="L96" s="38" t="n">
        <v>40</v>
      </c>
      <c r="M96" s="725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N96" s="676" t="n"/>
      <c r="O96" s="676" t="n"/>
      <c r="P96" s="676" t="n"/>
      <c r="Q96" s="642" t="n"/>
      <c r="R96" s="40" t="inlineStr"/>
      <c r="S96" s="40" t="inlineStr"/>
      <c r="T96" s="41" t="inlineStr">
        <is>
          <t>кг</t>
        </is>
      </c>
      <c r="U96" s="677" t="n">
        <v>0</v>
      </c>
      <c r="V96" s="678">
        <f>IFERROR(IF(U96="",0,CEILING((U96/$H96),1)*$H96),"")</f>
        <v/>
      </c>
      <c r="W96" s="42">
        <f>IFERROR(IF(V96=0,"",ROUNDUP(V96/H96,0)*0.02175),"")</f>
        <v/>
      </c>
      <c r="X96" s="69" t="inlineStr"/>
      <c r="Y96" s="70" t="inlineStr"/>
      <c r="AC96" s="115" t="inlineStr">
        <is>
          <t>КИ</t>
        </is>
      </c>
    </row>
    <row r="97" ht="27" customHeight="1">
      <c r="A97" s="64" t="inlineStr">
        <is>
          <t>SU000665</t>
        </is>
      </c>
      <c r="B97" s="64" t="inlineStr">
        <is>
          <t>P002178</t>
        </is>
      </c>
      <c r="C97" s="37" t="n">
        <v>4301030962</v>
      </c>
      <c r="D97" s="375" t="n">
        <v>4607091386547</v>
      </c>
      <c r="E97" s="642" t="n"/>
      <c r="F97" s="674" t="n">
        <v>0.35</v>
      </c>
      <c r="G97" s="38" t="n">
        <v>8</v>
      </c>
      <c r="H97" s="674" t="n">
        <v>2.8</v>
      </c>
      <c r="I97" s="674" t="n">
        <v>2.94</v>
      </c>
      <c r="J97" s="38" t="n">
        <v>234</v>
      </c>
      <c r="K97" s="39" t="inlineStr">
        <is>
          <t>СК2</t>
        </is>
      </c>
      <c r="L97" s="38" t="n">
        <v>40</v>
      </c>
      <c r="M97" s="726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N97" s="676" t="n"/>
      <c r="O97" s="676" t="n"/>
      <c r="P97" s="676" t="n"/>
      <c r="Q97" s="642" t="n"/>
      <c r="R97" s="40" t="inlineStr"/>
      <c r="S97" s="40" t="inlineStr"/>
      <c r="T97" s="41" t="inlineStr">
        <is>
          <t>кг</t>
        </is>
      </c>
      <c r="U97" s="677" t="n">
        <v>0</v>
      </c>
      <c r="V97" s="678">
        <f>IFERROR(IF(U97="",0,CEILING((U97/$H97),1)*$H97),"")</f>
        <v/>
      </c>
      <c r="W97" s="42">
        <f>IFERROR(IF(V97=0,"",ROUNDUP(V97/H97,0)*0.00502),"")</f>
        <v/>
      </c>
      <c r="X97" s="69" t="inlineStr"/>
      <c r="Y97" s="70" t="inlineStr"/>
      <c r="AC97" s="116" t="inlineStr">
        <is>
          <t>КИ</t>
        </is>
      </c>
    </row>
    <row r="98" ht="27" customHeight="1">
      <c r="A98" s="64" t="inlineStr">
        <is>
          <t>SU002307</t>
        </is>
      </c>
      <c r="B98" s="64" t="inlineStr">
        <is>
          <t>P002571</t>
        </is>
      </c>
      <c r="C98" s="37" t="n">
        <v>4301031077</v>
      </c>
      <c r="D98" s="375" t="n">
        <v>4607091384703</v>
      </c>
      <c r="E98" s="642" t="n"/>
      <c r="F98" s="674" t="n">
        <v>0.35</v>
      </c>
      <c r="G98" s="38" t="n">
        <v>6</v>
      </c>
      <c r="H98" s="674" t="n">
        <v>2.1</v>
      </c>
      <c r="I98" s="674" t="n">
        <v>2.2</v>
      </c>
      <c r="J98" s="38" t="n">
        <v>234</v>
      </c>
      <c r="K98" s="39" t="inlineStr">
        <is>
          <t>СК2</t>
        </is>
      </c>
      <c r="L98" s="38" t="n">
        <v>45</v>
      </c>
      <c r="M98" s="727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/>
      </c>
      <c r="N98" s="676" t="n"/>
      <c r="O98" s="676" t="n"/>
      <c r="P98" s="676" t="n"/>
      <c r="Q98" s="642" t="n"/>
      <c r="R98" s="40" t="inlineStr"/>
      <c r="S98" s="40" t="inlineStr"/>
      <c r="T98" s="41" t="inlineStr">
        <is>
          <t>кг</t>
        </is>
      </c>
      <c r="U98" s="677" t="n">
        <v>0</v>
      </c>
      <c r="V98" s="678">
        <f>IFERROR(IF(U98="",0,CEILING((U98/$H98),1)*$H98),"")</f>
        <v/>
      </c>
      <c r="W98" s="42">
        <f>IFERROR(IF(V98=0,"",ROUNDUP(V98/H98,0)*0.00502),"")</f>
        <v/>
      </c>
      <c r="X98" s="69" t="inlineStr"/>
      <c r="Y98" s="70" t="inlineStr"/>
      <c r="AC98" s="117" t="inlineStr">
        <is>
          <t>КИ</t>
        </is>
      </c>
    </row>
    <row r="99" ht="27" customHeight="1">
      <c r="A99" s="64" t="inlineStr">
        <is>
          <t>SU002309</t>
        </is>
      </c>
      <c r="B99" s="64" t="inlineStr">
        <is>
          <t>P002573</t>
        </is>
      </c>
      <c r="C99" s="37" t="n">
        <v>4301031079</v>
      </c>
      <c r="D99" s="375" t="n">
        <v>4607091384734</v>
      </c>
      <c r="E99" s="642" t="n"/>
      <c r="F99" s="674" t="n">
        <v>0.35</v>
      </c>
      <c r="G99" s="38" t="n">
        <v>6</v>
      </c>
      <c r="H99" s="674" t="n">
        <v>2.1</v>
      </c>
      <c r="I99" s="674" t="n">
        <v>2.2</v>
      </c>
      <c r="J99" s="38" t="n">
        <v>234</v>
      </c>
      <c r="K99" s="39" t="inlineStr">
        <is>
          <t>СК2</t>
        </is>
      </c>
      <c r="L99" s="38" t="n">
        <v>45</v>
      </c>
      <c r="M99" s="728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N99" s="676" t="n"/>
      <c r="O99" s="676" t="n"/>
      <c r="P99" s="676" t="n"/>
      <c r="Q99" s="642" t="n"/>
      <c r="R99" s="40" t="inlineStr"/>
      <c r="S99" s="40" t="inlineStr"/>
      <c r="T99" s="41" t="inlineStr">
        <is>
          <t>кг</t>
        </is>
      </c>
      <c r="U99" s="677" t="n">
        <v>0</v>
      </c>
      <c r="V99" s="678">
        <f>IFERROR(IF(U99="",0,CEILING((U99/$H99),1)*$H99),"")</f>
        <v/>
      </c>
      <c r="W99" s="42">
        <f>IFERROR(IF(V99=0,"",ROUNDUP(V99/H99,0)*0.00502),"")</f>
        <v/>
      </c>
      <c r="X99" s="69" t="inlineStr"/>
      <c r="Y99" s="70" t="inlineStr"/>
      <c r="AC99" s="118" t="inlineStr">
        <is>
          <t>КИ</t>
        </is>
      </c>
    </row>
    <row r="100" ht="27" customHeight="1">
      <c r="A100" s="64" t="inlineStr">
        <is>
          <t>SU001605</t>
        </is>
      </c>
      <c r="B100" s="64" t="inlineStr">
        <is>
          <t>P002180</t>
        </is>
      </c>
      <c r="C100" s="37" t="n">
        <v>4301030964</v>
      </c>
      <c r="D100" s="375" t="n">
        <v>4607091382464</v>
      </c>
      <c r="E100" s="642" t="n"/>
      <c r="F100" s="674" t="n">
        <v>0.35</v>
      </c>
      <c r="G100" s="38" t="n">
        <v>8</v>
      </c>
      <c r="H100" s="674" t="n">
        <v>2.8</v>
      </c>
      <c r="I100" s="674" t="n">
        <v>2.964</v>
      </c>
      <c r="J100" s="38" t="n">
        <v>234</v>
      </c>
      <c r="K100" s="39" t="inlineStr">
        <is>
          <t>СК2</t>
        </is>
      </c>
      <c r="L100" s="38" t="n">
        <v>40</v>
      </c>
      <c r="M100" s="729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N100" s="676" t="n"/>
      <c r="O100" s="676" t="n"/>
      <c r="P100" s="676" t="n"/>
      <c r="Q100" s="642" t="n"/>
      <c r="R100" s="40" t="inlineStr"/>
      <c r="S100" s="40" t="inlineStr"/>
      <c r="T100" s="41" t="inlineStr">
        <is>
          <t>кг</t>
        </is>
      </c>
      <c r="U100" s="677" t="n">
        <v>0</v>
      </c>
      <c r="V100" s="678">
        <f>IFERROR(IF(U100="",0,CEILING((U100/$H100),1)*$H100),"")</f>
        <v/>
      </c>
      <c r="W100" s="42">
        <f>IFERROR(IF(V100=0,"",ROUNDUP(V100/H100,0)*0.00502),"")</f>
        <v/>
      </c>
      <c r="X100" s="69" t="inlineStr"/>
      <c r="Y100" s="70" t="inlineStr"/>
      <c r="AC100" s="119" t="inlineStr">
        <is>
          <t>КИ</t>
        </is>
      </c>
    </row>
    <row r="101">
      <c r="A101" s="383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679" t="n"/>
      <c r="M101" s="680" t="inlineStr">
        <is>
          <t>Итого</t>
        </is>
      </c>
      <c r="N101" s="650" t="n"/>
      <c r="O101" s="650" t="n"/>
      <c r="P101" s="650" t="n"/>
      <c r="Q101" s="650" t="n"/>
      <c r="R101" s="650" t="n"/>
      <c r="S101" s="651" t="n"/>
      <c r="T101" s="43" t="inlineStr">
        <is>
          <t>кор</t>
        </is>
      </c>
      <c r="U101" s="681">
        <f>IFERROR(U92/H92,"0")+IFERROR(U93/H93,"0")+IFERROR(U94/H94,"0")+IFERROR(U95/H95,"0")+IFERROR(U96/H96,"0")+IFERROR(U97/H97,"0")+IFERROR(U98/H98,"0")+IFERROR(U99/H99,"0")+IFERROR(U100/H100,"0")</f>
        <v/>
      </c>
      <c r="V101" s="681">
        <f>IFERROR(V92/H92,"0")+IFERROR(V93/H93,"0")+IFERROR(V94/H94,"0")+IFERROR(V95/H95,"0")+IFERROR(V96/H96,"0")+IFERROR(V97/H97,"0")+IFERROR(V98/H98,"0")+IFERROR(V99/H99,"0")+IFERROR(V100/H100,"0")</f>
        <v/>
      </c>
      <c r="W101" s="681">
        <f>IFERROR(IF(W92="",0,W92),"0")+IFERROR(IF(W93="",0,W93),"0")+IFERROR(IF(W94="",0,W94),"0")+IFERROR(IF(W95="",0,W95),"0")+IFERROR(IF(W96="",0,W96),"0")+IFERROR(IF(W97="",0,W97),"0")+IFERROR(IF(W98="",0,W98),"0")+IFERROR(IF(W99="",0,W99),"0")+IFERROR(IF(W100="",0,W100),"0")</f>
        <v/>
      </c>
      <c r="X101" s="682" t="n"/>
      <c r="Y101" s="682" t="n"/>
    </row>
    <row r="102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679" t="n"/>
      <c r="M102" s="680" t="inlineStr">
        <is>
          <t>Итого</t>
        </is>
      </c>
      <c r="N102" s="650" t="n"/>
      <c r="O102" s="650" t="n"/>
      <c r="P102" s="650" t="n"/>
      <c r="Q102" s="650" t="n"/>
      <c r="R102" s="650" t="n"/>
      <c r="S102" s="651" t="n"/>
      <c r="T102" s="43" t="inlineStr">
        <is>
          <t>кг</t>
        </is>
      </c>
      <c r="U102" s="681">
        <f>IFERROR(SUM(U92:U100),"0")</f>
        <v/>
      </c>
      <c r="V102" s="681">
        <f>IFERROR(SUM(V92:V100),"0")</f>
        <v/>
      </c>
      <c r="W102" s="43" t="n"/>
      <c r="X102" s="682" t="n"/>
      <c r="Y102" s="682" t="n"/>
    </row>
    <row r="103" ht="14.25" customHeight="1">
      <c r="A103" s="374" t="inlineStr">
        <is>
          <t>Сосиски</t>
        </is>
      </c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374" t="n"/>
      <c r="Y103" s="374" t="n"/>
    </row>
    <row r="104" ht="27" customHeight="1">
      <c r="A104" s="64" t="inlineStr">
        <is>
          <t>SU001523</t>
        </is>
      </c>
      <c r="B104" s="64" t="inlineStr">
        <is>
          <t>P003328</t>
        </is>
      </c>
      <c r="C104" s="37" t="n">
        <v>4301051437</v>
      </c>
      <c r="D104" s="375" t="n">
        <v>4607091386967</v>
      </c>
      <c r="E104" s="642" t="n"/>
      <c r="F104" s="674" t="n">
        <v>1.35</v>
      </c>
      <c r="G104" s="38" t="n">
        <v>6</v>
      </c>
      <c r="H104" s="674" t="n">
        <v>8.1</v>
      </c>
      <c r="I104" s="674" t="n">
        <v>8.664</v>
      </c>
      <c r="J104" s="38" t="n">
        <v>56</v>
      </c>
      <c r="K104" s="39" t="inlineStr">
        <is>
          <t>СК3</t>
        </is>
      </c>
      <c r="L104" s="38" t="n">
        <v>45</v>
      </c>
      <c r="M104" s="730" t="inlineStr">
        <is>
          <t>Сосиски Молокуши (Вязанка Молочные) Вязанка Весовые П/а мгс Вязанка</t>
        </is>
      </c>
      <c r="N104" s="676" t="n"/>
      <c r="O104" s="676" t="n"/>
      <c r="P104" s="676" t="n"/>
      <c r="Q104" s="642" t="n"/>
      <c r="R104" s="40" t="inlineStr"/>
      <c r="S104" s="40" t="inlineStr"/>
      <c r="T104" s="41" t="inlineStr">
        <is>
          <t>кг</t>
        </is>
      </c>
      <c r="U104" s="677" t="n">
        <v>0</v>
      </c>
      <c r="V104" s="678">
        <f>IFERROR(IF(U104="",0,CEILING((U104/$H104),1)*$H104),"")</f>
        <v/>
      </c>
      <c r="W104" s="42">
        <f>IFERROR(IF(V104=0,"",ROUNDUP(V104/H104,0)*0.02175),"")</f>
        <v/>
      </c>
      <c r="X104" s="69" t="inlineStr"/>
      <c r="Y104" s="70" t="inlineStr"/>
      <c r="AC104" s="120" t="inlineStr">
        <is>
          <t>КИ</t>
        </is>
      </c>
    </row>
    <row r="105" ht="16.5" customHeight="1">
      <c r="A105" s="64" t="inlineStr">
        <is>
          <t>SU001351</t>
        </is>
      </c>
      <c r="B105" s="64" t="inlineStr">
        <is>
          <t>P003025</t>
        </is>
      </c>
      <c r="C105" s="37" t="n">
        <v>4301051311</v>
      </c>
      <c r="D105" s="375" t="n">
        <v>4607091385304</v>
      </c>
      <c r="E105" s="642" t="n"/>
      <c r="F105" s="674" t="n">
        <v>1.35</v>
      </c>
      <c r="G105" s="38" t="n">
        <v>6</v>
      </c>
      <c r="H105" s="674" t="n">
        <v>8.1</v>
      </c>
      <c r="I105" s="674" t="n">
        <v>8.664</v>
      </c>
      <c r="J105" s="38" t="n">
        <v>56</v>
      </c>
      <c r="K105" s="39" t="inlineStr">
        <is>
          <t>СК2</t>
        </is>
      </c>
      <c r="L105" s="38" t="n">
        <v>40</v>
      </c>
      <c r="M105" s="731">
        <f>HYPERLINK("https://abi.ru/products/Охлажденные/Вязанка/Вязанка/Сосиски/P003025/","Сосиски Рубленые Вязанка Весовые п/а мгс Вязанка")</f>
        <v/>
      </c>
      <c r="N105" s="676" t="n"/>
      <c r="O105" s="676" t="n"/>
      <c r="P105" s="676" t="n"/>
      <c r="Q105" s="642" t="n"/>
      <c r="R105" s="40" t="inlineStr"/>
      <c r="S105" s="40" t="inlineStr"/>
      <c r="T105" s="41" t="inlineStr">
        <is>
          <t>кг</t>
        </is>
      </c>
      <c r="U105" s="677" t="n">
        <v>0</v>
      </c>
      <c r="V105" s="678">
        <f>IFERROR(IF(U105="",0,CEILING((U105/$H105),1)*$H105),"")</f>
        <v/>
      </c>
      <c r="W105" s="42">
        <f>IFERROR(IF(V105=0,"",ROUNDUP(V105/H105,0)*0.02175),"")</f>
        <v/>
      </c>
      <c r="X105" s="69" t="inlineStr"/>
      <c r="Y105" s="70" t="inlineStr"/>
      <c r="AC105" s="121" t="inlineStr">
        <is>
          <t>КИ</t>
        </is>
      </c>
    </row>
    <row r="106" ht="16.5" customHeight="1">
      <c r="A106" s="64" t="inlineStr">
        <is>
          <t>SU001527</t>
        </is>
      </c>
      <c r="B106" s="64" t="inlineStr">
        <is>
          <t>P002217</t>
        </is>
      </c>
      <c r="C106" s="37" t="n">
        <v>4301051306</v>
      </c>
      <c r="D106" s="375" t="n">
        <v>4607091386264</v>
      </c>
      <c r="E106" s="642" t="n"/>
      <c r="F106" s="674" t="n">
        <v>0.5</v>
      </c>
      <c r="G106" s="38" t="n">
        <v>6</v>
      </c>
      <c r="H106" s="674" t="n">
        <v>3</v>
      </c>
      <c r="I106" s="674" t="n">
        <v>3.278</v>
      </c>
      <c r="J106" s="38" t="n">
        <v>156</v>
      </c>
      <c r="K106" s="39" t="inlineStr">
        <is>
          <t>СК2</t>
        </is>
      </c>
      <c r="L106" s="38" t="n">
        <v>31</v>
      </c>
      <c r="M106" s="732">
        <f>HYPERLINK("https://abi.ru/products/Охлажденные/Вязанка/Вязанка/Сосиски/P002217/","Сосиски Венские Вязанка Фикс.вес 0,5 NDX мгс Вязанка")</f>
        <v/>
      </c>
      <c r="N106" s="676" t="n"/>
      <c r="O106" s="676" t="n"/>
      <c r="P106" s="676" t="n"/>
      <c r="Q106" s="642" t="n"/>
      <c r="R106" s="40" t="inlineStr"/>
      <c r="S106" s="40" t="inlineStr"/>
      <c r="T106" s="41" t="inlineStr">
        <is>
          <t>кг</t>
        </is>
      </c>
      <c r="U106" s="677" t="n">
        <v>0</v>
      </c>
      <c r="V106" s="678">
        <f>IFERROR(IF(U106="",0,CEILING((U106/$H106),1)*$H106),"")</f>
        <v/>
      </c>
      <c r="W106" s="42">
        <f>IFERROR(IF(V106=0,"",ROUNDUP(V106/H106,0)*0.00753),"")</f>
        <v/>
      </c>
      <c r="X106" s="69" t="inlineStr"/>
      <c r="Y106" s="70" t="inlineStr"/>
      <c r="AC106" s="122" t="inlineStr">
        <is>
          <t>КИ</t>
        </is>
      </c>
    </row>
    <row r="107" ht="27" customHeight="1">
      <c r="A107" s="64" t="inlineStr">
        <is>
          <t>SU001718</t>
        </is>
      </c>
      <c r="B107" s="64" t="inlineStr">
        <is>
          <t>P003327</t>
        </is>
      </c>
      <c r="C107" s="37" t="n">
        <v>4301051436</v>
      </c>
      <c r="D107" s="375" t="n">
        <v>4607091385731</v>
      </c>
      <c r="E107" s="642" t="n"/>
      <c r="F107" s="674" t="n">
        <v>0.45</v>
      </c>
      <c r="G107" s="38" t="n">
        <v>6</v>
      </c>
      <c r="H107" s="674" t="n">
        <v>2.7</v>
      </c>
      <c r="I107" s="674" t="n">
        <v>2.972</v>
      </c>
      <c r="J107" s="38" t="n">
        <v>156</v>
      </c>
      <c r="K107" s="39" t="inlineStr">
        <is>
          <t>СК3</t>
        </is>
      </c>
      <c r="L107" s="38" t="n">
        <v>45</v>
      </c>
      <c r="M107" s="733" t="inlineStr">
        <is>
          <t>Сосиски Молокуши (Вязанка Молочные) Вязанка Фикс.вес 0,45 П/а мгс Вязанка</t>
        </is>
      </c>
      <c r="N107" s="676" t="n"/>
      <c r="O107" s="676" t="n"/>
      <c r="P107" s="676" t="n"/>
      <c r="Q107" s="642" t="n"/>
      <c r="R107" s="40" t="inlineStr"/>
      <c r="S107" s="40" t="inlineStr"/>
      <c r="T107" s="41" t="inlineStr">
        <is>
          <t>кг</t>
        </is>
      </c>
      <c r="U107" s="677" t="n">
        <v>0</v>
      </c>
      <c r="V107" s="678">
        <f>IFERROR(IF(U107="",0,CEILING((U107/$H107),1)*$H107),"")</f>
        <v/>
      </c>
      <c r="W107" s="42">
        <f>IFERROR(IF(V107=0,"",ROUNDUP(V107/H107,0)*0.00753),"")</f>
        <v/>
      </c>
      <c r="X107" s="69" t="inlineStr"/>
      <c r="Y107" s="70" t="inlineStr"/>
      <c r="AC107" s="123" t="inlineStr">
        <is>
          <t>КИ</t>
        </is>
      </c>
    </row>
    <row r="108" ht="27" customHeight="1">
      <c r="A108" s="64" t="inlineStr">
        <is>
          <t>SU002658</t>
        </is>
      </c>
      <c r="B108" s="64" t="inlineStr">
        <is>
          <t>P003326</t>
        </is>
      </c>
      <c r="C108" s="37" t="n">
        <v>4301051439</v>
      </c>
      <c r="D108" s="375" t="n">
        <v>4680115880214</v>
      </c>
      <c r="E108" s="642" t="n"/>
      <c r="F108" s="674" t="n">
        <v>0.45</v>
      </c>
      <c r="G108" s="38" t="n">
        <v>6</v>
      </c>
      <c r="H108" s="674" t="n">
        <v>2.7</v>
      </c>
      <c r="I108" s="674" t="n">
        <v>2.988</v>
      </c>
      <c r="J108" s="38" t="n">
        <v>120</v>
      </c>
      <c r="K108" s="39" t="inlineStr">
        <is>
          <t>СК3</t>
        </is>
      </c>
      <c r="L108" s="38" t="n">
        <v>45</v>
      </c>
      <c r="M108" s="734" t="inlineStr">
        <is>
          <t>Сосиски Молокуши миникушай Вязанка Ф/в 0,45 амилюкс мгс Вязанка</t>
        </is>
      </c>
      <c r="N108" s="676" t="n"/>
      <c r="O108" s="676" t="n"/>
      <c r="P108" s="676" t="n"/>
      <c r="Q108" s="642" t="n"/>
      <c r="R108" s="40" t="inlineStr"/>
      <c r="S108" s="40" t="inlineStr"/>
      <c r="T108" s="41" t="inlineStr">
        <is>
          <t>кг</t>
        </is>
      </c>
      <c r="U108" s="677" t="n">
        <v>0</v>
      </c>
      <c r="V108" s="678">
        <f>IFERROR(IF(U108="",0,CEILING((U108/$H108),1)*$H108),"")</f>
        <v/>
      </c>
      <c r="W108" s="42">
        <f>IFERROR(IF(V108=0,"",ROUNDUP(V108/H108,0)*0.00937),"")</f>
        <v/>
      </c>
      <c r="X108" s="69" t="inlineStr"/>
      <c r="Y108" s="70" t="inlineStr"/>
      <c r="AC108" s="124" t="inlineStr">
        <is>
          <t>КИ</t>
        </is>
      </c>
    </row>
    <row r="109" ht="27" customHeight="1">
      <c r="A109" s="64" t="inlineStr">
        <is>
          <t>SU002769</t>
        </is>
      </c>
      <c r="B109" s="64" t="inlineStr">
        <is>
          <t>P003324</t>
        </is>
      </c>
      <c r="C109" s="37" t="n">
        <v>4301051438</v>
      </c>
      <c r="D109" s="375" t="n">
        <v>4680115880894</v>
      </c>
      <c r="E109" s="642" t="n"/>
      <c r="F109" s="674" t="n">
        <v>0.33</v>
      </c>
      <c r="G109" s="38" t="n">
        <v>6</v>
      </c>
      <c r="H109" s="674" t="n">
        <v>1.98</v>
      </c>
      <c r="I109" s="674" t="n">
        <v>2.258</v>
      </c>
      <c r="J109" s="38" t="n">
        <v>156</v>
      </c>
      <c r="K109" s="39" t="inlineStr">
        <is>
          <t>СК3</t>
        </is>
      </c>
      <c r="L109" s="38" t="n">
        <v>45</v>
      </c>
      <c r="M109" s="735" t="inlineStr">
        <is>
          <t>Сосиски Молокуши Миникушай Вязанка фикс.вес 0,33 п/а Вязанка</t>
        </is>
      </c>
      <c r="N109" s="676" t="n"/>
      <c r="O109" s="676" t="n"/>
      <c r="P109" s="676" t="n"/>
      <c r="Q109" s="642" t="n"/>
      <c r="R109" s="40" t="inlineStr"/>
      <c r="S109" s="40" t="inlineStr"/>
      <c r="T109" s="41" t="inlineStr">
        <is>
          <t>кг</t>
        </is>
      </c>
      <c r="U109" s="677" t="n">
        <v>0</v>
      </c>
      <c r="V109" s="678">
        <f>IFERROR(IF(U109="",0,CEILING((U109/$H109),1)*$H109),"")</f>
        <v/>
      </c>
      <c r="W109" s="42">
        <f>IFERROR(IF(V109=0,"",ROUNDUP(V109/H109,0)*0.00753),"")</f>
        <v/>
      </c>
      <c r="X109" s="69" t="inlineStr"/>
      <c r="Y109" s="70" t="inlineStr"/>
      <c r="AC109" s="125" t="inlineStr">
        <is>
          <t>КИ</t>
        </is>
      </c>
    </row>
    <row r="110" ht="27" customHeight="1">
      <c r="A110" s="64" t="inlineStr">
        <is>
          <t>SU001354</t>
        </is>
      </c>
      <c r="B110" s="64" t="inlineStr">
        <is>
          <t>P003030</t>
        </is>
      </c>
      <c r="C110" s="37" t="n">
        <v>4301051313</v>
      </c>
      <c r="D110" s="375" t="n">
        <v>4607091385427</v>
      </c>
      <c r="E110" s="642" t="n"/>
      <c r="F110" s="674" t="n">
        <v>0.5</v>
      </c>
      <c r="G110" s="38" t="n">
        <v>6</v>
      </c>
      <c r="H110" s="674" t="n">
        <v>3</v>
      </c>
      <c r="I110" s="674" t="n">
        <v>3.272</v>
      </c>
      <c r="J110" s="38" t="n">
        <v>156</v>
      </c>
      <c r="K110" s="39" t="inlineStr">
        <is>
          <t>СК2</t>
        </is>
      </c>
      <c r="L110" s="38" t="n">
        <v>40</v>
      </c>
      <c r="M110" s="736">
        <f>HYPERLINK("https://abi.ru/products/Охлажденные/Вязанка/Вязанка/Сосиски/P003030/","Сосиски Рубленые Вязанка Фикс.вес 0,5 п/а мгс Вязанка")</f>
        <v/>
      </c>
      <c r="N110" s="676" t="n"/>
      <c r="O110" s="676" t="n"/>
      <c r="P110" s="676" t="n"/>
      <c r="Q110" s="642" t="n"/>
      <c r="R110" s="40" t="inlineStr"/>
      <c r="S110" s="40" t="inlineStr"/>
      <c r="T110" s="41" t="inlineStr">
        <is>
          <t>кг</t>
        </is>
      </c>
      <c r="U110" s="677" t="n">
        <v>0</v>
      </c>
      <c r="V110" s="678">
        <f>IFERROR(IF(U110="",0,CEILING((U110/$H110),1)*$H110),"")</f>
        <v/>
      </c>
      <c r="W110" s="42">
        <f>IFERROR(IF(V110=0,"",ROUNDUP(V110/H110,0)*0.00753),"")</f>
        <v/>
      </c>
      <c r="X110" s="69" t="inlineStr"/>
      <c r="Y110" s="70" t="inlineStr"/>
      <c r="AC110" s="126" t="inlineStr">
        <is>
          <t>КИ</t>
        </is>
      </c>
    </row>
    <row r="111">
      <c r="A111" s="383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679" t="n"/>
      <c r="M111" s="680" t="inlineStr">
        <is>
          <t>Итого</t>
        </is>
      </c>
      <c r="N111" s="650" t="n"/>
      <c r="O111" s="650" t="n"/>
      <c r="P111" s="650" t="n"/>
      <c r="Q111" s="650" t="n"/>
      <c r="R111" s="650" t="n"/>
      <c r="S111" s="651" t="n"/>
      <c r="T111" s="43" t="inlineStr">
        <is>
          <t>кор</t>
        </is>
      </c>
      <c r="U111" s="681">
        <f>IFERROR(U104/H104,"0")+IFERROR(U105/H105,"0")+IFERROR(U106/H106,"0")+IFERROR(U107/H107,"0")+IFERROR(U108/H108,"0")+IFERROR(U109/H109,"0")+IFERROR(U110/H110,"0")</f>
        <v/>
      </c>
      <c r="V111" s="681">
        <f>IFERROR(V104/H104,"0")+IFERROR(V105/H105,"0")+IFERROR(V106/H106,"0")+IFERROR(V107/H107,"0")+IFERROR(V108/H108,"0")+IFERROR(V109/H109,"0")+IFERROR(V110/H110,"0")</f>
        <v/>
      </c>
      <c r="W111" s="681">
        <f>IFERROR(IF(W104="",0,W104),"0")+IFERROR(IF(W105="",0,W105),"0")+IFERROR(IF(W106="",0,W106),"0")+IFERROR(IF(W107="",0,W107),"0")+IFERROR(IF(W108="",0,W108),"0")+IFERROR(IF(W109="",0,W109),"0")+IFERROR(IF(W110="",0,W110),"0")</f>
        <v/>
      </c>
      <c r="X111" s="682" t="n"/>
      <c r="Y111" s="682" t="n"/>
    </row>
    <row r="112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679" t="n"/>
      <c r="M112" s="680" t="inlineStr">
        <is>
          <t>Итого</t>
        </is>
      </c>
      <c r="N112" s="650" t="n"/>
      <c r="O112" s="650" t="n"/>
      <c r="P112" s="650" t="n"/>
      <c r="Q112" s="650" t="n"/>
      <c r="R112" s="650" t="n"/>
      <c r="S112" s="651" t="n"/>
      <c r="T112" s="43" t="inlineStr">
        <is>
          <t>кг</t>
        </is>
      </c>
      <c r="U112" s="681">
        <f>IFERROR(SUM(U104:U110),"0")</f>
        <v/>
      </c>
      <c r="V112" s="681">
        <f>IFERROR(SUM(V104:V110),"0")</f>
        <v/>
      </c>
      <c r="W112" s="43" t="n"/>
      <c r="X112" s="682" t="n"/>
      <c r="Y112" s="682" t="n"/>
    </row>
    <row r="113" ht="14.25" customHeight="1">
      <c r="A113" s="374" t="inlineStr">
        <is>
          <t>Сардельки</t>
        </is>
      </c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374" t="n"/>
      <c r="Y113" s="374" t="n"/>
    </row>
    <row r="114" ht="27" customHeight="1">
      <c r="A114" s="64" t="inlineStr">
        <is>
          <t>SU002071</t>
        </is>
      </c>
      <c r="B114" s="64" t="inlineStr">
        <is>
          <t>P002233</t>
        </is>
      </c>
      <c r="C114" s="37" t="n">
        <v>4301060296</v>
      </c>
      <c r="D114" s="375" t="n">
        <v>4607091383065</v>
      </c>
      <c r="E114" s="642" t="n"/>
      <c r="F114" s="674" t="n">
        <v>0.83</v>
      </c>
      <c r="G114" s="38" t="n">
        <v>4</v>
      </c>
      <c r="H114" s="674" t="n">
        <v>3.32</v>
      </c>
      <c r="I114" s="674" t="n">
        <v>3.582</v>
      </c>
      <c r="J114" s="38" t="n">
        <v>120</v>
      </c>
      <c r="K114" s="39" t="inlineStr">
        <is>
          <t>СК2</t>
        </is>
      </c>
      <c r="L114" s="38" t="n">
        <v>30</v>
      </c>
      <c r="M114" s="737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N114" s="676" t="n"/>
      <c r="O114" s="676" t="n"/>
      <c r="P114" s="676" t="n"/>
      <c r="Q114" s="642" t="n"/>
      <c r="R114" s="40" t="inlineStr"/>
      <c r="S114" s="40" t="inlineStr"/>
      <c r="T114" s="41" t="inlineStr">
        <is>
          <t>кг</t>
        </is>
      </c>
      <c r="U114" s="677" t="n">
        <v>0</v>
      </c>
      <c r="V114" s="678">
        <f>IFERROR(IF(U114="",0,CEILING((U114/$H114),1)*$H114),"")</f>
        <v/>
      </c>
      <c r="W114" s="42">
        <f>IFERROR(IF(V114=0,"",ROUNDUP(V114/H114,0)*0.00937),"")</f>
        <v/>
      </c>
      <c r="X114" s="69" t="inlineStr"/>
      <c r="Y114" s="70" t="inlineStr"/>
      <c r="AC114" s="127" t="inlineStr">
        <is>
          <t>КИ</t>
        </is>
      </c>
    </row>
    <row r="115" ht="27" customHeight="1">
      <c r="A115" s="64" t="inlineStr">
        <is>
          <t>SU002835</t>
        </is>
      </c>
      <c r="B115" s="64" t="inlineStr">
        <is>
          <t>P003237</t>
        </is>
      </c>
      <c r="C115" s="37" t="n">
        <v>4301060350</v>
      </c>
      <c r="D115" s="375" t="n">
        <v>4680115881532</v>
      </c>
      <c r="E115" s="642" t="n"/>
      <c r="F115" s="674" t="n">
        <v>1.35</v>
      </c>
      <c r="G115" s="38" t="n">
        <v>6</v>
      </c>
      <c r="H115" s="674" t="n">
        <v>8.1</v>
      </c>
      <c r="I115" s="674" t="n">
        <v>8.58</v>
      </c>
      <c r="J115" s="38" t="n">
        <v>56</v>
      </c>
      <c r="K115" s="39" t="inlineStr">
        <is>
          <t>СК3</t>
        </is>
      </c>
      <c r="L115" s="38" t="n">
        <v>30</v>
      </c>
      <c r="M115" s="738">
        <f>HYPERLINK("https:///products/Охлажденные/Вязанка/Вязанка/Сардельки/P003237/","Сардельки «Филейские» Весовые NDX мгс ТМ «Вязанка»")</f>
        <v/>
      </c>
      <c r="N115" s="676" t="n"/>
      <c r="O115" s="676" t="n"/>
      <c r="P115" s="676" t="n"/>
      <c r="Q115" s="642" t="n"/>
      <c r="R115" s="40" t="inlineStr"/>
      <c r="S115" s="40" t="inlineStr"/>
      <c r="T115" s="41" t="inlineStr">
        <is>
          <t>кг</t>
        </is>
      </c>
      <c r="U115" s="677" t="n">
        <v>0</v>
      </c>
      <c r="V115" s="678">
        <f>IFERROR(IF(U115="",0,CEILING((U115/$H115),1)*$H115),"")</f>
        <v/>
      </c>
      <c r="W115" s="42">
        <f>IFERROR(IF(V115=0,"",ROUNDUP(V115/H115,0)*0.02175),"")</f>
        <v/>
      </c>
      <c r="X115" s="69" t="inlineStr"/>
      <c r="Y115" s="70" t="inlineStr"/>
      <c r="AC115" s="128" t="inlineStr">
        <is>
          <t>КИ</t>
        </is>
      </c>
    </row>
    <row r="116" ht="16.5" customHeight="1">
      <c r="A116" s="64" t="inlineStr">
        <is>
          <t>SU002367</t>
        </is>
      </c>
      <c r="B116" s="64" t="inlineStr">
        <is>
          <t>P002644</t>
        </is>
      </c>
      <c r="C116" s="37" t="n">
        <v>4301060309</v>
      </c>
      <c r="D116" s="375" t="n">
        <v>4680115880238</v>
      </c>
      <c r="E116" s="642" t="n"/>
      <c r="F116" s="674" t="n">
        <v>0.33</v>
      </c>
      <c r="G116" s="38" t="n">
        <v>6</v>
      </c>
      <c r="H116" s="674" t="n">
        <v>1.98</v>
      </c>
      <c r="I116" s="674" t="n">
        <v>2.258</v>
      </c>
      <c r="J116" s="38" t="n">
        <v>156</v>
      </c>
      <c r="K116" s="39" t="inlineStr">
        <is>
          <t>СК2</t>
        </is>
      </c>
      <c r="L116" s="38" t="n">
        <v>40</v>
      </c>
      <c r="M116" s="739">
        <f>HYPERLINK("https:///products/Охлажденные/Вязанка/Вязанка/Сардельки/P002644/","Сардельки Сливушки #минидельки ТМ Вязанка айпил мгс ф/в 0,33 кг")</f>
        <v/>
      </c>
      <c r="N116" s="676" t="n"/>
      <c r="O116" s="676" t="n"/>
      <c r="P116" s="676" t="n"/>
      <c r="Q116" s="642" t="n"/>
      <c r="R116" s="40" t="inlineStr"/>
      <c r="S116" s="40" t="inlineStr"/>
      <c r="T116" s="41" t="inlineStr">
        <is>
          <t>кг</t>
        </is>
      </c>
      <c r="U116" s="677" t="n">
        <v>0</v>
      </c>
      <c r="V116" s="678">
        <f>IFERROR(IF(U116="",0,CEILING((U116/$H116),1)*$H116),"")</f>
        <v/>
      </c>
      <c r="W116" s="42">
        <f>IFERROR(IF(V116=0,"",ROUNDUP(V116/H116,0)*0.00753),"")</f>
        <v/>
      </c>
      <c r="X116" s="69" t="inlineStr"/>
      <c r="Y116" s="70" t="inlineStr"/>
      <c r="AC116" s="129" t="inlineStr">
        <is>
          <t>КИ</t>
        </is>
      </c>
    </row>
    <row r="117" ht="27" customHeight="1">
      <c r="A117" s="64" t="inlineStr">
        <is>
          <t>SU002834</t>
        </is>
      </c>
      <c r="B117" s="64" t="inlineStr">
        <is>
          <t>P003238</t>
        </is>
      </c>
      <c r="C117" s="37" t="n">
        <v>4301060351</v>
      </c>
      <c r="D117" s="375" t="n">
        <v>4680115881464</v>
      </c>
      <c r="E117" s="642" t="n"/>
      <c r="F117" s="674" t="n">
        <v>0.4</v>
      </c>
      <c r="G117" s="38" t="n">
        <v>6</v>
      </c>
      <c r="H117" s="674" t="n">
        <v>2.4</v>
      </c>
      <c r="I117" s="674" t="n">
        <v>2.6</v>
      </c>
      <c r="J117" s="38" t="n">
        <v>156</v>
      </c>
      <c r="K117" s="39" t="inlineStr">
        <is>
          <t>СК3</t>
        </is>
      </c>
      <c r="L117" s="38" t="n">
        <v>30</v>
      </c>
      <c r="M117" s="740" t="inlineStr">
        <is>
          <t>Сардельки «Филейские» Фикс.вес 0,4 NDX мгс ТМ «Вязанка»</t>
        </is>
      </c>
      <c r="N117" s="676" t="n"/>
      <c r="O117" s="676" t="n"/>
      <c r="P117" s="676" t="n"/>
      <c r="Q117" s="642" t="n"/>
      <c r="R117" s="40" t="inlineStr"/>
      <c r="S117" s="40" t="inlineStr"/>
      <c r="T117" s="41" t="inlineStr">
        <is>
          <t>кг</t>
        </is>
      </c>
      <c r="U117" s="677" t="n">
        <v>0</v>
      </c>
      <c r="V117" s="678">
        <f>IFERROR(IF(U117="",0,CEILING((U117/$H117),1)*$H117),"")</f>
        <v/>
      </c>
      <c r="W117" s="42">
        <f>IFERROR(IF(V117=0,"",ROUNDUP(V117/H117,0)*0.00753),"")</f>
        <v/>
      </c>
      <c r="X117" s="69" t="inlineStr"/>
      <c r="Y117" s="70" t="inlineStr"/>
      <c r="AC117" s="130" t="inlineStr">
        <is>
          <t>КИ</t>
        </is>
      </c>
    </row>
    <row r="118">
      <c r="A118" s="383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679" t="n"/>
      <c r="M118" s="680" t="inlineStr">
        <is>
          <t>Итого</t>
        </is>
      </c>
      <c r="N118" s="650" t="n"/>
      <c r="O118" s="650" t="n"/>
      <c r="P118" s="650" t="n"/>
      <c r="Q118" s="650" t="n"/>
      <c r="R118" s="650" t="n"/>
      <c r="S118" s="651" t="n"/>
      <c r="T118" s="43" t="inlineStr">
        <is>
          <t>кор</t>
        </is>
      </c>
      <c r="U118" s="681">
        <f>IFERROR(U114/H114,"0")+IFERROR(U115/H115,"0")+IFERROR(U116/H116,"0")+IFERROR(U117/H117,"0")</f>
        <v/>
      </c>
      <c r="V118" s="681">
        <f>IFERROR(V114/H114,"0")+IFERROR(V115/H115,"0")+IFERROR(V116/H116,"0")+IFERROR(V117/H117,"0")</f>
        <v/>
      </c>
      <c r="W118" s="681">
        <f>IFERROR(IF(W114="",0,W114),"0")+IFERROR(IF(W115="",0,W115),"0")+IFERROR(IF(W116="",0,W116),"0")+IFERROR(IF(W117="",0,W117),"0")</f>
        <v/>
      </c>
      <c r="X118" s="682" t="n"/>
      <c r="Y118" s="682" t="n"/>
    </row>
    <row r="119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679" t="n"/>
      <c r="M119" s="680" t="inlineStr">
        <is>
          <t>Итого</t>
        </is>
      </c>
      <c r="N119" s="650" t="n"/>
      <c r="O119" s="650" t="n"/>
      <c r="P119" s="650" t="n"/>
      <c r="Q119" s="650" t="n"/>
      <c r="R119" s="650" t="n"/>
      <c r="S119" s="651" t="n"/>
      <c r="T119" s="43" t="inlineStr">
        <is>
          <t>кг</t>
        </is>
      </c>
      <c r="U119" s="681">
        <f>IFERROR(SUM(U114:U117),"0")</f>
        <v/>
      </c>
      <c r="V119" s="681">
        <f>IFERROR(SUM(V114:V117),"0")</f>
        <v/>
      </c>
      <c r="W119" s="43" t="n"/>
      <c r="X119" s="682" t="n"/>
      <c r="Y119" s="682" t="n"/>
    </row>
    <row r="120" ht="16.5" customHeight="1">
      <c r="A120" s="373" t="inlineStr">
        <is>
          <t>Сливушки</t>
        </is>
      </c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373" t="n"/>
      <c r="Y120" s="373" t="n"/>
    </row>
    <row r="121" ht="14.25" customHeight="1">
      <c r="A121" s="374" t="inlineStr">
        <is>
          <t>Сосиски</t>
        </is>
      </c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374" t="n"/>
      <c r="Y121" s="374" t="n"/>
    </row>
    <row r="122" ht="27" customHeight="1">
      <c r="A122" s="64" t="inlineStr">
        <is>
          <t>SU001721</t>
        </is>
      </c>
      <c r="B122" s="64" t="inlineStr">
        <is>
          <t>P003161</t>
        </is>
      </c>
      <c r="C122" s="37" t="n">
        <v>4301051360</v>
      </c>
      <c r="D122" s="375" t="n">
        <v>4607091385168</v>
      </c>
      <c r="E122" s="642" t="n"/>
      <c r="F122" s="674" t="n">
        <v>1.35</v>
      </c>
      <c r="G122" s="38" t="n">
        <v>6</v>
      </c>
      <c r="H122" s="674" t="n">
        <v>8.1</v>
      </c>
      <c r="I122" s="674" t="n">
        <v>8.657999999999999</v>
      </c>
      <c r="J122" s="38" t="n">
        <v>56</v>
      </c>
      <c r="K122" s="39" t="inlineStr">
        <is>
          <t>СК3</t>
        </is>
      </c>
      <c r="L122" s="38" t="n">
        <v>45</v>
      </c>
      <c r="M122" s="741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N122" s="676" t="n"/>
      <c r="O122" s="676" t="n"/>
      <c r="P122" s="676" t="n"/>
      <c r="Q122" s="642" t="n"/>
      <c r="R122" s="40" t="inlineStr"/>
      <c r="S122" s="40" t="inlineStr"/>
      <c r="T122" s="41" t="inlineStr">
        <is>
          <t>кг</t>
        </is>
      </c>
      <c r="U122" s="677" t="n">
        <v>120</v>
      </c>
      <c r="V122" s="678">
        <f>IFERROR(IF(U122="",0,CEILING((U122/$H122),1)*$H122),"")</f>
        <v/>
      </c>
      <c r="W122" s="42">
        <f>IFERROR(IF(V122=0,"",ROUNDUP(V122/H122,0)*0.02175),"")</f>
        <v/>
      </c>
      <c r="X122" s="69" t="inlineStr"/>
      <c r="Y122" s="70" t="inlineStr"/>
      <c r="AC122" s="131" t="inlineStr">
        <is>
          <t>КИ</t>
        </is>
      </c>
    </row>
    <row r="123" ht="16.5" customHeight="1">
      <c r="A123" s="64" t="inlineStr">
        <is>
          <t>SU002139</t>
        </is>
      </c>
      <c r="B123" s="64" t="inlineStr">
        <is>
          <t>P003162</t>
        </is>
      </c>
      <c r="C123" s="37" t="n">
        <v>4301051362</v>
      </c>
      <c r="D123" s="375" t="n">
        <v>4607091383256</v>
      </c>
      <c r="E123" s="642" t="n"/>
      <c r="F123" s="674" t="n">
        <v>0.33</v>
      </c>
      <c r="G123" s="38" t="n">
        <v>6</v>
      </c>
      <c r="H123" s="674" t="n">
        <v>1.98</v>
      </c>
      <c r="I123" s="674" t="n">
        <v>2.246</v>
      </c>
      <c r="J123" s="38" t="n">
        <v>156</v>
      </c>
      <c r="K123" s="39" t="inlineStr">
        <is>
          <t>СК3</t>
        </is>
      </c>
      <c r="L123" s="38" t="n">
        <v>45</v>
      </c>
      <c r="M123" s="742">
        <f>HYPERLINK("https://abi.ru/products/Охлажденные/Вязанка/Сливушки/Сосиски/P003162/","Сосиски Сливочные Сливушки Фикс.вес 0,33 П/а мгс Вязанка")</f>
        <v/>
      </c>
      <c r="N123" s="676" t="n"/>
      <c r="O123" s="676" t="n"/>
      <c r="P123" s="676" t="n"/>
      <c r="Q123" s="642" t="n"/>
      <c r="R123" s="40" t="inlineStr"/>
      <c r="S123" s="40" t="inlineStr"/>
      <c r="T123" s="41" t="inlineStr">
        <is>
          <t>кг</t>
        </is>
      </c>
      <c r="U123" s="677" t="n">
        <v>0</v>
      </c>
      <c r="V123" s="678">
        <f>IFERROR(IF(U123="",0,CEILING((U123/$H123),1)*$H123),"")</f>
        <v/>
      </c>
      <c r="W123" s="42">
        <f>IFERROR(IF(V123=0,"",ROUNDUP(V123/H123,0)*0.00753),"")</f>
        <v/>
      </c>
      <c r="X123" s="69" t="inlineStr"/>
      <c r="Y123" s="70" t="inlineStr"/>
      <c r="AC123" s="132" t="inlineStr">
        <is>
          <t>КИ</t>
        </is>
      </c>
    </row>
    <row r="124" ht="16.5" customHeight="1">
      <c r="A124" s="64" t="inlineStr">
        <is>
          <t>SU001720</t>
        </is>
      </c>
      <c r="B124" s="64" t="inlineStr">
        <is>
          <t>P003160</t>
        </is>
      </c>
      <c r="C124" s="37" t="n">
        <v>4301051358</v>
      </c>
      <c r="D124" s="375" t="n">
        <v>4607091385748</v>
      </c>
      <c r="E124" s="642" t="n"/>
      <c r="F124" s="674" t="n">
        <v>0.45</v>
      </c>
      <c r="G124" s="38" t="n">
        <v>6</v>
      </c>
      <c r="H124" s="674" t="n">
        <v>2.7</v>
      </c>
      <c r="I124" s="674" t="n">
        <v>2.972</v>
      </c>
      <c r="J124" s="38" t="n">
        <v>156</v>
      </c>
      <c r="K124" s="39" t="inlineStr">
        <is>
          <t>СК3</t>
        </is>
      </c>
      <c r="L124" s="38" t="n">
        <v>45</v>
      </c>
      <c r="M124" s="743">
        <f>HYPERLINK("https://abi.ru/products/Охлажденные/Вязанка/Сливушки/Сосиски/P003160/","Сосиски Сливочные Сливушки Фикс.вес 0,45 П/а мгс Вязанка")</f>
        <v/>
      </c>
      <c r="N124" s="676" t="n"/>
      <c r="O124" s="676" t="n"/>
      <c r="P124" s="676" t="n"/>
      <c r="Q124" s="642" t="n"/>
      <c r="R124" s="40" t="inlineStr"/>
      <c r="S124" s="40" t="inlineStr"/>
      <c r="T124" s="41" t="inlineStr">
        <is>
          <t>кг</t>
        </is>
      </c>
      <c r="U124" s="677" t="n">
        <v>0</v>
      </c>
      <c r="V124" s="678">
        <f>IFERROR(IF(U124="",0,CEILING((U124/$H124),1)*$H124),"")</f>
        <v/>
      </c>
      <c r="W124" s="42">
        <f>IFERROR(IF(V124=0,"",ROUNDUP(V124/H124,0)*0.00753),"")</f>
        <v/>
      </c>
      <c r="X124" s="69" t="inlineStr"/>
      <c r="Y124" s="70" t="inlineStr"/>
      <c r="AC124" s="133" t="inlineStr">
        <is>
          <t>КИ</t>
        </is>
      </c>
    </row>
    <row r="125" ht="16.5" customHeight="1">
      <c r="A125" s="64" t="inlineStr">
        <is>
          <t>SU002438</t>
        </is>
      </c>
      <c r="B125" s="64" t="inlineStr">
        <is>
          <t>P003163</t>
        </is>
      </c>
      <c r="C125" s="37" t="n">
        <v>4301051364</v>
      </c>
      <c r="D125" s="375" t="n">
        <v>4607091384581</v>
      </c>
      <c r="E125" s="642" t="n"/>
      <c r="F125" s="674" t="n">
        <v>0.67</v>
      </c>
      <c r="G125" s="38" t="n">
        <v>4</v>
      </c>
      <c r="H125" s="674" t="n">
        <v>2.68</v>
      </c>
      <c r="I125" s="674" t="n">
        <v>2.942</v>
      </c>
      <c r="J125" s="38" t="n">
        <v>120</v>
      </c>
      <c r="K125" s="39" t="inlineStr">
        <is>
          <t>СК3</t>
        </is>
      </c>
      <c r="L125" s="38" t="n">
        <v>45</v>
      </c>
      <c r="M125" s="744">
        <f>HYPERLINK("https://abi.ru/products/Охлажденные/Вязанка/Сливушки/Сосиски/P003163/","Сосиски Сливочные Сливушки Фикс.вес 0,67 П/а мгс Вязанка")</f>
        <v/>
      </c>
      <c r="N125" s="676" t="n"/>
      <c r="O125" s="676" t="n"/>
      <c r="P125" s="676" t="n"/>
      <c r="Q125" s="642" t="n"/>
      <c r="R125" s="40" t="inlineStr"/>
      <c r="S125" s="40" t="inlineStr"/>
      <c r="T125" s="41" t="inlineStr">
        <is>
          <t>кг</t>
        </is>
      </c>
      <c r="U125" s="677" t="n">
        <v>0</v>
      </c>
      <c r="V125" s="678">
        <f>IFERROR(IF(U125="",0,CEILING((U125/$H125),1)*$H125),"")</f>
        <v/>
      </c>
      <c r="W125" s="42">
        <f>IFERROR(IF(V125=0,"",ROUNDUP(V125/H125,0)*0.00937),"")</f>
        <v/>
      </c>
      <c r="X125" s="69" t="inlineStr"/>
      <c r="Y125" s="70" t="inlineStr"/>
      <c r="AC125" s="134" t="inlineStr">
        <is>
          <t>КИ</t>
        </is>
      </c>
    </row>
    <row r="126">
      <c r="A126" s="383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679" t="n"/>
      <c r="M126" s="680" t="inlineStr">
        <is>
          <t>Итого</t>
        </is>
      </c>
      <c r="N126" s="650" t="n"/>
      <c r="O126" s="650" t="n"/>
      <c r="P126" s="650" t="n"/>
      <c r="Q126" s="650" t="n"/>
      <c r="R126" s="650" t="n"/>
      <c r="S126" s="651" t="n"/>
      <c r="T126" s="43" t="inlineStr">
        <is>
          <t>кор</t>
        </is>
      </c>
      <c r="U126" s="681">
        <f>IFERROR(U122/H122,"0")+IFERROR(U123/H123,"0")+IFERROR(U124/H124,"0")+IFERROR(U125/H125,"0")</f>
        <v/>
      </c>
      <c r="V126" s="681">
        <f>IFERROR(V122/H122,"0")+IFERROR(V123/H123,"0")+IFERROR(V124/H124,"0")+IFERROR(V125/H125,"0")</f>
        <v/>
      </c>
      <c r="W126" s="681">
        <f>IFERROR(IF(W122="",0,W122),"0")+IFERROR(IF(W123="",0,W123),"0")+IFERROR(IF(W124="",0,W124),"0")+IFERROR(IF(W125="",0,W125),"0")</f>
        <v/>
      </c>
      <c r="X126" s="682" t="n"/>
      <c r="Y126" s="682" t="n"/>
    </row>
    <row r="127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679" t="n"/>
      <c r="M127" s="680" t="inlineStr">
        <is>
          <t>Итого</t>
        </is>
      </c>
      <c r="N127" s="650" t="n"/>
      <c r="O127" s="650" t="n"/>
      <c r="P127" s="650" t="n"/>
      <c r="Q127" s="650" t="n"/>
      <c r="R127" s="650" t="n"/>
      <c r="S127" s="651" t="n"/>
      <c r="T127" s="43" t="inlineStr">
        <is>
          <t>кг</t>
        </is>
      </c>
      <c r="U127" s="681">
        <f>IFERROR(SUM(U122:U125),"0")</f>
        <v/>
      </c>
      <c r="V127" s="681">
        <f>IFERROR(SUM(V122:V125),"0")</f>
        <v/>
      </c>
      <c r="W127" s="43" t="n"/>
      <c r="X127" s="682" t="n"/>
      <c r="Y127" s="682" t="n"/>
    </row>
    <row r="128" ht="27.75" customHeight="1">
      <c r="A128" s="372" t="inlineStr">
        <is>
          <t>Стародворье</t>
        </is>
      </c>
      <c r="B128" s="673" t="n"/>
      <c r="C128" s="673" t="n"/>
      <c r="D128" s="673" t="n"/>
      <c r="E128" s="673" t="n"/>
      <c r="F128" s="673" t="n"/>
      <c r="G128" s="673" t="n"/>
      <c r="H128" s="673" t="n"/>
      <c r="I128" s="673" t="n"/>
      <c r="J128" s="673" t="n"/>
      <c r="K128" s="673" t="n"/>
      <c r="L128" s="673" t="n"/>
      <c r="M128" s="673" t="n"/>
      <c r="N128" s="673" t="n"/>
      <c r="O128" s="673" t="n"/>
      <c r="P128" s="673" t="n"/>
      <c r="Q128" s="673" t="n"/>
      <c r="R128" s="673" t="n"/>
      <c r="S128" s="673" t="n"/>
      <c r="T128" s="673" t="n"/>
      <c r="U128" s="673" t="n"/>
      <c r="V128" s="673" t="n"/>
      <c r="W128" s="673" t="n"/>
      <c r="X128" s="55" t="n"/>
      <c r="Y128" s="55" t="n"/>
    </row>
    <row r="129" ht="16.5" customHeight="1">
      <c r="A129" s="373" t="inlineStr">
        <is>
          <t>Золоченная в печи</t>
        </is>
      </c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373" t="n"/>
      <c r="Y129" s="373" t="n"/>
    </row>
    <row r="130" ht="14.25" customHeight="1">
      <c r="A130" s="374" t="inlineStr">
        <is>
          <t>Вареные колбасы</t>
        </is>
      </c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374" t="n"/>
      <c r="Y130" s="374" t="n"/>
    </row>
    <row r="131" ht="27" customHeight="1">
      <c r="A131" s="64" t="inlineStr">
        <is>
          <t>SU002201</t>
        </is>
      </c>
      <c r="B131" s="64" t="inlineStr">
        <is>
          <t>P002567</t>
        </is>
      </c>
      <c r="C131" s="37" t="n">
        <v>4301011223</v>
      </c>
      <c r="D131" s="375" t="n">
        <v>4607091383423</v>
      </c>
      <c r="E131" s="642" t="n"/>
      <c r="F131" s="674" t="n">
        <v>1.35</v>
      </c>
      <c r="G131" s="38" t="n">
        <v>8</v>
      </c>
      <c r="H131" s="674" t="n">
        <v>10.8</v>
      </c>
      <c r="I131" s="674" t="n">
        <v>11.376</v>
      </c>
      <c r="J131" s="38" t="n">
        <v>56</v>
      </c>
      <c r="K131" s="39" t="inlineStr">
        <is>
          <t>СК3</t>
        </is>
      </c>
      <c r="L131" s="38" t="n">
        <v>35</v>
      </c>
      <c r="M131" s="745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N131" s="676" t="n"/>
      <c r="O131" s="676" t="n"/>
      <c r="P131" s="676" t="n"/>
      <c r="Q131" s="642" t="n"/>
      <c r="R131" s="40" t="inlineStr"/>
      <c r="S131" s="40" t="inlineStr"/>
      <c r="T131" s="41" t="inlineStr">
        <is>
          <t>кг</t>
        </is>
      </c>
      <c r="U131" s="677" t="n">
        <v>0</v>
      </c>
      <c r="V131" s="678">
        <f>IFERROR(IF(U131="",0,CEILING((U131/$H131),1)*$H131),"")</f>
        <v/>
      </c>
      <c r="W131" s="42">
        <f>IFERROR(IF(V131=0,"",ROUNDUP(V131/H131,0)*0.02175),"")</f>
        <v/>
      </c>
      <c r="X131" s="69" t="inlineStr"/>
      <c r="Y131" s="70" t="inlineStr"/>
      <c r="AC131" s="135" t="inlineStr">
        <is>
          <t>КИ</t>
        </is>
      </c>
    </row>
    <row r="132" ht="27" customHeight="1">
      <c r="A132" s="64" t="inlineStr">
        <is>
          <t>SU002203</t>
        </is>
      </c>
      <c r="B132" s="64" t="inlineStr">
        <is>
          <t>P002568</t>
        </is>
      </c>
      <c r="C132" s="37" t="n">
        <v>4301011338</v>
      </c>
      <c r="D132" s="375" t="n">
        <v>4607091381405</v>
      </c>
      <c r="E132" s="642" t="n"/>
      <c r="F132" s="674" t="n">
        <v>1.35</v>
      </c>
      <c r="G132" s="38" t="n">
        <v>8</v>
      </c>
      <c r="H132" s="674" t="n">
        <v>10.8</v>
      </c>
      <c r="I132" s="674" t="n">
        <v>11.376</v>
      </c>
      <c r="J132" s="38" t="n">
        <v>56</v>
      </c>
      <c r="K132" s="39" t="inlineStr">
        <is>
          <t>СК2</t>
        </is>
      </c>
      <c r="L132" s="38" t="n">
        <v>35</v>
      </c>
      <c r="M132" s="746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N132" s="676" t="n"/>
      <c r="O132" s="676" t="n"/>
      <c r="P132" s="676" t="n"/>
      <c r="Q132" s="642" t="n"/>
      <c r="R132" s="40" t="inlineStr"/>
      <c r="S132" s="40" t="inlineStr"/>
      <c r="T132" s="41" t="inlineStr">
        <is>
          <t>кг</t>
        </is>
      </c>
      <c r="U132" s="677" t="n">
        <v>0</v>
      </c>
      <c r="V132" s="678">
        <f>IFERROR(IF(U132="",0,CEILING((U132/$H132),1)*$H132),"")</f>
        <v/>
      </c>
      <c r="W132" s="42">
        <f>IFERROR(IF(V132=0,"",ROUNDUP(V132/H132,0)*0.02175),"")</f>
        <v/>
      </c>
      <c r="X132" s="69" t="inlineStr"/>
      <c r="Y132" s="70" t="inlineStr"/>
      <c r="AC132" s="136" t="inlineStr">
        <is>
          <t>КИ</t>
        </is>
      </c>
    </row>
    <row r="133" ht="27" customHeight="1">
      <c r="A133" s="64" t="inlineStr">
        <is>
          <t>SU002216</t>
        </is>
      </c>
      <c r="B133" s="64" t="inlineStr">
        <is>
          <t>P002400</t>
        </is>
      </c>
      <c r="C133" s="37" t="n">
        <v>4301011333</v>
      </c>
      <c r="D133" s="375" t="n">
        <v>4607091386516</v>
      </c>
      <c r="E133" s="642" t="n"/>
      <c r="F133" s="674" t="n">
        <v>1.4</v>
      </c>
      <c r="G133" s="38" t="n">
        <v>8</v>
      </c>
      <c r="H133" s="674" t="n">
        <v>11.2</v>
      </c>
      <c r="I133" s="674" t="n">
        <v>11.776</v>
      </c>
      <c r="J133" s="38" t="n">
        <v>56</v>
      </c>
      <c r="K133" s="39" t="inlineStr">
        <is>
          <t>СК2</t>
        </is>
      </c>
      <c r="L133" s="38" t="n">
        <v>30</v>
      </c>
      <c r="M133" s="747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N133" s="676" t="n"/>
      <c r="O133" s="676" t="n"/>
      <c r="P133" s="676" t="n"/>
      <c r="Q133" s="642" t="n"/>
      <c r="R133" s="40" t="inlineStr"/>
      <c r="S133" s="40" t="inlineStr"/>
      <c r="T133" s="41" t="inlineStr">
        <is>
          <t>кг</t>
        </is>
      </c>
      <c r="U133" s="677" t="n">
        <v>0</v>
      </c>
      <c r="V133" s="678">
        <f>IFERROR(IF(U133="",0,CEILING((U133/$H133),1)*$H133),"")</f>
        <v/>
      </c>
      <c r="W133" s="42">
        <f>IFERROR(IF(V133=0,"",ROUNDUP(V133/H133,0)*0.02175),"")</f>
        <v/>
      </c>
      <c r="X133" s="69" t="inlineStr"/>
      <c r="Y133" s="70" t="inlineStr"/>
      <c r="AC133" s="137" t="inlineStr">
        <is>
          <t>КИ</t>
        </is>
      </c>
    </row>
    <row r="134">
      <c r="A134" s="383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679" t="n"/>
      <c r="M134" s="680" t="inlineStr">
        <is>
          <t>Итого</t>
        </is>
      </c>
      <c r="N134" s="650" t="n"/>
      <c r="O134" s="650" t="n"/>
      <c r="P134" s="650" t="n"/>
      <c r="Q134" s="650" t="n"/>
      <c r="R134" s="650" t="n"/>
      <c r="S134" s="651" t="n"/>
      <c r="T134" s="43" t="inlineStr">
        <is>
          <t>кор</t>
        </is>
      </c>
      <c r="U134" s="681">
        <f>IFERROR(U131/H131,"0")+IFERROR(U132/H132,"0")+IFERROR(U133/H133,"0")</f>
        <v/>
      </c>
      <c r="V134" s="681">
        <f>IFERROR(V131/H131,"0")+IFERROR(V132/H132,"0")+IFERROR(V133/H133,"0")</f>
        <v/>
      </c>
      <c r="W134" s="681">
        <f>IFERROR(IF(W131="",0,W131),"0")+IFERROR(IF(W132="",0,W132),"0")+IFERROR(IF(W133="",0,W133),"0")</f>
        <v/>
      </c>
      <c r="X134" s="682" t="n"/>
      <c r="Y134" s="682" t="n"/>
    </row>
    <row r="135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679" t="n"/>
      <c r="M135" s="680" t="inlineStr">
        <is>
          <t>Итого</t>
        </is>
      </c>
      <c r="N135" s="650" t="n"/>
      <c r="O135" s="650" t="n"/>
      <c r="P135" s="650" t="n"/>
      <c r="Q135" s="650" t="n"/>
      <c r="R135" s="650" t="n"/>
      <c r="S135" s="651" t="n"/>
      <c r="T135" s="43" t="inlineStr">
        <is>
          <t>кг</t>
        </is>
      </c>
      <c r="U135" s="681">
        <f>IFERROR(SUM(U131:U133),"0")</f>
        <v/>
      </c>
      <c r="V135" s="681">
        <f>IFERROR(SUM(V131:V133),"0")</f>
        <v/>
      </c>
      <c r="W135" s="43" t="n"/>
      <c r="X135" s="682" t="n"/>
      <c r="Y135" s="682" t="n"/>
    </row>
    <row r="136" ht="16.5" customHeight="1">
      <c r="A136" s="373" t="inlineStr">
        <is>
          <t>Мясорубская</t>
        </is>
      </c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373" t="n"/>
      <c r="Y136" s="373" t="n"/>
    </row>
    <row r="137" ht="14.25" customHeight="1">
      <c r="A137" s="374" t="inlineStr">
        <is>
          <t>Копченые колбасы</t>
        </is>
      </c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374" t="n"/>
      <c r="Y137" s="374" t="n"/>
    </row>
    <row r="138" ht="27" customHeight="1">
      <c r="A138" s="64" t="inlineStr">
        <is>
          <t>SU002756</t>
        </is>
      </c>
      <c r="B138" s="64" t="inlineStr">
        <is>
          <t>P003179</t>
        </is>
      </c>
      <c r="C138" s="37" t="n">
        <v>4301031191</v>
      </c>
      <c r="D138" s="375" t="n">
        <v>4680115880993</v>
      </c>
      <c r="E138" s="642" t="n"/>
      <c r="F138" s="674" t="n">
        <v>0.7</v>
      </c>
      <c r="G138" s="38" t="n">
        <v>6</v>
      </c>
      <c r="H138" s="674" t="n">
        <v>4.2</v>
      </c>
      <c r="I138" s="674" t="n">
        <v>4.46</v>
      </c>
      <c r="J138" s="38" t="n">
        <v>156</v>
      </c>
      <c r="K138" s="39" t="inlineStr">
        <is>
          <t>СК2</t>
        </is>
      </c>
      <c r="L138" s="38" t="n">
        <v>40</v>
      </c>
      <c r="M138" s="748">
        <f>HYPERLINK("https:///products/Охлажденные/Стародворье/Мясорубская/Копченые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N138" s="676" t="n"/>
      <c r="O138" s="676" t="n"/>
      <c r="P138" s="676" t="n"/>
      <c r="Q138" s="642" t="n"/>
      <c r="R138" s="40" t="inlineStr"/>
      <c r="S138" s="40" t="inlineStr"/>
      <c r="T138" s="41" t="inlineStr">
        <is>
          <t>кг</t>
        </is>
      </c>
      <c r="U138" s="677" t="n">
        <v>0</v>
      </c>
      <c r="V138" s="678">
        <f>IFERROR(IF(U138="",0,CEILING((U138/$H138),1)*$H138),"")</f>
        <v/>
      </c>
      <c r="W138" s="42">
        <f>IFERROR(IF(V138=0,"",ROUNDUP(V138/H138,0)*0.00753),"")</f>
        <v/>
      </c>
      <c r="X138" s="69" t="inlineStr"/>
      <c r="Y138" s="70" t="inlineStr"/>
      <c r="AC138" s="138" t="inlineStr">
        <is>
          <t>КИ</t>
        </is>
      </c>
    </row>
    <row r="139" ht="27" customHeight="1">
      <c r="A139" s="64" t="inlineStr">
        <is>
          <t>SU002876</t>
        </is>
      </c>
      <c r="B139" s="64" t="inlineStr">
        <is>
          <t>P003276</t>
        </is>
      </c>
      <c r="C139" s="37" t="n">
        <v>4301031204</v>
      </c>
      <c r="D139" s="375" t="n">
        <v>4680115881761</v>
      </c>
      <c r="E139" s="642" t="n"/>
      <c r="F139" s="674" t="n">
        <v>0.7</v>
      </c>
      <c r="G139" s="38" t="n">
        <v>6</v>
      </c>
      <c r="H139" s="674" t="n">
        <v>4.2</v>
      </c>
      <c r="I139" s="674" t="n">
        <v>4.46</v>
      </c>
      <c r="J139" s="38" t="n">
        <v>156</v>
      </c>
      <c r="K139" s="39" t="inlineStr">
        <is>
          <t>СК2</t>
        </is>
      </c>
      <c r="L139" s="38" t="n">
        <v>40</v>
      </c>
      <c r="M139" s="749" t="inlineStr">
        <is>
          <t>Копченые колбасы Салями Мясорубская с рубленым шпиком Бордо Весовой фиброуз Стародворье</t>
        </is>
      </c>
      <c r="N139" s="676" t="n"/>
      <c r="O139" s="676" t="n"/>
      <c r="P139" s="676" t="n"/>
      <c r="Q139" s="642" t="n"/>
      <c r="R139" s="40" t="inlineStr"/>
      <c r="S139" s="40" t="inlineStr"/>
      <c r="T139" s="41" t="inlineStr">
        <is>
          <t>кг</t>
        </is>
      </c>
      <c r="U139" s="677" t="n">
        <v>0</v>
      </c>
      <c r="V139" s="678">
        <f>IFERROR(IF(U139="",0,CEILING((U139/$H139),1)*$H139),"")</f>
        <v/>
      </c>
      <c r="W139" s="42">
        <f>IFERROR(IF(V139=0,"",ROUNDUP(V139/H139,0)*0.00753),"")</f>
        <v/>
      </c>
      <c r="X139" s="69" t="inlineStr"/>
      <c r="Y139" s="70" t="inlineStr"/>
      <c r="AC139" s="139" t="inlineStr">
        <is>
          <t>КИ</t>
        </is>
      </c>
    </row>
    <row r="140" ht="27" customHeight="1">
      <c r="A140" s="64" t="inlineStr">
        <is>
          <t>SU002847</t>
        </is>
      </c>
      <c r="B140" s="64" t="inlineStr">
        <is>
          <t>P003259</t>
        </is>
      </c>
      <c r="C140" s="37" t="n">
        <v>4301031201</v>
      </c>
      <c r="D140" s="375" t="n">
        <v>4680115881563</v>
      </c>
      <c r="E140" s="642" t="n"/>
      <c r="F140" s="674" t="n">
        <v>0.7</v>
      </c>
      <c r="G140" s="38" t="n">
        <v>6</v>
      </c>
      <c r="H140" s="674" t="n">
        <v>4.2</v>
      </c>
      <c r="I140" s="674" t="n">
        <v>4.4</v>
      </c>
      <c r="J140" s="38" t="n">
        <v>156</v>
      </c>
      <c r="K140" s="39" t="inlineStr">
        <is>
          <t>СК2</t>
        </is>
      </c>
      <c r="L140" s="38" t="n">
        <v>40</v>
      </c>
      <c r="M140" s="750">
        <f>HYPERLINK("https:///products/Охлажденные/Стародворье/Мясорубская/Копченые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N140" s="676" t="n"/>
      <c r="O140" s="676" t="n"/>
      <c r="P140" s="676" t="n"/>
      <c r="Q140" s="642" t="n"/>
      <c r="R140" s="40" t="inlineStr"/>
      <c r="S140" s="40" t="inlineStr"/>
      <c r="T140" s="41" t="inlineStr">
        <is>
          <t>кг</t>
        </is>
      </c>
      <c r="U140" s="677" t="n">
        <v>0</v>
      </c>
      <c r="V140" s="678">
        <f>IFERROR(IF(U140="",0,CEILING((U140/$H140),1)*$H140),"")</f>
        <v/>
      </c>
      <c r="W140" s="42">
        <f>IFERROR(IF(V140=0,"",ROUNDUP(V140/H140,0)*0.00753),"")</f>
        <v/>
      </c>
      <c r="X140" s="69" t="inlineStr"/>
      <c r="Y140" s="70" t="inlineStr"/>
      <c r="AC140" s="140" t="inlineStr">
        <is>
          <t>КИ</t>
        </is>
      </c>
    </row>
    <row r="141" ht="27" customHeight="1">
      <c r="A141" s="64" t="inlineStr">
        <is>
          <t>SU002660</t>
        </is>
      </c>
      <c r="B141" s="64" t="inlineStr">
        <is>
          <t>P003256</t>
        </is>
      </c>
      <c r="C141" s="37" t="n">
        <v>4301031199</v>
      </c>
      <c r="D141" s="375" t="n">
        <v>4680115880986</v>
      </c>
      <c r="E141" s="642" t="n"/>
      <c r="F141" s="674" t="n">
        <v>0.35</v>
      </c>
      <c r="G141" s="38" t="n">
        <v>6</v>
      </c>
      <c r="H141" s="674" t="n">
        <v>2.1</v>
      </c>
      <c r="I141" s="674" t="n">
        <v>2.23</v>
      </c>
      <c r="J141" s="38" t="n">
        <v>234</v>
      </c>
      <c r="K141" s="39" t="inlineStr">
        <is>
          <t>СК2</t>
        </is>
      </c>
      <c r="L141" s="38" t="n">
        <v>40</v>
      </c>
      <c r="M141" s="751">
        <f>HYPERLINK("https:///products/Охлажденные/Стародворье/Мясорубская/Копченые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N141" s="676" t="n"/>
      <c r="O141" s="676" t="n"/>
      <c r="P141" s="676" t="n"/>
      <c r="Q141" s="642" t="n"/>
      <c r="R141" s="40" t="inlineStr"/>
      <c r="S141" s="40" t="inlineStr"/>
      <c r="T141" s="41" t="inlineStr">
        <is>
          <t>кг</t>
        </is>
      </c>
      <c r="U141" s="677" t="n">
        <v>0</v>
      </c>
      <c r="V141" s="678">
        <f>IFERROR(IF(U141="",0,CEILING((U141/$H141),1)*$H141),"")</f>
        <v/>
      </c>
      <c r="W141" s="42">
        <f>IFERROR(IF(V141=0,"",ROUNDUP(V141/H141,0)*0.00502),"")</f>
        <v/>
      </c>
      <c r="X141" s="69" t="inlineStr"/>
      <c r="Y141" s="70" t="inlineStr"/>
      <c r="AC141" s="141" t="inlineStr">
        <is>
          <t>КИ</t>
        </is>
      </c>
    </row>
    <row r="142" ht="27" customHeight="1">
      <c r="A142" s="64" t="inlineStr">
        <is>
          <t>SU002826</t>
        </is>
      </c>
      <c r="B142" s="64" t="inlineStr">
        <is>
          <t>P003178</t>
        </is>
      </c>
      <c r="C142" s="37" t="n">
        <v>4301031190</v>
      </c>
      <c r="D142" s="375" t="n">
        <v>4680115880207</v>
      </c>
      <c r="E142" s="642" t="n"/>
      <c r="F142" s="674" t="n">
        <v>0.4</v>
      </c>
      <c r="G142" s="38" t="n">
        <v>6</v>
      </c>
      <c r="H142" s="674" t="n">
        <v>2.4</v>
      </c>
      <c r="I142" s="674" t="n">
        <v>2.63</v>
      </c>
      <c r="J142" s="38" t="n">
        <v>156</v>
      </c>
      <c r="K142" s="39" t="inlineStr">
        <is>
          <t>СК2</t>
        </is>
      </c>
      <c r="L142" s="38" t="n">
        <v>40</v>
      </c>
      <c r="M142" s="752">
        <f>HYPERLINK("https:///products/Охлажденные/Стародворье/Мясорубская/Копченые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N142" s="676" t="n"/>
      <c r="O142" s="676" t="n"/>
      <c r="P142" s="676" t="n"/>
      <c r="Q142" s="642" t="n"/>
      <c r="R142" s="40" t="inlineStr"/>
      <c r="S142" s="40" t="inlineStr"/>
      <c r="T142" s="41" t="inlineStr">
        <is>
          <t>кг</t>
        </is>
      </c>
      <c r="U142" s="677" t="n">
        <v>0</v>
      </c>
      <c r="V142" s="678">
        <f>IFERROR(IF(U142="",0,CEILING((U142/$H142),1)*$H142),"")</f>
        <v/>
      </c>
      <c r="W142" s="42">
        <f>IFERROR(IF(V142=0,"",ROUNDUP(V142/H142,0)*0.00753),"")</f>
        <v/>
      </c>
      <c r="X142" s="69" t="inlineStr"/>
      <c r="Y142" s="70" t="inlineStr"/>
      <c r="AC142" s="142" t="inlineStr">
        <is>
          <t>КИ</t>
        </is>
      </c>
    </row>
    <row r="143" ht="27" customHeight="1">
      <c r="A143" s="64" t="inlineStr">
        <is>
          <t>SU002877</t>
        </is>
      </c>
      <c r="B143" s="64" t="inlineStr">
        <is>
          <t>P003277</t>
        </is>
      </c>
      <c r="C143" s="37" t="n">
        <v>4301031205</v>
      </c>
      <c r="D143" s="375" t="n">
        <v>4680115881785</v>
      </c>
      <c r="E143" s="642" t="n"/>
      <c r="F143" s="674" t="n">
        <v>0.35</v>
      </c>
      <c r="G143" s="38" t="n">
        <v>6</v>
      </c>
      <c r="H143" s="674" t="n">
        <v>2.1</v>
      </c>
      <c r="I143" s="674" t="n">
        <v>2.23</v>
      </c>
      <c r="J143" s="38" t="n">
        <v>234</v>
      </c>
      <c r="K143" s="39" t="inlineStr">
        <is>
          <t>СК2</t>
        </is>
      </c>
      <c r="L143" s="38" t="n">
        <v>40</v>
      </c>
      <c r="M143" s="753" t="inlineStr">
        <is>
          <t>Копченые колбасы Салями Мясорубская с рубленым шпиком срез Бордо ф/в 0,35 фиброуз Стародворье</t>
        </is>
      </c>
      <c r="N143" s="676" t="n"/>
      <c r="O143" s="676" t="n"/>
      <c r="P143" s="676" t="n"/>
      <c r="Q143" s="642" t="n"/>
      <c r="R143" s="40" t="inlineStr"/>
      <c r="S143" s="40" t="inlineStr"/>
      <c r="T143" s="41" t="inlineStr">
        <is>
          <t>кг</t>
        </is>
      </c>
      <c r="U143" s="677" t="n">
        <v>0</v>
      </c>
      <c r="V143" s="678">
        <f>IFERROR(IF(U143="",0,CEILING((U143/$H143),1)*$H143),"")</f>
        <v/>
      </c>
      <c r="W143" s="42">
        <f>IFERROR(IF(V143=0,"",ROUNDUP(V143/H143,0)*0.00502),"")</f>
        <v/>
      </c>
      <c r="X143" s="69" t="inlineStr"/>
      <c r="Y143" s="70" t="inlineStr"/>
      <c r="AC143" s="143" t="inlineStr">
        <is>
          <t>КИ</t>
        </is>
      </c>
    </row>
    <row r="144" ht="27" customHeight="1">
      <c r="A144" s="64" t="inlineStr">
        <is>
          <t>SU002848</t>
        </is>
      </c>
      <c r="B144" s="64" t="inlineStr">
        <is>
          <t>P003260</t>
        </is>
      </c>
      <c r="C144" s="37" t="n">
        <v>4301031202</v>
      </c>
      <c r="D144" s="375" t="n">
        <v>4680115881679</v>
      </c>
      <c r="E144" s="642" t="n"/>
      <c r="F144" s="674" t="n">
        <v>0.35</v>
      </c>
      <c r="G144" s="38" t="n">
        <v>6</v>
      </c>
      <c r="H144" s="674" t="n">
        <v>2.1</v>
      </c>
      <c r="I144" s="674" t="n">
        <v>2.2</v>
      </c>
      <c r="J144" s="38" t="n">
        <v>234</v>
      </c>
      <c r="K144" s="39" t="inlineStr">
        <is>
          <t>СК2</t>
        </is>
      </c>
      <c r="L144" s="38" t="n">
        <v>40</v>
      </c>
      <c r="M144" s="754">
        <f>HYPERLINK("https:///products/Охлажденные/Стародворье/Мясорубская/Копченые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N144" s="676" t="n"/>
      <c r="O144" s="676" t="n"/>
      <c r="P144" s="676" t="n"/>
      <c r="Q144" s="642" t="n"/>
      <c r="R144" s="40" t="inlineStr"/>
      <c r="S144" s="40" t="inlineStr"/>
      <c r="T144" s="41" t="inlineStr">
        <is>
          <t>кг</t>
        </is>
      </c>
      <c r="U144" s="677" t="n">
        <v>0</v>
      </c>
      <c r="V144" s="678">
        <f>IFERROR(IF(U144="",0,CEILING((U144/$H144),1)*$H144),"")</f>
        <v/>
      </c>
      <c r="W144" s="42">
        <f>IFERROR(IF(V144=0,"",ROUNDUP(V144/H144,0)*0.00502),"")</f>
        <v/>
      </c>
      <c r="X144" s="69" t="inlineStr"/>
      <c r="Y144" s="70" t="inlineStr"/>
      <c r="AC144" s="144" t="inlineStr">
        <is>
          <t>КИ</t>
        </is>
      </c>
    </row>
    <row r="145" ht="27" customHeight="1">
      <c r="A145" s="64" t="inlineStr">
        <is>
          <t>SU002659</t>
        </is>
      </c>
      <c r="B145" s="64" t="inlineStr">
        <is>
          <t>P003034</t>
        </is>
      </c>
      <c r="C145" s="37" t="n">
        <v>4301031158</v>
      </c>
      <c r="D145" s="375" t="n">
        <v>4680115880191</v>
      </c>
      <c r="E145" s="642" t="n"/>
      <c r="F145" s="674" t="n">
        <v>0.4</v>
      </c>
      <c r="G145" s="38" t="n">
        <v>6</v>
      </c>
      <c r="H145" s="674" t="n">
        <v>2.4</v>
      </c>
      <c r="I145" s="674" t="n">
        <v>2.6</v>
      </c>
      <c r="J145" s="38" t="n">
        <v>156</v>
      </c>
      <c r="K145" s="39" t="inlineStr">
        <is>
          <t>СК2</t>
        </is>
      </c>
      <c r="L145" s="38" t="n">
        <v>40</v>
      </c>
      <c r="M145" s="755">
        <f>HYPERLINK("https:///products/Охлажденные/Стародворье/Мясорубская/Копченые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N145" s="676" t="n"/>
      <c r="O145" s="676" t="n"/>
      <c r="P145" s="676" t="n"/>
      <c r="Q145" s="642" t="n"/>
      <c r="R145" s="40" t="inlineStr"/>
      <c r="S145" s="40" t="inlineStr"/>
      <c r="T145" s="41" t="inlineStr">
        <is>
          <t>кг</t>
        </is>
      </c>
      <c r="U145" s="677" t="n">
        <v>0</v>
      </c>
      <c r="V145" s="678">
        <f>IFERROR(IF(U145="",0,CEILING((U145/$H145),1)*$H145),"")</f>
        <v/>
      </c>
      <c r="W145" s="42">
        <f>IFERROR(IF(V145=0,"",ROUNDUP(V145/H145,0)*0.00753),"")</f>
        <v/>
      </c>
      <c r="X145" s="69" t="inlineStr"/>
      <c r="Y145" s="70" t="inlineStr"/>
      <c r="AC145" s="145" t="inlineStr">
        <is>
          <t>КИ</t>
        </is>
      </c>
    </row>
    <row r="146">
      <c r="A146" s="383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679" t="n"/>
      <c r="M146" s="680" t="inlineStr">
        <is>
          <t>Итого</t>
        </is>
      </c>
      <c r="N146" s="650" t="n"/>
      <c r="O146" s="650" t="n"/>
      <c r="P146" s="650" t="n"/>
      <c r="Q146" s="650" t="n"/>
      <c r="R146" s="650" t="n"/>
      <c r="S146" s="651" t="n"/>
      <c r="T146" s="43" t="inlineStr">
        <is>
          <t>кор</t>
        </is>
      </c>
      <c r="U146" s="681">
        <f>IFERROR(U138/H138,"0")+IFERROR(U139/H139,"0")+IFERROR(U140/H140,"0")+IFERROR(U141/H141,"0")+IFERROR(U142/H142,"0")+IFERROR(U143/H143,"0")+IFERROR(U144/H144,"0")+IFERROR(U145/H145,"0")</f>
        <v/>
      </c>
      <c r="V146" s="681">
        <f>IFERROR(V138/H138,"0")+IFERROR(V139/H139,"0")+IFERROR(V140/H140,"0")+IFERROR(V141/H141,"0")+IFERROR(V142/H142,"0")+IFERROR(V143/H143,"0")+IFERROR(V144/H144,"0")+IFERROR(V145/H145,"0")</f>
        <v/>
      </c>
      <c r="W146" s="681">
        <f>IFERROR(IF(W138="",0,W138),"0")+IFERROR(IF(W139="",0,W139),"0")+IFERROR(IF(W140="",0,W140),"0")+IFERROR(IF(W141="",0,W141),"0")+IFERROR(IF(W142="",0,W142),"0")+IFERROR(IF(W143="",0,W143),"0")+IFERROR(IF(W144="",0,W144),"0")+IFERROR(IF(W145="",0,W145),"0")</f>
        <v/>
      </c>
      <c r="X146" s="682" t="n"/>
      <c r="Y146" s="682" t="n"/>
    </row>
    <row r="147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679" t="n"/>
      <c r="M147" s="680" t="inlineStr">
        <is>
          <t>Итого</t>
        </is>
      </c>
      <c r="N147" s="650" t="n"/>
      <c r="O147" s="650" t="n"/>
      <c r="P147" s="650" t="n"/>
      <c r="Q147" s="650" t="n"/>
      <c r="R147" s="650" t="n"/>
      <c r="S147" s="651" t="n"/>
      <c r="T147" s="43" t="inlineStr">
        <is>
          <t>кг</t>
        </is>
      </c>
      <c r="U147" s="681">
        <f>IFERROR(SUM(U138:U145),"0")</f>
        <v/>
      </c>
      <c r="V147" s="681">
        <f>IFERROR(SUM(V138:V145),"0")</f>
        <v/>
      </c>
      <c r="W147" s="43" t="n"/>
      <c r="X147" s="682" t="n"/>
      <c r="Y147" s="682" t="n"/>
    </row>
    <row r="148" ht="16.5" customHeight="1">
      <c r="A148" s="373" t="inlineStr">
        <is>
          <t>Сочинка</t>
        </is>
      </c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373" t="n"/>
      <c r="Y148" s="373" t="n"/>
    </row>
    <row r="149" ht="14.25" customHeight="1">
      <c r="A149" s="374" t="inlineStr">
        <is>
          <t>Вареные колбасы</t>
        </is>
      </c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374" t="n"/>
      <c r="Y149" s="374" t="n"/>
    </row>
    <row r="150" ht="16.5" customHeight="1">
      <c r="A150" s="64" t="inlineStr">
        <is>
          <t>SU002824</t>
        </is>
      </c>
      <c r="B150" s="64" t="inlineStr">
        <is>
          <t>P003231</t>
        </is>
      </c>
      <c r="C150" s="37" t="n">
        <v>4301011450</v>
      </c>
      <c r="D150" s="375" t="n">
        <v>4680115881402</v>
      </c>
      <c r="E150" s="642" t="n"/>
      <c r="F150" s="674" t="n">
        <v>1.35</v>
      </c>
      <c r="G150" s="38" t="n">
        <v>8</v>
      </c>
      <c r="H150" s="674" t="n">
        <v>10.8</v>
      </c>
      <c r="I150" s="674" t="n">
        <v>11.28</v>
      </c>
      <c r="J150" s="38" t="n">
        <v>56</v>
      </c>
      <c r="K150" s="39" t="inlineStr">
        <is>
          <t>СК1</t>
        </is>
      </c>
      <c r="L150" s="38" t="n">
        <v>55</v>
      </c>
      <c r="M150" s="756" t="inlineStr">
        <is>
          <t>Вареные колбасы «Сочинка» Весовой п/а ТМ «Стародворье»</t>
        </is>
      </c>
      <c r="N150" s="676" t="n"/>
      <c r="O150" s="676" t="n"/>
      <c r="P150" s="676" t="n"/>
      <c r="Q150" s="642" t="n"/>
      <c r="R150" s="40" t="inlineStr"/>
      <c r="S150" s="40" t="inlineStr"/>
      <c r="T150" s="41" t="inlineStr">
        <is>
          <t>кг</t>
        </is>
      </c>
      <c r="U150" s="677" t="n">
        <v>0</v>
      </c>
      <c r="V150" s="678">
        <f>IFERROR(IF(U150="",0,CEILING((U150/$H150),1)*$H150),"")</f>
        <v/>
      </c>
      <c r="W150" s="42">
        <f>IFERROR(IF(V150=0,"",ROUNDUP(V150/H150,0)*0.02175),"")</f>
        <v/>
      </c>
      <c r="X150" s="69" t="inlineStr"/>
      <c r="Y150" s="70" t="inlineStr"/>
      <c r="AC150" s="146" t="inlineStr">
        <is>
          <t>КИ</t>
        </is>
      </c>
    </row>
    <row r="151" ht="27" customHeight="1">
      <c r="A151" s="64" t="inlineStr">
        <is>
          <t>SU002823</t>
        </is>
      </c>
      <c r="B151" s="64" t="inlineStr">
        <is>
          <t>P003230</t>
        </is>
      </c>
      <c r="C151" s="37" t="n">
        <v>4301011454</v>
      </c>
      <c r="D151" s="375" t="n">
        <v>4680115881396</v>
      </c>
      <c r="E151" s="642" t="n"/>
      <c r="F151" s="674" t="n">
        <v>0.45</v>
      </c>
      <c r="G151" s="38" t="n">
        <v>6</v>
      </c>
      <c r="H151" s="674" t="n">
        <v>2.7</v>
      </c>
      <c r="I151" s="674" t="n">
        <v>2.9</v>
      </c>
      <c r="J151" s="38" t="n">
        <v>156</v>
      </c>
      <c r="K151" s="39" t="inlineStr">
        <is>
          <t>СК2</t>
        </is>
      </c>
      <c r="L151" s="38" t="n">
        <v>55</v>
      </c>
      <c r="M151" s="757">
        <f>HYPERLINK("https:///products/Охлажденные/Стародворье/Сочинка/Вареные колбасы/P003230/","Вареные колбасы Сочинка с сочным окороком ТМ Стародворье ф/в 0,45 кг")</f>
        <v/>
      </c>
      <c r="N151" s="676" t="n"/>
      <c r="O151" s="676" t="n"/>
      <c r="P151" s="676" t="n"/>
      <c r="Q151" s="642" t="n"/>
      <c r="R151" s="40" t="inlineStr"/>
      <c r="S151" s="40" t="inlineStr"/>
      <c r="T151" s="41" t="inlineStr">
        <is>
          <t>кг</t>
        </is>
      </c>
      <c r="U151" s="677" t="n">
        <v>0</v>
      </c>
      <c r="V151" s="678">
        <f>IFERROR(IF(U151="",0,CEILING((U151/$H151),1)*$H151),"")</f>
        <v/>
      </c>
      <c r="W151" s="42">
        <f>IFERROR(IF(V151=0,"",ROUNDUP(V151/H151,0)*0.00753),"")</f>
        <v/>
      </c>
      <c r="X151" s="69" t="inlineStr"/>
      <c r="Y151" s="70" t="inlineStr"/>
      <c r="AC151" s="147" t="inlineStr">
        <is>
          <t>КИ</t>
        </is>
      </c>
    </row>
    <row r="152">
      <c r="A152" s="383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679" t="n"/>
      <c r="M152" s="680" t="inlineStr">
        <is>
          <t>Итого</t>
        </is>
      </c>
      <c r="N152" s="650" t="n"/>
      <c r="O152" s="650" t="n"/>
      <c r="P152" s="650" t="n"/>
      <c r="Q152" s="650" t="n"/>
      <c r="R152" s="650" t="n"/>
      <c r="S152" s="651" t="n"/>
      <c r="T152" s="43" t="inlineStr">
        <is>
          <t>кор</t>
        </is>
      </c>
      <c r="U152" s="681">
        <f>IFERROR(U150/H150,"0")+IFERROR(U151/H151,"0")</f>
        <v/>
      </c>
      <c r="V152" s="681">
        <f>IFERROR(V150/H150,"0")+IFERROR(V151/H151,"0")</f>
        <v/>
      </c>
      <c r="W152" s="681">
        <f>IFERROR(IF(W150="",0,W150),"0")+IFERROR(IF(W151="",0,W151),"0")</f>
        <v/>
      </c>
      <c r="X152" s="682" t="n"/>
      <c r="Y152" s="682" t="n"/>
    </row>
    <row r="153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679" t="n"/>
      <c r="M153" s="680" t="inlineStr">
        <is>
          <t>Итого</t>
        </is>
      </c>
      <c r="N153" s="650" t="n"/>
      <c r="O153" s="650" t="n"/>
      <c r="P153" s="650" t="n"/>
      <c r="Q153" s="650" t="n"/>
      <c r="R153" s="650" t="n"/>
      <c r="S153" s="651" t="n"/>
      <c r="T153" s="43" t="inlineStr">
        <is>
          <t>кг</t>
        </is>
      </c>
      <c r="U153" s="681">
        <f>IFERROR(SUM(U150:U151),"0")</f>
        <v/>
      </c>
      <c r="V153" s="681">
        <f>IFERROR(SUM(V150:V151),"0")</f>
        <v/>
      </c>
      <c r="W153" s="43" t="n"/>
      <c r="X153" s="682" t="n"/>
      <c r="Y153" s="682" t="n"/>
    </row>
    <row r="154" ht="14.25" customHeight="1">
      <c r="A154" s="374" t="inlineStr">
        <is>
          <t>Ветчины</t>
        </is>
      </c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374" t="n"/>
      <c r="Y154" s="374" t="n"/>
    </row>
    <row r="155" ht="16.5" customHeight="1">
      <c r="A155" s="64" t="inlineStr">
        <is>
          <t>SU003068</t>
        </is>
      </c>
      <c r="B155" s="64" t="inlineStr">
        <is>
          <t>P003611</t>
        </is>
      </c>
      <c r="C155" s="37" t="n">
        <v>4301020262</v>
      </c>
      <c r="D155" s="375" t="n">
        <v>4680115882935</v>
      </c>
      <c r="E155" s="642" t="n"/>
      <c r="F155" s="674" t="n">
        <v>1.35</v>
      </c>
      <c r="G155" s="38" t="n">
        <v>8</v>
      </c>
      <c r="H155" s="674" t="n">
        <v>10.8</v>
      </c>
      <c r="I155" s="674" t="n">
        <v>11.28</v>
      </c>
      <c r="J155" s="38" t="n">
        <v>56</v>
      </c>
      <c r="K155" s="39" t="inlineStr">
        <is>
          <t>СК3</t>
        </is>
      </c>
      <c r="L155" s="38" t="n">
        <v>50</v>
      </c>
      <c r="M155" s="758" t="inlineStr">
        <is>
          <t>Ветчина «Сочинка с сочным окороком» Весовой п/а ТМ «Стародворье»</t>
        </is>
      </c>
      <c r="N155" s="676" t="n"/>
      <c r="O155" s="676" t="n"/>
      <c r="P155" s="676" t="n"/>
      <c r="Q155" s="642" t="n"/>
      <c r="R155" s="40" t="inlineStr"/>
      <c r="S155" s="40" t="inlineStr"/>
      <c r="T155" s="41" t="inlineStr">
        <is>
          <t>кг</t>
        </is>
      </c>
      <c r="U155" s="677" t="n">
        <v>0</v>
      </c>
      <c r="V155" s="678">
        <f>IFERROR(IF(U155="",0,CEILING((U155/$H155),1)*$H155),"")</f>
        <v/>
      </c>
      <c r="W155" s="42">
        <f>IFERROR(IF(V155=0,"",ROUNDUP(V155/H155,0)*0.02175),"")</f>
        <v/>
      </c>
      <c r="X155" s="69" t="inlineStr"/>
      <c r="Y155" s="70" t="inlineStr"/>
      <c r="AC155" s="148" t="inlineStr">
        <is>
          <t>КИ</t>
        </is>
      </c>
    </row>
    <row r="156" ht="16.5" customHeight="1">
      <c r="A156" s="64" t="inlineStr">
        <is>
          <t>SU002757</t>
        </is>
      </c>
      <c r="B156" s="64" t="inlineStr">
        <is>
          <t>P003128</t>
        </is>
      </c>
      <c r="C156" s="37" t="n">
        <v>4301020220</v>
      </c>
      <c r="D156" s="375" t="n">
        <v>4680115880764</v>
      </c>
      <c r="E156" s="642" t="n"/>
      <c r="F156" s="674" t="n">
        <v>0.35</v>
      </c>
      <c r="G156" s="38" t="n">
        <v>6</v>
      </c>
      <c r="H156" s="674" t="n">
        <v>2.1</v>
      </c>
      <c r="I156" s="674" t="n">
        <v>2.3</v>
      </c>
      <c r="J156" s="38" t="n">
        <v>156</v>
      </c>
      <c r="K156" s="39" t="inlineStr">
        <is>
          <t>СК1</t>
        </is>
      </c>
      <c r="L156" s="38" t="n">
        <v>50</v>
      </c>
      <c r="M156" s="759">
        <f>HYPERLINK("https:///products/Охлажденные/Стародворье/Сочинка/Ветчины/P003128/","Ветчина Сочинка с сочным окороком ТМ Стародворье полиамид ф/в 0,35 кг")</f>
        <v/>
      </c>
      <c r="N156" s="676" t="n"/>
      <c r="O156" s="676" t="n"/>
      <c r="P156" s="676" t="n"/>
      <c r="Q156" s="642" t="n"/>
      <c r="R156" s="40" t="inlineStr"/>
      <c r="S156" s="40" t="inlineStr"/>
      <c r="T156" s="41" t="inlineStr">
        <is>
          <t>кг</t>
        </is>
      </c>
      <c r="U156" s="677" t="n">
        <v>0</v>
      </c>
      <c r="V156" s="678">
        <f>IFERROR(IF(U156="",0,CEILING((U156/$H156),1)*$H156),"")</f>
        <v/>
      </c>
      <c r="W156" s="42">
        <f>IFERROR(IF(V156=0,"",ROUNDUP(V156/H156,0)*0.00753),"")</f>
        <v/>
      </c>
      <c r="X156" s="69" t="inlineStr"/>
      <c r="Y156" s="70" t="inlineStr"/>
      <c r="AC156" s="149" t="inlineStr">
        <is>
          <t>КИ</t>
        </is>
      </c>
    </row>
    <row r="157">
      <c r="A157" s="383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679" t="n"/>
      <c r="M157" s="680" t="inlineStr">
        <is>
          <t>Итого</t>
        </is>
      </c>
      <c r="N157" s="650" t="n"/>
      <c r="O157" s="650" t="n"/>
      <c r="P157" s="650" t="n"/>
      <c r="Q157" s="650" t="n"/>
      <c r="R157" s="650" t="n"/>
      <c r="S157" s="651" t="n"/>
      <c r="T157" s="43" t="inlineStr">
        <is>
          <t>кор</t>
        </is>
      </c>
      <c r="U157" s="681">
        <f>IFERROR(U155/H155,"0")+IFERROR(U156/H156,"0")</f>
        <v/>
      </c>
      <c r="V157" s="681">
        <f>IFERROR(V155/H155,"0")+IFERROR(V156/H156,"0")</f>
        <v/>
      </c>
      <c r="W157" s="681">
        <f>IFERROR(IF(W155="",0,W155),"0")+IFERROR(IF(W156="",0,W156),"0")</f>
        <v/>
      </c>
      <c r="X157" s="682" t="n"/>
      <c r="Y157" s="682" t="n"/>
    </row>
    <row r="15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679" t="n"/>
      <c r="M158" s="680" t="inlineStr">
        <is>
          <t>Итого</t>
        </is>
      </c>
      <c r="N158" s="650" t="n"/>
      <c r="O158" s="650" t="n"/>
      <c r="P158" s="650" t="n"/>
      <c r="Q158" s="650" t="n"/>
      <c r="R158" s="650" t="n"/>
      <c r="S158" s="651" t="n"/>
      <c r="T158" s="43" t="inlineStr">
        <is>
          <t>кг</t>
        </is>
      </c>
      <c r="U158" s="681">
        <f>IFERROR(SUM(U155:U156),"0")</f>
        <v/>
      </c>
      <c r="V158" s="681">
        <f>IFERROR(SUM(V155:V156),"0")</f>
        <v/>
      </c>
      <c r="W158" s="43" t="n"/>
      <c r="X158" s="682" t="n"/>
      <c r="Y158" s="682" t="n"/>
    </row>
    <row r="159" ht="14.25" customHeight="1">
      <c r="A159" s="374" t="inlineStr">
        <is>
          <t>Копченые колбасы</t>
        </is>
      </c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374" t="n"/>
      <c r="Y159" s="374" t="n"/>
    </row>
    <row r="160" ht="27" customHeight="1">
      <c r="A160" s="64" t="inlineStr">
        <is>
          <t>SU002941</t>
        </is>
      </c>
      <c r="B160" s="64" t="inlineStr">
        <is>
          <t>P003387</t>
        </is>
      </c>
      <c r="C160" s="37" t="n">
        <v>4301031224</v>
      </c>
      <c r="D160" s="375" t="n">
        <v>4680115882683</v>
      </c>
      <c r="E160" s="642" t="n"/>
      <c r="F160" s="674" t="n">
        <v>0.9</v>
      </c>
      <c r="G160" s="38" t="n">
        <v>6</v>
      </c>
      <c r="H160" s="674" t="n">
        <v>5.4</v>
      </c>
      <c r="I160" s="674" t="n">
        <v>5.61</v>
      </c>
      <c r="J160" s="38" t="n">
        <v>120</v>
      </c>
      <c r="K160" s="39" t="inlineStr">
        <is>
          <t>СК2</t>
        </is>
      </c>
      <c r="L160" s="38" t="n">
        <v>40</v>
      </c>
      <c r="M160" s="760" t="inlineStr">
        <is>
          <t>В/к колбасы «Сочинка по-европейски с сочной грудинкой» Весовой фиброуз ТМ «Стародворье»</t>
        </is>
      </c>
      <c r="N160" s="676" t="n"/>
      <c r="O160" s="676" t="n"/>
      <c r="P160" s="676" t="n"/>
      <c r="Q160" s="642" t="n"/>
      <c r="R160" s="40" t="inlineStr"/>
      <c r="S160" s="40" t="inlineStr"/>
      <c r="T160" s="41" t="inlineStr">
        <is>
          <t>кг</t>
        </is>
      </c>
      <c r="U160" s="677" t="n">
        <v>0</v>
      </c>
      <c r="V160" s="678">
        <f>IFERROR(IF(U160="",0,CEILING((U160/$H160),1)*$H160),"")</f>
        <v/>
      </c>
      <c r="W160" s="42">
        <f>IFERROR(IF(V160=0,"",ROUNDUP(V160/H160,0)*0.00937),"")</f>
        <v/>
      </c>
      <c r="X160" s="69" t="inlineStr"/>
      <c r="Y160" s="70" t="inlineStr"/>
      <c r="AC160" s="150" t="inlineStr">
        <is>
          <t>КИ</t>
        </is>
      </c>
    </row>
    <row r="161" ht="27" customHeight="1">
      <c r="A161" s="64" t="inlineStr">
        <is>
          <t>SU002943</t>
        </is>
      </c>
      <c r="B161" s="64" t="inlineStr">
        <is>
          <t>P003401</t>
        </is>
      </c>
      <c r="C161" s="37" t="n">
        <v>4301031230</v>
      </c>
      <c r="D161" s="375" t="n">
        <v>4680115882690</v>
      </c>
      <c r="E161" s="642" t="n"/>
      <c r="F161" s="674" t="n">
        <v>0.9</v>
      </c>
      <c r="G161" s="38" t="n">
        <v>6</v>
      </c>
      <c r="H161" s="674" t="n">
        <v>5.4</v>
      </c>
      <c r="I161" s="674" t="n">
        <v>5.61</v>
      </c>
      <c r="J161" s="38" t="n">
        <v>120</v>
      </c>
      <c r="K161" s="39" t="inlineStr">
        <is>
          <t>СК2</t>
        </is>
      </c>
      <c r="L161" s="38" t="n">
        <v>40</v>
      </c>
      <c r="M161" s="761" t="inlineStr">
        <is>
          <t>В/к колбасы «Сочинка по-фински с сочным окороком» Весовой фиброуз ТМ «Стародворье»</t>
        </is>
      </c>
      <c r="N161" s="676" t="n"/>
      <c r="O161" s="676" t="n"/>
      <c r="P161" s="676" t="n"/>
      <c r="Q161" s="642" t="n"/>
      <c r="R161" s="40" t="inlineStr"/>
      <c r="S161" s="40" t="inlineStr"/>
      <c r="T161" s="41" t="inlineStr">
        <is>
          <t>кг</t>
        </is>
      </c>
      <c r="U161" s="677" t="n">
        <v>0</v>
      </c>
      <c r="V161" s="678">
        <f>IFERROR(IF(U161="",0,CEILING((U161/$H161),1)*$H161),"")</f>
        <v/>
      </c>
      <c r="W161" s="42">
        <f>IFERROR(IF(V161=0,"",ROUNDUP(V161/H161,0)*0.00937),"")</f>
        <v/>
      </c>
      <c r="X161" s="69" t="inlineStr"/>
      <c r="Y161" s="70" t="inlineStr"/>
      <c r="AC161" s="151" t="inlineStr">
        <is>
          <t>КИ</t>
        </is>
      </c>
    </row>
    <row r="162" ht="27" customHeight="1">
      <c r="A162" s="64" t="inlineStr">
        <is>
          <t>SU002945</t>
        </is>
      </c>
      <c r="B162" s="64" t="inlineStr">
        <is>
          <t>P003383</t>
        </is>
      </c>
      <c r="C162" s="37" t="n">
        <v>4301031220</v>
      </c>
      <c r="D162" s="375" t="n">
        <v>4680115882669</v>
      </c>
      <c r="E162" s="642" t="n"/>
      <c r="F162" s="674" t="n">
        <v>0.9</v>
      </c>
      <c r="G162" s="38" t="n">
        <v>6</v>
      </c>
      <c r="H162" s="674" t="n">
        <v>5.4</v>
      </c>
      <c r="I162" s="674" t="n">
        <v>5.61</v>
      </c>
      <c r="J162" s="38" t="n">
        <v>120</v>
      </c>
      <c r="K162" s="39" t="inlineStr">
        <is>
          <t>СК2</t>
        </is>
      </c>
      <c r="L162" s="38" t="n">
        <v>40</v>
      </c>
      <c r="M162" s="762">
        <f>HYPERLINK("https:///products/Охлажденные/Стародворье/Сочинка/Копченые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N162" s="676" t="n"/>
      <c r="O162" s="676" t="n"/>
      <c r="P162" s="676" t="n"/>
      <c r="Q162" s="642" t="n"/>
      <c r="R162" s="40" t="inlineStr"/>
      <c r="S162" s="40" t="inlineStr"/>
      <c r="T162" s="41" t="inlineStr">
        <is>
          <t>кг</t>
        </is>
      </c>
      <c r="U162" s="677" t="n">
        <v>0</v>
      </c>
      <c r="V162" s="678">
        <f>IFERROR(IF(U162="",0,CEILING((U162/$H162),1)*$H162),"")</f>
        <v/>
      </c>
      <c r="W162" s="42">
        <f>IFERROR(IF(V162=0,"",ROUNDUP(V162/H162,0)*0.00937),"")</f>
        <v/>
      </c>
      <c r="X162" s="69" t="inlineStr"/>
      <c r="Y162" s="70" t="inlineStr"/>
      <c r="AC162" s="152" t="inlineStr">
        <is>
          <t>КИ</t>
        </is>
      </c>
    </row>
    <row r="163" ht="27" customHeight="1">
      <c r="A163" s="64" t="inlineStr">
        <is>
          <t>SU002947</t>
        </is>
      </c>
      <c r="B163" s="64" t="inlineStr">
        <is>
          <t>P003384</t>
        </is>
      </c>
      <c r="C163" s="37" t="n">
        <v>4301031221</v>
      </c>
      <c r="D163" s="375" t="n">
        <v>4680115882676</v>
      </c>
      <c r="E163" s="642" t="n"/>
      <c r="F163" s="674" t="n">
        <v>0.9</v>
      </c>
      <c r="G163" s="38" t="n">
        <v>6</v>
      </c>
      <c r="H163" s="674" t="n">
        <v>5.4</v>
      </c>
      <c r="I163" s="674" t="n">
        <v>5.61</v>
      </c>
      <c r="J163" s="38" t="n">
        <v>120</v>
      </c>
      <c r="K163" s="39" t="inlineStr">
        <is>
          <t>СК2</t>
        </is>
      </c>
      <c r="L163" s="38" t="n">
        <v>40</v>
      </c>
      <c r="M163" s="763" t="inlineStr">
        <is>
          <t>П/к колбасы «Сочинка рубленая с сочным окороком» Весовой фиброуз ТМ «Стародворье»</t>
        </is>
      </c>
      <c r="N163" s="676" t="n"/>
      <c r="O163" s="676" t="n"/>
      <c r="P163" s="676" t="n"/>
      <c r="Q163" s="642" t="n"/>
      <c r="R163" s="40" t="inlineStr"/>
      <c r="S163" s="40" t="inlineStr"/>
      <c r="T163" s="41" t="inlineStr">
        <is>
          <t>кг</t>
        </is>
      </c>
      <c r="U163" s="677" t="n">
        <v>0</v>
      </c>
      <c r="V163" s="678">
        <f>IFERROR(IF(U163="",0,CEILING((U163/$H163),1)*$H163),"")</f>
        <v/>
      </c>
      <c r="W163" s="42">
        <f>IFERROR(IF(V163=0,"",ROUNDUP(V163/H163,0)*0.00937),"")</f>
        <v/>
      </c>
      <c r="X163" s="69" t="inlineStr"/>
      <c r="Y163" s="70" t="inlineStr"/>
      <c r="AC163" s="153" t="inlineStr">
        <is>
          <t>КИ</t>
        </is>
      </c>
    </row>
    <row r="164">
      <c r="A164" s="383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679" t="n"/>
      <c r="M164" s="680" t="inlineStr">
        <is>
          <t>Итого</t>
        </is>
      </c>
      <c r="N164" s="650" t="n"/>
      <c r="O164" s="650" t="n"/>
      <c r="P164" s="650" t="n"/>
      <c r="Q164" s="650" t="n"/>
      <c r="R164" s="650" t="n"/>
      <c r="S164" s="651" t="n"/>
      <c r="T164" s="43" t="inlineStr">
        <is>
          <t>кор</t>
        </is>
      </c>
      <c r="U164" s="681">
        <f>IFERROR(U160/H160,"0")+IFERROR(U161/H161,"0")+IFERROR(U162/H162,"0")+IFERROR(U163/H163,"0")</f>
        <v/>
      </c>
      <c r="V164" s="681">
        <f>IFERROR(V160/H160,"0")+IFERROR(V161/H161,"0")+IFERROR(V162/H162,"0")+IFERROR(V163/H163,"0")</f>
        <v/>
      </c>
      <c r="W164" s="681">
        <f>IFERROR(IF(W160="",0,W160),"0")+IFERROR(IF(W161="",0,W161),"0")+IFERROR(IF(W162="",0,W162),"0")+IFERROR(IF(W163="",0,W163),"0")</f>
        <v/>
      </c>
      <c r="X164" s="682" t="n"/>
      <c r="Y164" s="682" t="n"/>
    </row>
    <row r="165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679" t="n"/>
      <c r="M165" s="680" t="inlineStr">
        <is>
          <t>Итого</t>
        </is>
      </c>
      <c r="N165" s="650" t="n"/>
      <c r="O165" s="650" t="n"/>
      <c r="P165" s="650" t="n"/>
      <c r="Q165" s="650" t="n"/>
      <c r="R165" s="650" t="n"/>
      <c r="S165" s="651" t="n"/>
      <c r="T165" s="43" t="inlineStr">
        <is>
          <t>кг</t>
        </is>
      </c>
      <c r="U165" s="681">
        <f>IFERROR(SUM(U160:U163),"0")</f>
        <v/>
      </c>
      <c r="V165" s="681">
        <f>IFERROR(SUM(V160:V163),"0")</f>
        <v/>
      </c>
      <c r="W165" s="43" t="n"/>
      <c r="X165" s="682" t="n"/>
      <c r="Y165" s="682" t="n"/>
    </row>
    <row r="166" ht="14.25" customHeight="1">
      <c r="A166" s="374" t="inlineStr">
        <is>
          <t>Сосиски</t>
        </is>
      </c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374" t="n"/>
      <c r="Y166" s="374" t="n"/>
    </row>
    <row r="167" ht="27" customHeight="1">
      <c r="A167" s="64" t="inlineStr">
        <is>
          <t>SU002857</t>
        </is>
      </c>
      <c r="B167" s="64" t="inlineStr">
        <is>
          <t>P003264</t>
        </is>
      </c>
      <c r="C167" s="37" t="n">
        <v>4301051409</v>
      </c>
      <c r="D167" s="375" t="n">
        <v>4680115881556</v>
      </c>
      <c r="E167" s="642" t="n"/>
      <c r="F167" s="674" t="n">
        <v>1</v>
      </c>
      <c r="G167" s="38" t="n">
        <v>4</v>
      </c>
      <c r="H167" s="674" t="n">
        <v>4</v>
      </c>
      <c r="I167" s="674" t="n">
        <v>4.408</v>
      </c>
      <c r="J167" s="38" t="n">
        <v>104</v>
      </c>
      <c r="K167" s="39" t="inlineStr">
        <is>
          <t>СК3</t>
        </is>
      </c>
      <c r="L167" s="38" t="n">
        <v>45</v>
      </c>
      <c r="M167" s="764" t="inlineStr">
        <is>
          <t>Сосиски Сочинки по-баварски ТМ Стародворье полиамид мгс вес СК3</t>
        </is>
      </c>
      <c r="N167" s="676" t="n"/>
      <c r="O167" s="676" t="n"/>
      <c r="P167" s="676" t="n"/>
      <c r="Q167" s="642" t="n"/>
      <c r="R167" s="40" t="inlineStr"/>
      <c r="S167" s="40" t="inlineStr"/>
      <c r="T167" s="41" t="inlineStr">
        <is>
          <t>кг</t>
        </is>
      </c>
      <c r="U167" s="677" t="n">
        <v>0</v>
      </c>
      <c r="V167" s="678">
        <f>IFERROR(IF(U167="",0,CEILING((U167/$H167),1)*$H167),"")</f>
        <v/>
      </c>
      <c r="W167" s="42">
        <f>IFERROR(IF(V167=0,"",ROUNDUP(V167/H167,0)*0.01196),"")</f>
        <v/>
      </c>
      <c r="X167" s="69" t="inlineStr"/>
      <c r="Y167" s="70" t="inlineStr"/>
      <c r="AC167" s="154" t="inlineStr">
        <is>
          <t>КИ</t>
        </is>
      </c>
    </row>
    <row r="168" ht="16.5" customHeight="1">
      <c r="A168" s="64" t="inlineStr">
        <is>
          <t>SU002725</t>
        </is>
      </c>
      <c r="B168" s="64" t="inlineStr">
        <is>
          <t>P003404</t>
        </is>
      </c>
      <c r="C168" s="37" t="n">
        <v>4301051470</v>
      </c>
      <c r="D168" s="375" t="n">
        <v>4680115880573</v>
      </c>
      <c r="E168" s="642" t="n"/>
      <c r="F168" s="674" t="n">
        <v>1.3</v>
      </c>
      <c r="G168" s="38" t="n">
        <v>6</v>
      </c>
      <c r="H168" s="674" t="n">
        <v>7.8</v>
      </c>
      <c r="I168" s="674" t="n">
        <v>8.364000000000001</v>
      </c>
      <c r="J168" s="38" t="n">
        <v>56</v>
      </c>
      <c r="K168" s="39" t="inlineStr">
        <is>
          <t>СК3</t>
        </is>
      </c>
      <c r="L168" s="38" t="n">
        <v>45</v>
      </c>
      <c r="M168" s="765" t="inlineStr">
        <is>
          <t>Сосиски «Сочинки» Весовой п/а ТМ «Стародворье»</t>
        </is>
      </c>
      <c r="N168" s="676" t="n"/>
      <c r="O168" s="676" t="n"/>
      <c r="P168" s="676" t="n"/>
      <c r="Q168" s="642" t="n"/>
      <c r="R168" s="40" t="inlineStr"/>
      <c r="S168" s="40" t="inlineStr"/>
      <c r="T168" s="41" t="inlineStr">
        <is>
          <t>кг</t>
        </is>
      </c>
      <c r="U168" s="677" t="n">
        <v>0</v>
      </c>
      <c r="V168" s="678">
        <f>IFERROR(IF(U168="",0,CEILING((U168/$H168),1)*$H168),"")</f>
        <v/>
      </c>
      <c r="W168" s="42">
        <f>IFERROR(IF(V168=0,"",ROUNDUP(V168/H168,0)*0.02175),"")</f>
        <v/>
      </c>
      <c r="X168" s="69" t="inlineStr"/>
      <c r="Y168" s="70" t="inlineStr"/>
      <c r="AC168" s="155" t="inlineStr">
        <is>
          <t>КИ</t>
        </is>
      </c>
    </row>
    <row r="169" ht="27" customHeight="1">
      <c r="A169" s="64" t="inlineStr">
        <is>
          <t>SU002843</t>
        </is>
      </c>
      <c r="B169" s="64" t="inlineStr">
        <is>
          <t>P003263</t>
        </is>
      </c>
      <c r="C169" s="37" t="n">
        <v>4301051408</v>
      </c>
      <c r="D169" s="375" t="n">
        <v>4680115881594</v>
      </c>
      <c r="E169" s="642" t="n"/>
      <c r="F169" s="674" t="n">
        <v>1.35</v>
      </c>
      <c r="G169" s="38" t="n">
        <v>6</v>
      </c>
      <c r="H169" s="674" t="n">
        <v>8.1</v>
      </c>
      <c r="I169" s="674" t="n">
        <v>8.664</v>
      </c>
      <c r="J169" s="38" t="n">
        <v>56</v>
      </c>
      <c r="K169" s="39" t="inlineStr">
        <is>
          <t>СК3</t>
        </is>
      </c>
      <c r="L169" s="38" t="n">
        <v>40</v>
      </c>
      <c r="M169" s="766">
        <f>HYPERLINK("https:///products/Охлажденные/Стародворье/Сочинка/Сосиски/P003263/","Сосиски «Сочинки Молочные» Весовой п/а мгс ТМ «Стародворье»")</f>
        <v/>
      </c>
      <c r="N169" s="676" t="n"/>
      <c r="O169" s="676" t="n"/>
      <c r="P169" s="676" t="n"/>
      <c r="Q169" s="642" t="n"/>
      <c r="R169" s="40" t="inlineStr"/>
      <c r="S169" s="40" t="inlineStr"/>
      <c r="T169" s="41" t="inlineStr">
        <is>
          <t>кг</t>
        </is>
      </c>
      <c r="U169" s="677" t="n">
        <v>0</v>
      </c>
      <c r="V169" s="678">
        <f>IFERROR(IF(U169="",0,CEILING((U169/$H169),1)*$H169),"")</f>
        <v/>
      </c>
      <c r="W169" s="42">
        <f>IFERROR(IF(V169=0,"",ROUNDUP(V169/H169,0)*0.02175),"")</f>
        <v/>
      </c>
      <c r="X169" s="69" t="inlineStr"/>
      <c r="Y169" s="70" t="inlineStr"/>
      <c r="AC169" s="156" t="inlineStr">
        <is>
          <t>КИ</t>
        </is>
      </c>
    </row>
    <row r="170" ht="27" customHeight="1">
      <c r="A170" s="64" t="inlineStr">
        <is>
          <t>SU002858</t>
        </is>
      </c>
      <c r="B170" s="64" t="inlineStr">
        <is>
          <t>P003322</t>
        </is>
      </c>
      <c r="C170" s="37" t="n">
        <v>4301051433</v>
      </c>
      <c r="D170" s="375" t="n">
        <v>4680115881587</v>
      </c>
      <c r="E170" s="642" t="n"/>
      <c r="F170" s="674" t="n">
        <v>1</v>
      </c>
      <c r="G170" s="38" t="n">
        <v>4</v>
      </c>
      <c r="H170" s="674" t="n">
        <v>4</v>
      </c>
      <c r="I170" s="674" t="n">
        <v>4.408</v>
      </c>
      <c r="J170" s="38" t="n">
        <v>104</v>
      </c>
      <c r="K170" s="39" t="inlineStr">
        <is>
          <t>СК2</t>
        </is>
      </c>
      <c r="L170" s="38" t="n">
        <v>35</v>
      </c>
      <c r="M170" s="767">
        <f>HYPERLINK("https:///products/Охлажденные/Стародворье/Сочинка/Сосиски/P003322/","Сосиски Сочинки по-баварски с сыром Бордо Весовой п/а Стародворье")</f>
        <v/>
      </c>
      <c r="N170" s="676" t="n"/>
      <c r="O170" s="676" t="n"/>
      <c r="P170" s="676" t="n"/>
      <c r="Q170" s="642" t="n"/>
      <c r="R170" s="40" t="inlineStr"/>
      <c r="S170" s="40" t="inlineStr"/>
      <c r="T170" s="41" t="inlineStr">
        <is>
          <t>кг</t>
        </is>
      </c>
      <c r="U170" s="677" t="n">
        <v>0</v>
      </c>
      <c r="V170" s="678">
        <f>IFERROR(IF(U170="",0,CEILING((U170/$H170),1)*$H170),"")</f>
        <v/>
      </c>
      <c r="W170" s="42">
        <f>IFERROR(IF(V170=0,"",ROUNDUP(V170/H170,0)*0.01196),"")</f>
        <v/>
      </c>
      <c r="X170" s="69" t="inlineStr"/>
      <c r="Y170" s="70" t="inlineStr"/>
      <c r="AC170" s="157" t="inlineStr">
        <is>
          <t>КИ</t>
        </is>
      </c>
    </row>
    <row r="171" ht="16.5" customHeight="1">
      <c r="A171" s="64" t="inlineStr">
        <is>
          <t>SU002795</t>
        </is>
      </c>
      <c r="B171" s="64" t="inlineStr">
        <is>
          <t>P003203</t>
        </is>
      </c>
      <c r="C171" s="37" t="n">
        <v>4301051380</v>
      </c>
      <c r="D171" s="375" t="n">
        <v>4680115880962</v>
      </c>
      <c r="E171" s="642" t="n"/>
      <c r="F171" s="674" t="n">
        <v>1.3</v>
      </c>
      <c r="G171" s="38" t="n">
        <v>6</v>
      </c>
      <c r="H171" s="674" t="n">
        <v>7.8</v>
      </c>
      <c r="I171" s="674" t="n">
        <v>8.364000000000001</v>
      </c>
      <c r="J171" s="38" t="n">
        <v>56</v>
      </c>
      <c r="K171" s="39" t="inlineStr">
        <is>
          <t>СК2</t>
        </is>
      </c>
      <c r="L171" s="38" t="n">
        <v>40</v>
      </c>
      <c r="M171" s="768">
        <f>HYPERLINK("https:///products/Охлажденные/Стародворье/Сочинка/Сосиски/P003203/","Сосиски Сочинки с сыром Бордо Весовой п/а Стародворье")</f>
        <v/>
      </c>
      <c r="N171" s="676" t="n"/>
      <c r="O171" s="676" t="n"/>
      <c r="P171" s="676" t="n"/>
      <c r="Q171" s="642" t="n"/>
      <c r="R171" s="40" t="inlineStr"/>
      <c r="S171" s="40" t="inlineStr"/>
      <c r="T171" s="41" t="inlineStr">
        <is>
          <t>кг</t>
        </is>
      </c>
      <c r="U171" s="677" t="n">
        <v>0</v>
      </c>
      <c r="V171" s="678">
        <f>IFERROR(IF(U171="",0,CEILING((U171/$H171),1)*$H171),"")</f>
        <v/>
      </c>
      <c r="W171" s="42">
        <f>IFERROR(IF(V171=0,"",ROUNDUP(V171/H171,0)*0.02175),"")</f>
        <v/>
      </c>
      <c r="X171" s="69" t="inlineStr"/>
      <c r="Y171" s="70" t="inlineStr"/>
      <c r="AC171" s="158" t="inlineStr">
        <is>
          <t>КИ</t>
        </is>
      </c>
    </row>
    <row r="172" ht="27" customHeight="1">
      <c r="A172" s="64" t="inlineStr">
        <is>
          <t>SU002845</t>
        </is>
      </c>
      <c r="B172" s="64" t="inlineStr">
        <is>
          <t>P003266</t>
        </is>
      </c>
      <c r="C172" s="37" t="n">
        <v>4301051411</v>
      </c>
      <c r="D172" s="375" t="n">
        <v>4680115881617</v>
      </c>
      <c r="E172" s="642" t="n"/>
      <c r="F172" s="674" t="n">
        <v>1.35</v>
      </c>
      <c r="G172" s="38" t="n">
        <v>6</v>
      </c>
      <c r="H172" s="674" t="n">
        <v>8.1</v>
      </c>
      <c r="I172" s="674" t="n">
        <v>8.646000000000001</v>
      </c>
      <c r="J172" s="38" t="n">
        <v>56</v>
      </c>
      <c r="K172" s="39" t="inlineStr">
        <is>
          <t>СК3</t>
        </is>
      </c>
      <c r="L172" s="38" t="n">
        <v>40</v>
      </c>
      <c r="M172" s="769">
        <f>HYPERLINK("https:///products/Охлажденные/Стародворье/Сочинка/Сосиски/P003266/","Сосиски «Сочинки Сливочные» Весовые ТМ «Стародворье» 1,35 кг")</f>
        <v/>
      </c>
      <c r="N172" s="676" t="n"/>
      <c r="O172" s="676" t="n"/>
      <c r="P172" s="676" t="n"/>
      <c r="Q172" s="642" t="n"/>
      <c r="R172" s="40" t="inlineStr"/>
      <c r="S172" s="40" t="inlineStr"/>
      <c r="T172" s="41" t="inlineStr">
        <is>
          <t>кг</t>
        </is>
      </c>
      <c r="U172" s="677" t="n">
        <v>0</v>
      </c>
      <c r="V172" s="678">
        <f>IFERROR(IF(U172="",0,CEILING((U172/$H172),1)*$H172),"")</f>
        <v/>
      </c>
      <c r="W172" s="42">
        <f>IFERROR(IF(V172=0,"",ROUNDUP(V172/H172,0)*0.02175),"")</f>
        <v/>
      </c>
      <c r="X172" s="69" t="inlineStr"/>
      <c r="Y172" s="70" t="inlineStr"/>
      <c r="AC172" s="159" t="inlineStr">
        <is>
          <t>КИ</t>
        </is>
      </c>
    </row>
    <row r="173" ht="27" customHeight="1">
      <c r="A173" s="64" t="inlineStr">
        <is>
          <t>SU002801</t>
        </is>
      </c>
      <c r="B173" s="64" t="inlineStr">
        <is>
          <t>P003200</t>
        </is>
      </c>
      <c r="C173" s="37" t="n">
        <v>4301051377</v>
      </c>
      <c r="D173" s="375" t="n">
        <v>4680115881228</v>
      </c>
      <c r="E173" s="642" t="n"/>
      <c r="F173" s="674" t="n">
        <v>0.4</v>
      </c>
      <c r="G173" s="38" t="n">
        <v>6</v>
      </c>
      <c r="H173" s="674" t="n">
        <v>2.4</v>
      </c>
      <c r="I173" s="674" t="n">
        <v>2.6</v>
      </c>
      <c r="J173" s="38" t="n">
        <v>156</v>
      </c>
      <c r="K173" s="39" t="inlineStr">
        <is>
          <t>СК2</t>
        </is>
      </c>
      <c r="L173" s="38" t="n">
        <v>35</v>
      </c>
      <c r="M173" s="770">
        <f>HYPERLINK("https://abi.ru/products/Охлажденные/Стародворье/Бордо/Сосиски/P003200/","Сосиски Сочинки по-баварски с сыром Бавария Фикс.вес 0,4 П/а мгс Стародворье")</f>
        <v/>
      </c>
      <c r="N173" s="676" t="n"/>
      <c r="O173" s="676" t="n"/>
      <c r="P173" s="676" t="n"/>
      <c r="Q173" s="642" t="n"/>
      <c r="R173" s="40" t="inlineStr"/>
      <c r="S173" s="40" t="inlineStr"/>
      <c r="T173" s="41" t="inlineStr">
        <is>
          <t>кг</t>
        </is>
      </c>
      <c r="U173" s="677" t="n">
        <v>0</v>
      </c>
      <c r="V173" s="678">
        <f>IFERROR(IF(U173="",0,CEILING((U173/$H173),1)*$H173),"")</f>
        <v/>
      </c>
      <c r="W173" s="42">
        <f>IFERROR(IF(V173=0,"",ROUNDUP(V173/H173,0)*0.00753),"")</f>
        <v/>
      </c>
      <c r="X173" s="69" t="inlineStr"/>
      <c r="Y173" s="70" t="inlineStr"/>
      <c r="AC173" s="160" t="inlineStr">
        <is>
          <t>КИ</t>
        </is>
      </c>
    </row>
    <row r="174" ht="27" customHeight="1">
      <c r="A174" s="64" t="inlineStr">
        <is>
          <t>SU002802</t>
        </is>
      </c>
      <c r="B174" s="64" t="inlineStr">
        <is>
          <t>P003321</t>
        </is>
      </c>
      <c r="C174" s="37" t="n">
        <v>4301051432</v>
      </c>
      <c r="D174" s="375" t="n">
        <v>4680115881037</v>
      </c>
      <c r="E174" s="642" t="n"/>
      <c r="F174" s="674" t="n">
        <v>0.84</v>
      </c>
      <c r="G174" s="38" t="n">
        <v>4</v>
      </c>
      <c r="H174" s="674" t="n">
        <v>3.36</v>
      </c>
      <c r="I174" s="674" t="n">
        <v>3.618</v>
      </c>
      <c r="J174" s="38" t="n">
        <v>120</v>
      </c>
      <c r="K174" s="39" t="inlineStr">
        <is>
          <t>СК2</t>
        </is>
      </c>
      <c r="L174" s="38" t="n">
        <v>35</v>
      </c>
      <c r="M174" s="771">
        <f>HYPERLINK("https:///products/Охлажденные/Стародворье/Сочинка/Сосиски/P003321/","Сосиски Сочинки по-баварски с сыром ТМ Стародворье полиамид мгс ф/в 0,84 кг СК3")</f>
        <v/>
      </c>
      <c r="N174" s="676" t="n"/>
      <c r="O174" s="676" t="n"/>
      <c r="P174" s="676" t="n"/>
      <c r="Q174" s="642" t="n"/>
      <c r="R174" s="40" t="inlineStr"/>
      <c r="S174" s="40" t="inlineStr"/>
      <c r="T174" s="41" t="inlineStr">
        <is>
          <t>кг</t>
        </is>
      </c>
      <c r="U174" s="677" t="n">
        <v>0</v>
      </c>
      <c r="V174" s="678">
        <f>IFERROR(IF(U174="",0,CEILING((U174/$H174),1)*$H174),"")</f>
        <v/>
      </c>
      <c r="W174" s="42">
        <f>IFERROR(IF(V174=0,"",ROUNDUP(V174/H174,0)*0.00937),"")</f>
        <v/>
      </c>
      <c r="X174" s="69" t="inlineStr"/>
      <c r="Y174" s="70" t="inlineStr"/>
      <c r="AC174" s="161" t="inlineStr">
        <is>
          <t>КИ</t>
        </is>
      </c>
    </row>
    <row r="175" ht="27" customHeight="1">
      <c r="A175" s="64" t="inlineStr">
        <is>
          <t>SU002799</t>
        </is>
      </c>
      <c r="B175" s="64" t="inlineStr">
        <is>
          <t>P003217</t>
        </is>
      </c>
      <c r="C175" s="37" t="n">
        <v>4301051384</v>
      </c>
      <c r="D175" s="375" t="n">
        <v>4680115881211</v>
      </c>
      <c r="E175" s="642" t="n"/>
      <c r="F175" s="674" t="n">
        <v>0.4</v>
      </c>
      <c r="G175" s="38" t="n">
        <v>6</v>
      </c>
      <c r="H175" s="674" t="n">
        <v>2.4</v>
      </c>
      <c r="I175" s="674" t="n">
        <v>2.6</v>
      </c>
      <c r="J175" s="38" t="n">
        <v>156</v>
      </c>
      <c r="K175" s="39" t="inlineStr">
        <is>
          <t>СК2</t>
        </is>
      </c>
      <c r="L175" s="38" t="n">
        <v>45</v>
      </c>
      <c r="M175" s="772">
        <f>HYPERLINK("https:///products/Охлажденные/Стародворье/Сочинка/Сосиски/P003217/","Сосиски Сочинки по-баварски Бавария Фикс.вес 0,4 П/а мгс Стародворье")</f>
        <v/>
      </c>
      <c r="N175" s="676" t="n"/>
      <c r="O175" s="676" t="n"/>
      <c r="P175" s="676" t="n"/>
      <c r="Q175" s="642" t="n"/>
      <c r="R175" s="40" t="inlineStr"/>
      <c r="S175" s="40" t="inlineStr"/>
      <c r="T175" s="41" t="inlineStr">
        <is>
          <t>кг</t>
        </is>
      </c>
      <c r="U175" s="677" t="n">
        <v>36</v>
      </c>
      <c r="V175" s="678">
        <f>IFERROR(IF(U175="",0,CEILING((U175/$H175),1)*$H175),"")</f>
        <v/>
      </c>
      <c r="W175" s="42">
        <f>IFERROR(IF(V175=0,"",ROUNDUP(V175/H175,0)*0.00753),"")</f>
        <v/>
      </c>
      <c r="X175" s="69" t="inlineStr"/>
      <c r="Y175" s="70" t="inlineStr"/>
      <c r="AC175" s="162" t="inlineStr">
        <is>
          <t>КИ</t>
        </is>
      </c>
    </row>
    <row r="176" ht="27" customHeight="1">
      <c r="A176" s="64" t="inlineStr">
        <is>
          <t>SU002800</t>
        </is>
      </c>
      <c r="B176" s="64" t="inlineStr">
        <is>
          <t>P003201</t>
        </is>
      </c>
      <c r="C176" s="37" t="n">
        <v>4301051378</v>
      </c>
      <c r="D176" s="375" t="n">
        <v>4680115881020</v>
      </c>
      <c r="E176" s="642" t="n"/>
      <c r="F176" s="674" t="n">
        <v>0.84</v>
      </c>
      <c r="G176" s="38" t="n">
        <v>4</v>
      </c>
      <c r="H176" s="674" t="n">
        <v>3.36</v>
      </c>
      <c r="I176" s="674" t="n">
        <v>3.57</v>
      </c>
      <c r="J176" s="38" t="n">
        <v>120</v>
      </c>
      <c r="K176" s="39" t="inlineStr">
        <is>
          <t>СК2</t>
        </is>
      </c>
      <c r="L176" s="38" t="n">
        <v>45</v>
      </c>
      <c r="M176" s="773">
        <f>HYPERLINK("https:///products/Охлажденные/Стародворье/Сочинка/Сосиски/P003201/","Сосиски Сочинки по-баварски Бавария Фикс.вес 0,84 П/а мгс Стародворье")</f>
        <v/>
      </c>
      <c r="N176" s="676" t="n"/>
      <c r="O176" s="676" t="n"/>
      <c r="P176" s="676" t="n"/>
      <c r="Q176" s="642" t="n"/>
      <c r="R176" s="40" t="inlineStr"/>
      <c r="S176" s="40" t="inlineStr"/>
      <c r="T176" s="41" t="inlineStr">
        <is>
          <t>кг</t>
        </is>
      </c>
      <c r="U176" s="677" t="n">
        <v>0</v>
      </c>
      <c r="V176" s="678">
        <f>IFERROR(IF(U176="",0,CEILING((U176/$H176),1)*$H176),"")</f>
        <v/>
      </c>
      <c r="W176" s="42">
        <f>IFERROR(IF(V176=0,"",ROUNDUP(V176/H176,0)*0.00937),"")</f>
        <v/>
      </c>
      <c r="X176" s="69" t="inlineStr"/>
      <c r="Y176" s="70" t="inlineStr"/>
      <c r="AC176" s="163" t="inlineStr">
        <is>
          <t>КИ</t>
        </is>
      </c>
    </row>
    <row r="177" ht="27" customHeight="1">
      <c r="A177" s="64" t="inlineStr">
        <is>
          <t>SU002842</t>
        </is>
      </c>
      <c r="B177" s="64" t="inlineStr">
        <is>
          <t>P003262</t>
        </is>
      </c>
      <c r="C177" s="37" t="n">
        <v>4301051407</v>
      </c>
      <c r="D177" s="375" t="n">
        <v>4680115882195</v>
      </c>
      <c r="E177" s="642" t="n"/>
      <c r="F177" s="674" t="n">
        <v>0.4</v>
      </c>
      <c r="G177" s="38" t="n">
        <v>6</v>
      </c>
      <c r="H177" s="674" t="n">
        <v>2.4</v>
      </c>
      <c r="I177" s="674" t="n">
        <v>2.69</v>
      </c>
      <c r="J177" s="38" t="n">
        <v>156</v>
      </c>
      <c r="K177" s="39" t="inlineStr">
        <is>
          <t>СК3</t>
        </is>
      </c>
      <c r="L177" s="38" t="n">
        <v>40</v>
      </c>
      <c r="M177" s="774">
        <f>HYPERLINK("https:///products/Охлажденные/Стародворье/Сочинка/Сосиски/P003262/","Сосиски «Сочинки Молочные» Фикс.вес 0,4 п/а мгс ТМ «Стародворье»")</f>
        <v/>
      </c>
      <c r="N177" s="676" t="n"/>
      <c r="O177" s="676" t="n"/>
      <c r="P177" s="676" t="n"/>
      <c r="Q177" s="642" t="n"/>
      <c r="R177" s="40" t="inlineStr"/>
      <c r="S177" s="40" t="inlineStr"/>
      <c r="T177" s="41" t="inlineStr">
        <is>
          <t>кг</t>
        </is>
      </c>
      <c r="U177" s="677" t="n">
        <v>0</v>
      </c>
      <c r="V177" s="678">
        <f>IFERROR(IF(U177="",0,CEILING((U177/$H177),1)*$H177),"")</f>
        <v/>
      </c>
      <c r="W177" s="42">
        <f>IFERROR(IF(V177=0,"",ROUNDUP(V177/H177,0)*0.00753),"")</f>
        <v/>
      </c>
      <c r="X177" s="69" t="inlineStr"/>
      <c r="Y177" s="70" t="inlineStr"/>
      <c r="AC177" s="164" t="inlineStr">
        <is>
          <t>КИ</t>
        </is>
      </c>
    </row>
    <row r="178" ht="27" customHeight="1">
      <c r="A178" s="64" t="inlineStr">
        <is>
          <t>SU002992</t>
        </is>
      </c>
      <c r="B178" s="64" t="inlineStr">
        <is>
          <t>P003443</t>
        </is>
      </c>
      <c r="C178" s="37" t="n">
        <v>4301051479</v>
      </c>
      <c r="D178" s="375" t="n">
        <v>4680115882607</v>
      </c>
      <c r="E178" s="642" t="n"/>
      <c r="F178" s="674" t="n">
        <v>0.3</v>
      </c>
      <c r="G178" s="38" t="n">
        <v>6</v>
      </c>
      <c r="H178" s="674" t="n">
        <v>1.8</v>
      </c>
      <c r="I178" s="674" t="n">
        <v>2.072</v>
      </c>
      <c r="J178" s="38" t="n">
        <v>156</v>
      </c>
      <c r="K178" s="39" t="inlineStr">
        <is>
          <t>СК3</t>
        </is>
      </c>
      <c r="L178" s="38" t="n">
        <v>45</v>
      </c>
      <c r="M178" s="775" t="inlineStr">
        <is>
          <t>Сосиски «Сочинки с сочной грудинкой» Фикс.вес 0,3 П/а мгс ТМ «Стародворье»</t>
        </is>
      </c>
      <c r="N178" s="676" t="n"/>
      <c r="O178" s="676" t="n"/>
      <c r="P178" s="676" t="n"/>
      <c r="Q178" s="642" t="n"/>
      <c r="R178" s="40" t="inlineStr"/>
      <c r="S178" s="40" t="inlineStr"/>
      <c r="T178" s="41" t="inlineStr">
        <is>
          <t>кг</t>
        </is>
      </c>
      <c r="U178" s="677" t="n">
        <v>0</v>
      </c>
      <c r="V178" s="678">
        <f>IFERROR(IF(U178="",0,CEILING((U178/$H178),1)*$H178),"")</f>
        <v/>
      </c>
      <c r="W178" s="42">
        <f>IFERROR(IF(V178=0,"",ROUNDUP(V178/H178,0)*0.00753),"")</f>
        <v/>
      </c>
      <c r="X178" s="69" t="inlineStr"/>
      <c r="Y178" s="70" t="inlineStr"/>
      <c r="AC178" s="165" t="inlineStr">
        <is>
          <t>КИ</t>
        </is>
      </c>
    </row>
    <row r="179" ht="27" customHeight="1">
      <c r="A179" s="64" t="inlineStr">
        <is>
          <t>SU002618</t>
        </is>
      </c>
      <c r="B179" s="64" t="inlineStr">
        <is>
          <t>P003398</t>
        </is>
      </c>
      <c r="C179" s="37" t="n">
        <v>4301051468</v>
      </c>
      <c r="D179" s="375" t="n">
        <v>4680115880092</v>
      </c>
      <c r="E179" s="642" t="n"/>
      <c r="F179" s="674" t="n">
        <v>0.4</v>
      </c>
      <c r="G179" s="38" t="n">
        <v>6</v>
      </c>
      <c r="H179" s="674" t="n">
        <v>2.4</v>
      </c>
      <c r="I179" s="674" t="n">
        <v>2.672</v>
      </c>
      <c r="J179" s="38" t="n">
        <v>156</v>
      </c>
      <c r="K179" s="39" t="inlineStr">
        <is>
          <t>СК3</t>
        </is>
      </c>
      <c r="L179" s="38" t="n">
        <v>45</v>
      </c>
      <c r="M179" s="776">
        <f>HYPERLINK("https:///products/Охлажденные/Стародворье/Сочинка/Сосиски/P003398/","Сосиски «Сочинки с сочной грудинкой» Фикс.вес 0,4 П/а мгс ТМ «Стародворье»")</f>
        <v/>
      </c>
      <c r="N179" s="676" t="n"/>
      <c r="O179" s="676" t="n"/>
      <c r="P179" s="676" t="n"/>
      <c r="Q179" s="642" t="n"/>
      <c r="R179" s="40" t="inlineStr"/>
      <c r="S179" s="40" t="inlineStr"/>
      <c r="T179" s="41" t="inlineStr">
        <is>
          <t>кг</t>
        </is>
      </c>
      <c r="U179" s="677" t="n">
        <v>92</v>
      </c>
      <c r="V179" s="678">
        <f>IFERROR(IF(U179="",0,CEILING((U179/$H179),1)*$H179),"")</f>
        <v/>
      </c>
      <c r="W179" s="42">
        <f>IFERROR(IF(V179=0,"",ROUNDUP(V179/H179,0)*0.00753),"")</f>
        <v/>
      </c>
      <c r="X179" s="69" t="inlineStr"/>
      <c r="Y179" s="70" t="inlineStr"/>
      <c r="AC179" s="166" t="inlineStr">
        <is>
          <t>КИ</t>
        </is>
      </c>
    </row>
    <row r="180" ht="27" customHeight="1">
      <c r="A180" s="64" t="inlineStr">
        <is>
          <t>SU002621</t>
        </is>
      </c>
      <c r="B180" s="64" t="inlineStr">
        <is>
          <t>P003399</t>
        </is>
      </c>
      <c r="C180" s="37" t="n">
        <v>4301051469</v>
      </c>
      <c r="D180" s="375" t="n">
        <v>4680115880221</v>
      </c>
      <c r="E180" s="642" t="n"/>
      <c r="F180" s="674" t="n">
        <v>0.4</v>
      </c>
      <c r="G180" s="38" t="n">
        <v>6</v>
      </c>
      <c r="H180" s="674" t="n">
        <v>2.4</v>
      </c>
      <c r="I180" s="674" t="n">
        <v>2.672</v>
      </c>
      <c r="J180" s="38" t="n">
        <v>156</v>
      </c>
      <c r="K180" s="39" t="inlineStr">
        <is>
          <t>СК3</t>
        </is>
      </c>
      <c r="L180" s="38" t="n">
        <v>45</v>
      </c>
      <c r="M180" s="777">
        <f>HYPERLINK("https:///products/Охлажденные/Стародворье/Сочинка/Сосиски/P003399/","Сосиски Сочинки с сочным окороком Бордо Фикс.вес 0,4 П/а мгс Стародворье")</f>
        <v/>
      </c>
      <c r="N180" s="676" t="n"/>
      <c r="O180" s="676" t="n"/>
      <c r="P180" s="676" t="n"/>
      <c r="Q180" s="642" t="n"/>
      <c r="R180" s="40" t="inlineStr"/>
      <c r="S180" s="40" t="inlineStr"/>
      <c r="T180" s="41" t="inlineStr">
        <is>
          <t>кг</t>
        </is>
      </c>
      <c r="U180" s="677" t="n">
        <v>0</v>
      </c>
      <c r="V180" s="678">
        <f>IFERROR(IF(U180="",0,CEILING((U180/$H180),1)*$H180),"")</f>
        <v/>
      </c>
      <c r="W180" s="42">
        <f>IFERROR(IF(V180=0,"",ROUNDUP(V180/H180,0)*0.00753),"")</f>
        <v/>
      </c>
      <c r="X180" s="69" t="inlineStr"/>
      <c r="Y180" s="70" t="inlineStr"/>
      <c r="AC180" s="167" t="inlineStr">
        <is>
          <t>КИ</t>
        </is>
      </c>
    </row>
    <row r="181" ht="16.5" customHeight="1">
      <c r="A181" s="64" t="inlineStr">
        <is>
          <t>SU003073</t>
        </is>
      </c>
      <c r="B181" s="64" t="inlineStr">
        <is>
          <t>P003613</t>
        </is>
      </c>
      <c r="C181" s="37" t="n">
        <v>4301051523</v>
      </c>
      <c r="D181" s="375" t="n">
        <v>4680115882942</v>
      </c>
      <c r="E181" s="642" t="n"/>
      <c r="F181" s="674" t="n">
        <v>0.3</v>
      </c>
      <c r="G181" s="38" t="n">
        <v>6</v>
      </c>
      <c r="H181" s="674" t="n">
        <v>1.8</v>
      </c>
      <c r="I181" s="674" t="n">
        <v>2.072</v>
      </c>
      <c r="J181" s="38" t="n">
        <v>156</v>
      </c>
      <c r="K181" s="39" t="inlineStr">
        <is>
          <t>СК2</t>
        </is>
      </c>
      <c r="L181" s="38" t="n">
        <v>40</v>
      </c>
      <c r="M181" s="778" t="inlineStr">
        <is>
          <t>Сосиски «Сочинки с сыром» ф/в 0,3 кг п/а ТМ «Стародворье»</t>
        </is>
      </c>
      <c r="N181" s="676" t="n"/>
      <c r="O181" s="676" t="n"/>
      <c r="P181" s="676" t="n"/>
      <c r="Q181" s="642" t="n"/>
      <c r="R181" s="40" t="inlineStr"/>
      <c r="S181" s="40" t="inlineStr"/>
      <c r="T181" s="41" t="inlineStr">
        <is>
          <t>кг</t>
        </is>
      </c>
      <c r="U181" s="677" t="n">
        <v>0</v>
      </c>
      <c r="V181" s="678">
        <f>IFERROR(IF(U181="",0,CEILING((U181/$H181),1)*$H181),"")</f>
        <v/>
      </c>
      <c r="W181" s="42">
        <f>IFERROR(IF(V181=0,"",ROUNDUP(V181/H181,0)*0.00753),"")</f>
        <v/>
      </c>
      <c r="X181" s="69" t="inlineStr"/>
      <c r="Y181" s="70" t="inlineStr"/>
      <c r="AC181" s="168" t="inlineStr">
        <is>
          <t>КИ</t>
        </is>
      </c>
    </row>
    <row r="182" ht="16.5" customHeight="1">
      <c r="A182" s="64" t="inlineStr">
        <is>
          <t>SU002686</t>
        </is>
      </c>
      <c r="B182" s="64" t="inlineStr">
        <is>
          <t>P003071</t>
        </is>
      </c>
      <c r="C182" s="37" t="n">
        <v>4301051326</v>
      </c>
      <c r="D182" s="375" t="n">
        <v>4680115880504</v>
      </c>
      <c r="E182" s="642" t="n"/>
      <c r="F182" s="674" t="n">
        <v>0.4</v>
      </c>
      <c r="G182" s="38" t="n">
        <v>6</v>
      </c>
      <c r="H182" s="674" t="n">
        <v>2.4</v>
      </c>
      <c r="I182" s="674" t="n">
        <v>2.672</v>
      </c>
      <c r="J182" s="38" t="n">
        <v>156</v>
      </c>
      <c r="K182" s="39" t="inlineStr">
        <is>
          <t>СК2</t>
        </is>
      </c>
      <c r="L182" s="38" t="n">
        <v>40</v>
      </c>
      <c r="M182" s="779">
        <f>HYPERLINK("https://abi.ru/products/Охлажденные/Стародворье/Бордо/Сосиски/P003071/","Сосиски Сочинки с сыром Бордо ф/в 0,4 кг п/а Стародворье")</f>
        <v/>
      </c>
      <c r="N182" s="676" t="n"/>
      <c r="O182" s="676" t="n"/>
      <c r="P182" s="676" t="n"/>
      <c r="Q182" s="642" t="n"/>
      <c r="R182" s="40" t="inlineStr"/>
      <c r="S182" s="40" t="inlineStr"/>
      <c r="T182" s="41" t="inlineStr">
        <is>
          <t>кг</t>
        </is>
      </c>
      <c r="U182" s="677" t="n">
        <v>0</v>
      </c>
      <c r="V182" s="678">
        <f>IFERROR(IF(U182="",0,CEILING((U182/$H182),1)*$H182),"")</f>
        <v/>
      </c>
      <c r="W182" s="42">
        <f>IFERROR(IF(V182=0,"",ROUNDUP(V182/H182,0)*0.00753),"")</f>
        <v/>
      </c>
      <c r="X182" s="69" t="inlineStr"/>
      <c r="Y182" s="70" t="inlineStr"/>
      <c r="AC182" s="169" t="inlineStr">
        <is>
          <t>КИ</t>
        </is>
      </c>
    </row>
    <row r="183" ht="27" customHeight="1">
      <c r="A183" s="64" t="inlineStr">
        <is>
          <t>SU002844</t>
        </is>
      </c>
      <c r="B183" s="64" t="inlineStr">
        <is>
          <t>P003265</t>
        </is>
      </c>
      <c r="C183" s="37" t="n">
        <v>4301051410</v>
      </c>
      <c r="D183" s="375" t="n">
        <v>4680115882164</v>
      </c>
      <c r="E183" s="642" t="n"/>
      <c r="F183" s="674" t="n">
        <v>0.4</v>
      </c>
      <c r="G183" s="38" t="n">
        <v>6</v>
      </c>
      <c r="H183" s="674" t="n">
        <v>2.4</v>
      </c>
      <c r="I183" s="674" t="n">
        <v>2.678</v>
      </c>
      <c r="J183" s="38" t="n">
        <v>156</v>
      </c>
      <c r="K183" s="39" t="inlineStr">
        <is>
          <t>СК3</t>
        </is>
      </c>
      <c r="L183" s="38" t="n">
        <v>40</v>
      </c>
      <c r="M183" s="780">
        <f>HYPERLINK("https:///products/Охлажденные/Стародворье/Сочинка/Сосиски/P003265/","Сосиски «Сочинки Сливочные» Фикс.вес 0,4 п/а мгс ТМ «Стародворье»")</f>
        <v/>
      </c>
      <c r="N183" s="676" t="n"/>
      <c r="O183" s="676" t="n"/>
      <c r="P183" s="676" t="n"/>
      <c r="Q183" s="642" t="n"/>
      <c r="R183" s="40" t="inlineStr"/>
      <c r="S183" s="40" t="inlineStr"/>
      <c r="T183" s="41" t="inlineStr">
        <is>
          <t>кг</t>
        </is>
      </c>
      <c r="U183" s="677" t="n">
        <v>0</v>
      </c>
      <c r="V183" s="678">
        <f>IFERROR(IF(U183="",0,CEILING((U183/$H183),1)*$H183),"")</f>
        <v/>
      </c>
      <c r="W183" s="42">
        <f>IFERROR(IF(V183=0,"",ROUNDUP(V183/H183,0)*0.00753),"")</f>
        <v/>
      </c>
      <c r="X183" s="69" t="inlineStr"/>
      <c r="Y183" s="70" t="inlineStr"/>
      <c r="AC183" s="170" t="inlineStr">
        <is>
          <t>КИ</t>
        </is>
      </c>
    </row>
    <row r="184">
      <c r="A184" s="383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679" t="n"/>
      <c r="M184" s="680" t="inlineStr">
        <is>
          <t>Итого</t>
        </is>
      </c>
      <c r="N184" s="650" t="n"/>
      <c r="O184" s="650" t="n"/>
      <c r="P184" s="650" t="n"/>
      <c r="Q184" s="650" t="n"/>
      <c r="R184" s="650" t="n"/>
      <c r="S184" s="651" t="n"/>
      <c r="T184" s="43" t="inlineStr">
        <is>
          <t>кор</t>
        </is>
      </c>
      <c r="U184" s="681">
        <f>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+IFERROR(U180/H180,"0")+IFERROR(U181/H181,"0")+IFERROR(U182/H182,"0")+IFERROR(U183/H183,"0")</f>
        <v/>
      </c>
      <c r="V184" s="681">
        <f>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</f>
        <v/>
      </c>
      <c r="W184" s="681">
        <f>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+IFERROR(IF(W182="",0,W182),"0")+IFERROR(IF(W183="",0,W183),"0")</f>
        <v/>
      </c>
      <c r="X184" s="682" t="n"/>
      <c r="Y184" s="682" t="n"/>
    </row>
    <row r="185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679" t="n"/>
      <c r="M185" s="680" t="inlineStr">
        <is>
          <t>Итого</t>
        </is>
      </c>
      <c r="N185" s="650" t="n"/>
      <c r="O185" s="650" t="n"/>
      <c r="P185" s="650" t="n"/>
      <c r="Q185" s="650" t="n"/>
      <c r="R185" s="650" t="n"/>
      <c r="S185" s="651" t="n"/>
      <c r="T185" s="43" t="inlineStr">
        <is>
          <t>кг</t>
        </is>
      </c>
      <c r="U185" s="681">
        <f>IFERROR(SUM(U167:U183),"0")</f>
        <v/>
      </c>
      <c r="V185" s="681">
        <f>IFERROR(SUM(V167:V183),"0")</f>
        <v/>
      </c>
      <c r="W185" s="43" t="n"/>
      <c r="X185" s="682" t="n"/>
      <c r="Y185" s="682" t="n"/>
    </row>
    <row r="186" ht="14.25" customHeight="1">
      <c r="A186" s="374" t="inlineStr">
        <is>
          <t>Сардельки</t>
        </is>
      </c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374" t="n"/>
      <c r="Y186" s="374" t="n"/>
    </row>
    <row r="187" ht="16.5" customHeight="1">
      <c r="A187" s="64" t="inlineStr">
        <is>
          <t>SU002758</t>
        </is>
      </c>
      <c r="B187" s="64" t="inlineStr">
        <is>
          <t>P003129</t>
        </is>
      </c>
      <c r="C187" s="37" t="n">
        <v>4301060338</v>
      </c>
      <c r="D187" s="375" t="n">
        <v>4680115880801</v>
      </c>
      <c r="E187" s="642" t="n"/>
      <c r="F187" s="674" t="n">
        <v>0.4</v>
      </c>
      <c r="G187" s="38" t="n">
        <v>6</v>
      </c>
      <c r="H187" s="674" t="n">
        <v>2.4</v>
      </c>
      <c r="I187" s="674" t="n">
        <v>2.672</v>
      </c>
      <c r="J187" s="38" t="n">
        <v>156</v>
      </c>
      <c r="K187" s="39" t="inlineStr">
        <is>
          <t>СК2</t>
        </is>
      </c>
      <c r="L187" s="38" t="n">
        <v>40</v>
      </c>
      <c r="M187" s="781">
        <f>HYPERLINK("https:///products/Охлажденные/Стародворье/Сочинка/Сардельки/P003129/","Сардельки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N187" s="676" t="n"/>
      <c r="O187" s="676" t="n"/>
      <c r="P187" s="676" t="n"/>
      <c r="Q187" s="642" t="n"/>
      <c r="R187" s="40" t="inlineStr"/>
      <c r="S187" s="40" t="inlineStr"/>
      <c r="T187" s="41" t="inlineStr">
        <is>
          <t>кг</t>
        </is>
      </c>
      <c r="U187" s="677" t="n">
        <v>0</v>
      </c>
      <c r="V187" s="678">
        <f>IFERROR(IF(U187="",0,CEILING((U187/$H187),1)*$H187),"")</f>
        <v/>
      </c>
      <c r="W187" s="42">
        <f>IFERROR(IF(V187=0,"",ROUNDUP(V187/H187,0)*0.00753),"")</f>
        <v/>
      </c>
      <c r="X187" s="69" t="inlineStr"/>
      <c r="Y187" s="70" t="inlineStr"/>
      <c r="AC187" s="171" t="inlineStr">
        <is>
          <t>КИ</t>
        </is>
      </c>
    </row>
    <row r="188" ht="27" customHeight="1">
      <c r="A188" s="64" t="inlineStr">
        <is>
          <t>SU002759</t>
        </is>
      </c>
      <c r="B188" s="64" t="inlineStr">
        <is>
          <t>P003130</t>
        </is>
      </c>
      <c r="C188" s="37" t="n">
        <v>4301060339</v>
      </c>
      <c r="D188" s="375" t="n">
        <v>4680115880818</v>
      </c>
      <c r="E188" s="642" t="n"/>
      <c r="F188" s="674" t="n">
        <v>0.4</v>
      </c>
      <c r="G188" s="38" t="n">
        <v>6</v>
      </c>
      <c r="H188" s="674" t="n">
        <v>2.4</v>
      </c>
      <c r="I188" s="674" t="n">
        <v>2.672</v>
      </c>
      <c r="J188" s="38" t="n">
        <v>156</v>
      </c>
      <c r="K188" s="39" t="inlineStr">
        <is>
          <t>СК2</t>
        </is>
      </c>
      <c r="L188" s="38" t="n">
        <v>40</v>
      </c>
      <c r="M188" s="782">
        <f>HYPERLINK("https:///products/Охлажденные/Стародворье/Сочинка/Сардельки/P003130/","Сардельки Сочинки с сыром Бордо Фикс.вес 0,4 п/а Стародворье")</f>
        <v/>
      </c>
      <c r="N188" s="676" t="n"/>
      <c r="O188" s="676" t="n"/>
      <c r="P188" s="676" t="n"/>
      <c r="Q188" s="642" t="n"/>
      <c r="R188" s="40" t="inlineStr"/>
      <c r="S188" s="40" t="inlineStr"/>
      <c r="T188" s="41" t="inlineStr">
        <is>
          <t>кг</t>
        </is>
      </c>
      <c r="U188" s="677" t="n">
        <v>0</v>
      </c>
      <c r="V188" s="678">
        <f>IFERROR(IF(U188="",0,CEILING((U188/$H188),1)*$H188),"")</f>
        <v/>
      </c>
      <c r="W188" s="42">
        <f>IFERROR(IF(V188=0,"",ROUNDUP(V188/H188,0)*0.00753),"")</f>
        <v/>
      </c>
      <c r="X188" s="69" t="inlineStr"/>
      <c r="Y188" s="70" t="inlineStr"/>
      <c r="AC188" s="172" t="inlineStr">
        <is>
          <t>КИ</t>
        </is>
      </c>
    </row>
    <row r="189">
      <c r="A189" s="383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679" t="n"/>
      <c r="M189" s="680" t="inlineStr">
        <is>
          <t>Итого</t>
        </is>
      </c>
      <c r="N189" s="650" t="n"/>
      <c r="O189" s="650" t="n"/>
      <c r="P189" s="650" t="n"/>
      <c r="Q189" s="650" t="n"/>
      <c r="R189" s="650" t="n"/>
      <c r="S189" s="651" t="n"/>
      <c r="T189" s="43" t="inlineStr">
        <is>
          <t>кор</t>
        </is>
      </c>
      <c r="U189" s="681">
        <f>IFERROR(U187/H187,"0")+IFERROR(U188/H188,"0")</f>
        <v/>
      </c>
      <c r="V189" s="681">
        <f>IFERROR(V187/H187,"0")+IFERROR(V188/H188,"0")</f>
        <v/>
      </c>
      <c r="W189" s="681">
        <f>IFERROR(IF(W187="",0,W187),"0")+IFERROR(IF(W188="",0,W188),"0")</f>
        <v/>
      </c>
      <c r="X189" s="682" t="n"/>
      <c r="Y189" s="682" t="n"/>
    </row>
    <row r="190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679" t="n"/>
      <c r="M190" s="680" t="inlineStr">
        <is>
          <t>Итого</t>
        </is>
      </c>
      <c r="N190" s="650" t="n"/>
      <c r="O190" s="650" t="n"/>
      <c r="P190" s="650" t="n"/>
      <c r="Q190" s="650" t="n"/>
      <c r="R190" s="650" t="n"/>
      <c r="S190" s="651" t="n"/>
      <c r="T190" s="43" t="inlineStr">
        <is>
          <t>кг</t>
        </is>
      </c>
      <c r="U190" s="681">
        <f>IFERROR(SUM(U187:U188),"0")</f>
        <v/>
      </c>
      <c r="V190" s="681">
        <f>IFERROR(SUM(V187:V188),"0")</f>
        <v/>
      </c>
      <c r="W190" s="43" t="n"/>
      <c r="X190" s="682" t="n"/>
      <c r="Y190" s="682" t="n"/>
    </row>
    <row r="191" ht="16.5" customHeight="1">
      <c r="A191" s="373" t="inlineStr">
        <is>
          <t>Бордо</t>
        </is>
      </c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373" t="n"/>
      <c r="Y191" s="373" t="n"/>
    </row>
    <row r="192" ht="14.25" customHeight="1">
      <c r="A192" s="374" t="inlineStr">
        <is>
          <t>Вареные колбасы</t>
        </is>
      </c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374" t="n"/>
      <c r="Y192" s="374" t="n"/>
    </row>
    <row r="193" ht="27" customHeight="1">
      <c r="A193" s="64" t="inlineStr">
        <is>
          <t>SU000057</t>
        </is>
      </c>
      <c r="B193" s="64" t="inlineStr">
        <is>
          <t>P002047</t>
        </is>
      </c>
      <c r="C193" s="37" t="n">
        <v>4301011346</v>
      </c>
      <c r="D193" s="375" t="n">
        <v>4607091387445</v>
      </c>
      <c r="E193" s="642" t="n"/>
      <c r="F193" s="674" t="n">
        <v>0.9</v>
      </c>
      <c r="G193" s="38" t="n">
        <v>10</v>
      </c>
      <c r="H193" s="674" t="n">
        <v>9</v>
      </c>
      <c r="I193" s="674" t="n">
        <v>9.630000000000001</v>
      </c>
      <c r="J193" s="38" t="n">
        <v>56</v>
      </c>
      <c r="K193" s="39" t="inlineStr">
        <is>
          <t>СК1</t>
        </is>
      </c>
      <c r="L193" s="38" t="n">
        <v>31</v>
      </c>
      <c r="M193" s="783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N193" s="676" t="n"/>
      <c r="O193" s="676" t="n"/>
      <c r="P193" s="676" t="n"/>
      <c r="Q193" s="642" t="n"/>
      <c r="R193" s="40" t="inlineStr"/>
      <c r="S193" s="40" t="inlineStr"/>
      <c r="T193" s="41" t="inlineStr">
        <is>
          <t>кг</t>
        </is>
      </c>
      <c r="U193" s="677" t="n">
        <v>0</v>
      </c>
      <c r="V193" s="678">
        <f>IFERROR(IF(U193="",0,CEILING((U193/$H193),1)*$H193),"")</f>
        <v/>
      </c>
      <c r="W193" s="42">
        <f>IFERROR(IF(V193=0,"",ROUNDUP(V193/H193,0)*0.02175),"")</f>
        <v/>
      </c>
      <c r="X193" s="69" t="inlineStr"/>
      <c r="Y193" s="70" t="inlineStr"/>
      <c r="AC193" s="173" t="inlineStr">
        <is>
          <t>КИ</t>
        </is>
      </c>
    </row>
    <row r="194" ht="27" customHeight="1">
      <c r="A194" s="64" t="inlineStr">
        <is>
          <t>SU001777</t>
        </is>
      </c>
      <c r="B194" s="64" t="inlineStr">
        <is>
          <t>P002226</t>
        </is>
      </c>
      <c r="C194" s="37" t="n">
        <v>4301011362</v>
      </c>
      <c r="D194" s="375" t="n">
        <v>4607091386004</v>
      </c>
      <c r="E194" s="642" t="n"/>
      <c r="F194" s="674" t="n">
        <v>1.35</v>
      </c>
      <c r="G194" s="38" t="n">
        <v>8</v>
      </c>
      <c r="H194" s="674" t="n">
        <v>10.8</v>
      </c>
      <c r="I194" s="674" t="n">
        <v>11.28</v>
      </c>
      <c r="J194" s="38" t="n">
        <v>48</v>
      </c>
      <c r="K194" s="39" t="inlineStr">
        <is>
          <t>ВЗ</t>
        </is>
      </c>
      <c r="L194" s="38" t="n">
        <v>55</v>
      </c>
      <c r="M194" s="784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N194" s="676" t="n"/>
      <c r="O194" s="676" t="n"/>
      <c r="P194" s="676" t="n"/>
      <c r="Q194" s="642" t="n"/>
      <c r="R194" s="40" t="inlineStr"/>
      <c r="S194" s="40" t="inlineStr"/>
      <c r="T194" s="41" t="inlineStr">
        <is>
          <t>кг</t>
        </is>
      </c>
      <c r="U194" s="677" t="n">
        <v>0</v>
      </c>
      <c r="V194" s="678">
        <f>IFERROR(IF(U194="",0,CEILING((U194/$H194),1)*$H194),"")</f>
        <v/>
      </c>
      <c r="W194" s="42">
        <f>IFERROR(IF(V194=0,"",ROUNDUP(V194/H194,0)*0.02039),"")</f>
        <v/>
      </c>
      <c r="X194" s="69" t="inlineStr"/>
      <c r="Y194" s="70" t="inlineStr"/>
      <c r="AC194" s="174" t="inlineStr">
        <is>
          <t>КИ</t>
        </is>
      </c>
    </row>
    <row r="195" ht="27" customHeight="1">
      <c r="A195" s="64" t="inlineStr">
        <is>
          <t>SU001777</t>
        </is>
      </c>
      <c r="B195" s="64" t="inlineStr">
        <is>
          <t>P001777</t>
        </is>
      </c>
      <c r="C195" s="37" t="n">
        <v>4301011308</v>
      </c>
      <c r="D195" s="375" t="n">
        <v>4607091386004</v>
      </c>
      <c r="E195" s="642" t="n"/>
      <c r="F195" s="674" t="n">
        <v>1.35</v>
      </c>
      <c r="G195" s="38" t="n">
        <v>8</v>
      </c>
      <c r="H195" s="674" t="n">
        <v>10.8</v>
      </c>
      <c r="I195" s="674" t="n">
        <v>11.28</v>
      </c>
      <c r="J195" s="38" t="n">
        <v>56</v>
      </c>
      <c r="K195" s="39" t="inlineStr">
        <is>
          <t>СК1</t>
        </is>
      </c>
      <c r="L195" s="38" t="n">
        <v>55</v>
      </c>
      <c r="M195" s="785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N195" s="676" t="n"/>
      <c r="O195" s="676" t="n"/>
      <c r="P195" s="676" t="n"/>
      <c r="Q195" s="642" t="n"/>
      <c r="R195" s="40" t="inlineStr"/>
      <c r="S195" s="40" t="inlineStr"/>
      <c r="T195" s="41" t="inlineStr">
        <is>
          <t>кг</t>
        </is>
      </c>
      <c r="U195" s="677" t="n">
        <v>0</v>
      </c>
      <c r="V195" s="678">
        <f>IFERROR(IF(U195="",0,CEILING((U195/$H195),1)*$H195),"")</f>
        <v/>
      </c>
      <c r="W195" s="42">
        <f>IFERROR(IF(V195=0,"",ROUNDUP(V195/H195,0)*0.02175),"")</f>
        <v/>
      </c>
      <c r="X195" s="69" t="inlineStr"/>
      <c r="Y195" s="70" t="inlineStr"/>
      <c r="AC195" s="175" t="inlineStr">
        <is>
          <t>КИ</t>
        </is>
      </c>
    </row>
    <row r="196" ht="27" customHeight="1">
      <c r="A196" s="64" t="inlineStr">
        <is>
          <t>SU000058</t>
        </is>
      </c>
      <c r="B196" s="64" t="inlineStr">
        <is>
          <t>P002048</t>
        </is>
      </c>
      <c r="C196" s="37" t="n">
        <v>4301011347</v>
      </c>
      <c r="D196" s="375" t="n">
        <v>4607091386073</v>
      </c>
      <c r="E196" s="642" t="n"/>
      <c r="F196" s="674" t="n">
        <v>0.9</v>
      </c>
      <c r="G196" s="38" t="n">
        <v>10</v>
      </c>
      <c r="H196" s="674" t="n">
        <v>9</v>
      </c>
      <c r="I196" s="674" t="n">
        <v>9.630000000000001</v>
      </c>
      <c r="J196" s="38" t="n">
        <v>56</v>
      </c>
      <c r="K196" s="39" t="inlineStr">
        <is>
          <t>СК1</t>
        </is>
      </c>
      <c r="L196" s="38" t="n">
        <v>31</v>
      </c>
      <c r="M196" s="786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N196" s="676" t="n"/>
      <c r="O196" s="676" t="n"/>
      <c r="P196" s="676" t="n"/>
      <c r="Q196" s="642" t="n"/>
      <c r="R196" s="40" t="inlineStr"/>
      <c r="S196" s="40" t="inlineStr"/>
      <c r="T196" s="41" t="inlineStr">
        <is>
          <t>кг</t>
        </is>
      </c>
      <c r="U196" s="677" t="n">
        <v>0</v>
      </c>
      <c r="V196" s="678">
        <f>IFERROR(IF(U196="",0,CEILING((U196/$H196),1)*$H196),"")</f>
        <v/>
      </c>
      <c r="W196" s="42">
        <f>IFERROR(IF(V196=0,"",ROUNDUP(V196/H196,0)*0.02175),"")</f>
        <v/>
      </c>
      <c r="X196" s="69" t="inlineStr"/>
      <c r="Y196" s="70" t="inlineStr"/>
      <c r="AC196" s="176" t="inlineStr">
        <is>
          <t>КИ</t>
        </is>
      </c>
    </row>
    <row r="197" ht="27" customHeight="1">
      <c r="A197" s="64" t="inlineStr">
        <is>
          <t>SU001780</t>
        </is>
      </c>
      <c r="B197" s="64" t="inlineStr">
        <is>
          <t>P001780</t>
        </is>
      </c>
      <c r="C197" s="37" t="n">
        <v>4301010928</v>
      </c>
      <c r="D197" s="375" t="n">
        <v>4607091387322</v>
      </c>
      <c r="E197" s="642" t="n"/>
      <c r="F197" s="674" t="n">
        <v>1.35</v>
      </c>
      <c r="G197" s="38" t="n">
        <v>8</v>
      </c>
      <c r="H197" s="674" t="n">
        <v>10.8</v>
      </c>
      <c r="I197" s="674" t="n">
        <v>11.28</v>
      </c>
      <c r="J197" s="38" t="n">
        <v>56</v>
      </c>
      <c r="K197" s="39" t="inlineStr">
        <is>
          <t>СК1</t>
        </is>
      </c>
      <c r="L197" s="38" t="n">
        <v>55</v>
      </c>
      <c r="M197" s="787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N197" s="676" t="n"/>
      <c r="O197" s="676" t="n"/>
      <c r="P197" s="676" t="n"/>
      <c r="Q197" s="642" t="n"/>
      <c r="R197" s="40" t="inlineStr"/>
      <c r="S197" s="40" t="inlineStr"/>
      <c r="T197" s="41" t="inlineStr">
        <is>
          <t>кг</t>
        </is>
      </c>
      <c r="U197" s="677" t="n">
        <v>0</v>
      </c>
      <c r="V197" s="678">
        <f>IFERROR(IF(U197="",0,CEILING((U197/$H197),1)*$H197),"")</f>
        <v/>
      </c>
      <c r="W197" s="42">
        <f>IFERROR(IF(V197=0,"",ROUNDUP(V197/H197,0)*0.02175),"")</f>
        <v/>
      </c>
      <c r="X197" s="69" t="inlineStr"/>
      <c r="Y197" s="70" t="inlineStr"/>
      <c r="AC197" s="177" t="inlineStr">
        <is>
          <t>КИ</t>
        </is>
      </c>
    </row>
    <row r="198" ht="27" customHeight="1">
      <c r="A198" s="64" t="inlineStr">
        <is>
          <t>SU001780</t>
        </is>
      </c>
      <c r="B198" s="64" t="inlineStr">
        <is>
          <t>P003075</t>
        </is>
      </c>
      <c r="C198" s="37" t="n">
        <v>4301011395</v>
      </c>
      <c r="D198" s="375" t="n">
        <v>4607091387322</v>
      </c>
      <c r="E198" s="642" t="n"/>
      <c r="F198" s="674" t="n">
        <v>1.35</v>
      </c>
      <c r="G198" s="38" t="n">
        <v>8</v>
      </c>
      <c r="H198" s="674" t="n">
        <v>10.8</v>
      </c>
      <c r="I198" s="674" t="n">
        <v>11.28</v>
      </c>
      <c r="J198" s="38" t="n">
        <v>48</v>
      </c>
      <c r="K198" s="39" t="inlineStr">
        <is>
          <t>ВЗ</t>
        </is>
      </c>
      <c r="L198" s="38" t="n">
        <v>55</v>
      </c>
      <c r="M198" s="788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N198" s="676" t="n"/>
      <c r="O198" s="676" t="n"/>
      <c r="P198" s="676" t="n"/>
      <c r="Q198" s="642" t="n"/>
      <c r="R198" s="40" t="inlineStr"/>
      <c r="S198" s="40" t="inlineStr"/>
      <c r="T198" s="41" t="inlineStr">
        <is>
          <t>кг</t>
        </is>
      </c>
      <c r="U198" s="677" t="n">
        <v>0</v>
      </c>
      <c r="V198" s="678">
        <f>IFERROR(IF(U198="",0,CEILING((U198/$H198),1)*$H198),"")</f>
        <v/>
      </c>
      <c r="W198" s="42">
        <f>IFERROR(IF(V198=0,"",ROUNDUP(V198/H198,0)*0.02039),"")</f>
        <v/>
      </c>
      <c r="X198" s="69" t="inlineStr"/>
      <c r="Y198" s="70" t="inlineStr"/>
      <c r="AC198" s="178" t="inlineStr">
        <is>
          <t>КИ</t>
        </is>
      </c>
    </row>
    <row r="199" ht="27" customHeight="1">
      <c r="A199" s="64" t="inlineStr">
        <is>
          <t>SU001778</t>
        </is>
      </c>
      <c r="B199" s="64" t="inlineStr">
        <is>
          <t>P001778</t>
        </is>
      </c>
      <c r="C199" s="37" t="n">
        <v>4301011311</v>
      </c>
      <c r="D199" s="375" t="n">
        <v>4607091387377</v>
      </c>
      <c r="E199" s="642" t="n"/>
      <c r="F199" s="674" t="n">
        <v>1.35</v>
      </c>
      <c r="G199" s="38" t="n">
        <v>8</v>
      </c>
      <c r="H199" s="674" t="n">
        <v>10.8</v>
      </c>
      <c r="I199" s="674" t="n">
        <v>11.28</v>
      </c>
      <c r="J199" s="38" t="n">
        <v>56</v>
      </c>
      <c r="K199" s="39" t="inlineStr">
        <is>
          <t>СК1</t>
        </is>
      </c>
      <c r="L199" s="38" t="n">
        <v>55</v>
      </c>
      <c r="M199" s="789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N199" s="676" t="n"/>
      <c r="O199" s="676" t="n"/>
      <c r="P199" s="676" t="n"/>
      <c r="Q199" s="642" t="n"/>
      <c r="R199" s="40" t="inlineStr"/>
      <c r="S199" s="40" t="inlineStr"/>
      <c r="T199" s="41" t="inlineStr">
        <is>
          <t>кг</t>
        </is>
      </c>
      <c r="U199" s="677" t="n">
        <v>0</v>
      </c>
      <c r="V199" s="678">
        <f>IFERROR(IF(U199="",0,CEILING((U199/$H199),1)*$H199),"")</f>
        <v/>
      </c>
      <c r="W199" s="42">
        <f>IFERROR(IF(V199=0,"",ROUNDUP(V199/H199,0)*0.02175),"")</f>
        <v/>
      </c>
      <c r="X199" s="69" t="inlineStr"/>
      <c r="Y199" s="70" t="inlineStr"/>
      <c r="AC199" s="179" t="inlineStr">
        <is>
          <t>КИ</t>
        </is>
      </c>
    </row>
    <row r="200" ht="27" customHeight="1">
      <c r="A200" s="64" t="inlineStr">
        <is>
          <t>SU000043</t>
        </is>
      </c>
      <c r="B200" s="64" t="inlineStr">
        <is>
          <t>P001807</t>
        </is>
      </c>
      <c r="C200" s="37" t="n">
        <v>4301010945</v>
      </c>
      <c r="D200" s="375" t="n">
        <v>4607091387353</v>
      </c>
      <c r="E200" s="642" t="n"/>
      <c r="F200" s="674" t="n">
        <v>1.35</v>
      </c>
      <c r="G200" s="38" t="n">
        <v>8</v>
      </c>
      <c r="H200" s="674" t="n">
        <v>10.8</v>
      </c>
      <c r="I200" s="674" t="n">
        <v>11.28</v>
      </c>
      <c r="J200" s="38" t="n">
        <v>56</v>
      </c>
      <c r="K200" s="39" t="inlineStr">
        <is>
          <t>СК1</t>
        </is>
      </c>
      <c r="L200" s="38" t="n">
        <v>55</v>
      </c>
      <c r="M200" s="790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N200" s="676" t="n"/>
      <c r="O200" s="676" t="n"/>
      <c r="P200" s="676" t="n"/>
      <c r="Q200" s="642" t="n"/>
      <c r="R200" s="40" t="inlineStr"/>
      <c r="S200" s="40" t="inlineStr"/>
      <c r="T200" s="41" t="inlineStr">
        <is>
          <t>кг</t>
        </is>
      </c>
      <c r="U200" s="677" t="n">
        <v>0</v>
      </c>
      <c r="V200" s="678">
        <f>IFERROR(IF(U200="",0,CEILING((U200/$H200),1)*$H200),"")</f>
        <v/>
      </c>
      <c r="W200" s="42">
        <f>IFERROR(IF(V200=0,"",ROUNDUP(V200/H200,0)*0.02175),"")</f>
        <v/>
      </c>
      <c r="X200" s="69" t="inlineStr"/>
      <c r="Y200" s="70" t="inlineStr"/>
      <c r="AC200" s="180" t="inlineStr">
        <is>
          <t>КИ</t>
        </is>
      </c>
    </row>
    <row r="201" ht="27" customHeight="1">
      <c r="A201" s="64" t="inlineStr">
        <is>
          <t>SU001800</t>
        </is>
      </c>
      <c r="B201" s="64" t="inlineStr">
        <is>
          <t>P001800</t>
        </is>
      </c>
      <c r="C201" s="37" t="n">
        <v>4301011328</v>
      </c>
      <c r="D201" s="375" t="n">
        <v>4607091386011</v>
      </c>
      <c r="E201" s="642" t="n"/>
      <c r="F201" s="674" t="n">
        <v>0.5</v>
      </c>
      <c r="G201" s="38" t="n">
        <v>10</v>
      </c>
      <c r="H201" s="674" t="n">
        <v>5</v>
      </c>
      <c r="I201" s="674" t="n">
        <v>5.21</v>
      </c>
      <c r="J201" s="38" t="n">
        <v>120</v>
      </c>
      <c r="K201" s="39" t="inlineStr">
        <is>
          <t>СК2</t>
        </is>
      </c>
      <c r="L201" s="38" t="n">
        <v>55</v>
      </c>
      <c r="M201" s="791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N201" s="676" t="n"/>
      <c r="O201" s="676" t="n"/>
      <c r="P201" s="676" t="n"/>
      <c r="Q201" s="642" t="n"/>
      <c r="R201" s="40" t="inlineStr"/>
      <c r="S201" s="40" t="inlineStr"/>
      <c r="T201" s="41" t="inlineStr">
        <is>
          <t>кг</t>
        </is>
      </c>
      <c r="U201" s="677" t="n">
        <v>0</v>
      </c>
      <c r="V201" s="678">
        <f>IFERROR(IF(U201="",0,CEILING((U201/$H201),1)*$H201),"")</f>
        <v/>
      </c>
      <c r="W201" s="42">
        <f>IFERROR(IF(V201=0,"",ROUNDUP(V201/H201,0)*0.00937),"")</f>
        <v/>
      </c>
      <c r="X201" s="69" t="inlineStr"/>
      <c r="Y201" s="70" t="inlineStr"/>
      <c r="AC201" s="181" t="inlineStr">
        <is>
          <t>КИ</t>
        </is>
      </c>
    </row>
    <row r="202" ht="27" customHeight="1">
      <c r="A202" s="64" t="inlineStr">
        <is>
          <t>SU001805</t>
        </is>
      </c>
      <c r="B202" s="64" t="inlineStr">
        <is>
          <t>P001805</t>
        </is>
      </c>
      <c r="C202" s="37" t="n">
        <v>4301011329</v>
      </c>
      <c r="D202" s="375" t="n">
        <v>4607091387308</v>
      </c>
      <c r="E202" s="642" t="n"/>
      <c r="F202" s="674" t="n">
        <v>0.5</v>
      </c>
      <c r="G202" s="38" t="n">
        <v>10</v>
      </c>
      <c r="H202" s="674" t="n">
        <v>5</v>
      </c>
      <c r="I202" s="674" t="n">
        <v>5.21</v>
      </c>
      <c r="J202" s="38" t="n">
        <v>120</v>
      </c>
      <c r="K202" s="39" t="inlineStr">
        <is>
          <t>СК2</t>
        </is>
      </c>
      <c r="L202" s="38" t="n">
        <v>55</v>
      </c>
      <c r="M202" s="792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N202" s="676" t="n"/>
      <c r="O202" s="676" t="n"/>
      <c r="P202" s="676" t="n"/>
      <c r="Q202" s="642" t="n"/>
      <c r="R202" s="40" t="inlineStr"/>
      <c r="S202" s="40" t="inlineStr"/>
      <c r="T202" s="41" t="inlineStr">
        <is>
          <t>кг</t>
        </is>
      </c>
      <c r="U202" s="677" t="n">
        <v>0</v>
      </c>
      <c r="V202" s="678">
        <f>IFERROR(IF(U202="",0,CEILING((U202/$H202),1)*$H202),"")</f>
        <v/>
      </c>
      <c r="W202" s="42">
        <f>IFERROR(IF(V202=0,"",ROUNDUP(V202/H202,0)*0.00937),"")</f>
        <v/>
      </c>
      <c r="X202" s="69" t="inlineStr"/>
      <c r="Y202" s="70" t="inlineStr"/>
      <c r="AC202" s="182" t="inlineStr">
        <is>
          <t>КИ</t>
        </is>
      </c>
    </row>
    <row r="203" ht="27" customHeight="1">
      <c r="A203" s="64" t="inlineStr">
        <is>
          <t>SU001829</t>
        </is>
      </c>
      <c r="B203" s="64" t="inlineStr">
        <is>
          <t>P001829</t>
        </is>
      </c>
      <c r="C203" s="37" t="n">
        <v>4301011049</v>
      </c>
      <c r="D203" s="375" t="n">
        <v>4607091387339</v>
      </c>
      <c r="E203" s="642" t="n"/>
      <c r="F203" s="674" t="n">
        <v>0.5</v>
      </c>
      <c r="G203" s="38" t="n">
        <v>10</v>
      </c>
      <c r="H203" s="674" t="n">
        <v>5</v>
      </c>
      <c r="I203" s="674" t="n">
        <v>5.24</v>
      </c>
      <c r="J203" s="38" t="n">
        <v>120</v>
      </c>
      <c r="K203" s="39" t="inlineStr">
        <is>
          <t>СК1</t>
        </is>
      </c>
      <c r="L203" s="38" t="n">
        <v>55</v>
      </c>
      <c r="M203" s="793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N203" s="676" t="n"/>
      <c r="O203" s="676" t="n"/>
      <c r="P203" s="676" t="n"/>
      <c r="Q203" s="642" t="n"/>
      <c r="R203" s="40" t="inlineStr"/>
      <c r="S203" s="40" t="inlineStr"/>
      <c r="T203" s="41" t="inlineStr">
        <is>
          <t>кг</t>
        </is>
      </c>
      <c r="U203" s="677" t="n">
        <v>0</v>
      </c>
      <c r="V203" s="678">
        <f>IFERROR(IF(U203="",0,CEILING((U203/$H203),1)*$H203),"")</f>
        <v/>
      </c>
      <c r="W203" s="42">
        <f>IFERROR(IF(V203=0,"",ROUNDUP(V203/H203,0)*0.00937),"")</f>
        <v/>
      </c>
      <c r="X203" s="69" t="inlineStr"/>
      <c r="Y203" s="70" t="inlineStr"/>
      <c r="AC203" s="183" t="inlineStr">
        <is>
          <t>КИ</t>
        </is>
      </c>
    </row>
    <row r="204" ht="27" customHeight="1">
      <c r="A204" s="64" t="inlineStr">
        <is>
          <t>SU002787</t>
        </is>
      </c>
      <c r="B204" s="64" t="inlineStr">
        <is>
          <t>P003189</t>
        </is>
      </c>
      <c r="C204" s="37" t="n">
        <v>4301011433</v>
      </c>
      <c r="D204" s="375" t="n">
        <v>4680115882638</v>
      </c>
      <c r="E204" s="642" t="n"/>
      <c r="F204" s="674" t="n">
        <v>0.4</v>
      </c>
      <c r="G204" s="38" t="n">
        <v>10</v>
      </c>
      <c r="H204" s="674" t="n">
        <v>4</v>
      </c>
      <c r="I204" s="674" t="n">
        <v>4.24</v>
      </c>
      <c r="J204" s="38" t="n">
        <v>120</v>
      </c>
      <c r="K204" s="39" t="inlineStr">
        <is>
          <t>СК1</t>
        </is>
      </c>
      <c r="L204" s="38" t="n">
        <v>90</v>
      </c>
      <c r="M204" s="794" t="inlineStr">
        <is>
          <t>Вареные колбасы «Молочная с нежным филе» Фикс.вес 0,4 кг п/а ТМ «Особый рецепт»</t>
        </is>
      </c>
      <c r="N204" s="676" t="n"/>
      <c r="O204" s="676" t="n"/>
      <c r="P204" s="676" t="n"/>
      <c r="Q204" s="642" t="n"/>
      <c r="R204" s="40" t="inlineStr"/>
      <c r="S204" s="40" t="inlineStr"/>
      <c r="T204" s="41" t="inlineStr">
        <is>
          <t>кг</t>
        </is>
      </c>
      <c r="U204" s="677" t="n">
        <v>0</v>
      </c>
      <c r="V204" s="678">
        <f>IFERROR(IF(U204="",0,CEILING((U204/$H204),1)*$H204),"")</f>
        <v/>
      </c>
      <c r="W204" s="42">
        <f>IFERROR(IF(V204=0,"",ROUNDUP(V204/H204,0)*0.00937),"")</f>
        <v/>
      </c>
      <c r="X204" s="69" t="inlineStr"/>
      <c r="Y204" s="70" t="inlineStr"/>
      <c r="AC204" s="184" t="inlineStr">
        <is>
          <t>КИ</t>
        </is>
      </c>
    </row>
    <row r="205" ht="27" customHeight="1">
      <c r="A205" s="64" t="inlineStr">
        <is>
          <t>SU002894</t>
        </is>
      </c>
      <c r="B205" s="64" t="inlineStr">
        <is>
          <t>P003314</t>
        </is>
      </c>
      <c r="C205" s="37" t="n">
        <v>4301011573</v>
      </c>
      <c r="D205" s="375" t="n">
        <v>4680115881938</v>
      </c>
      <c r="E205" s="642" t="n"/>
      <c r="F205" s="674" t="n">
        <v>0.4</v>
      </c>
      <c r="G205" s="38" t="n">
        <v>10</v>
      </c>
      <c r="H205" s="674" t="n">
        <v>4</v>
      </c>
      <c r="I205" s="674" t="n">
        <v>4.24</v>
      </c>
      <c r="J205" s="38" t="n">
        <v>120</v>
      </c>
      <c r="K205" s="39" t="inlineStr">
        <is>
          <t>СК1</t>
        </is>
      </c>
      <c r="L205" s="38" t="n">
        <v>90</v>
      </c>
      <c r="M205" s="795">
        <f>HYPERLINK("https:///products/Охлажденные/Стародворье/Бордо/Вареные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N205" s="676" t="n"/>
      <c r="O205" s="676" t="n"/>
      <c r="P205" s="676" t="n"/>
      <c r="Q205" s="642" t="n"/>
      <c r="R205" s="40" t="inlineStr"/>
      <c r="S205" s="40" t="inlineStr"/>
      <c r="T205" s="41" t="inlineStr">
        <is>
          <t>кг</t>
        </is>
      </c>
      <c r="U205" s="677" t="n">
        <v>0</v>
      </c>
      <c r="V205" s="678">
        <f>IFERROR(IF(U205="",0,CEILING((U205/$H205),1)*$H205),"")</f>
        <v/>
      </c>
      <c r="W205" s="42">
        <f>IFERROR(IF(V205=0,"",ROUNDUP(V205/H205,0)*0.00937),"")</f>
        <v/>
      </c>
      <c r="X205" s="69" t="inlineStr"/>
      <c r="Y205" s="70" t="inlineStr"/>
      <c r="AC205" s="185" t="inlineStr">
        <is>
          <t>КИ</t>
        </is>
      </c>
    </row>
    <row r="206" ht="27" customHeight="1">
      <c r="A206" s="64" t="inlineStr">
        <is>
          <t>SU000078</t>
        </is>
      </c>
      <c r="B206" s="64" t="inlineStr">
        <is>
          <t>P001806</t>
        </is>
      </c>
      <c r="C206" s="37" t="n">
        <v>4301010944</v>
      </c>
      <c r="D206" s="375" t="n">
        <v>4607091387346</v>
      </c>
      <c r="E206" s="642" t="n"/>
      <c r="F206" s="674" t="n">
        <v>0.4</v>
      </c>
      <c r="G206" s="38" t="n">
        <v>10</v>
      </c>
      <c r="H206" s="674" t="n">
        <v>4</v>
      </c>
      <c r="I206" s="674" t="n">
        <v>4.24</v>
      </c>
      <c r="J206" s="38" t="n">
        <v>120</v>
      </c>
      <c r="K206" s="39" t="inlineStr">
        <is>
          <t>СК1</t>
        </is>
      </c>
      <c r="L206" s="38" t="n">
        <v>55</v>
      </c>
      <c r="M206" s="796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N206" s="676" t="n"/>
      <c r="O206" s="676" t="n"/>
      <c r="P206" s="676" t="n"/>
      <c r="Q206" s="642" t="n"/>
      <c r="R206" s="40" t="inlineStr"/>
      <c r="S206" s="40" t="inlineStr"/>
      <c r="T206" s="41" t="inlineStr">
        <is>
          <t>кг</t>
        </is>
      </c>
      <c r="U206" s="677" t="n">
        <v>0</v>
      </c>
      <c r="V206" s="678">
        <f>IFERROR(IF(U206="",0,CEILING((U206/$H206),1)*$H206),"")</f>
        <v/>
      </c>
      <c r="W206" s="42">
        <f>IFERROR(IF(V206=0,"",ROUNDUP(V206/H206,0)*0.00937),"")</f>
        <v/>
      </c>
      <c r="X206" s="69" t="inlineStr"/>
      <c r="Y206" s="70" t="inlineStr"/>
      <c r="AC206" s="186" t="inlineStr">
        <is>
          <t>КИ</t>
        </is>
      </c>
    </row>
    <row r="207" ht="27" customHeight="1">
      <c r="A207" s="64" t="inlineStr">
        <is>
          <t>SU002616</t>
        </is>
      </c>
      <c r="B207" s="64" t="inlineStr">
        <is>
          <t>P002950</t>
        </is>
      </c>
      <c r="C207" s="37" t="n">
        <v>4301011353</v>
      </c>
      <c r="D207" s="375" t="n">
        <v>4607091389807</v>
      </c>
      <c r="E207" s="642" t="n"/>
      <c r="F207" s="674" t="n">
        <v>0.4</v>
      </c>
      <c r="G207" s="38" t="n">
        <v>10</v>
      </c>
      <c r="H207" s="674" t="n">
        <v>4</v>
      </c>
      <c r="I207" s="674" t="n">
        <v>4.24</v>
      </c>
      <c r="J207" s="38" t="n">
        <v>120</v>
      </c>
      <c r="K207" s="39" t="inlineStr">
        <is>
          <t>СК1</t>
        </is>
      </c>
      <c r="L207" s="38" t="n">
        <v>55</v>
      </c>
      <c r="M207" s="797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N207" s="676" t="n"/>
      <c r="O207" s="676" t="n"/>
      <c r="P207" s="676" t="n"/>
      <c r="Q207" s="642" t="n"/>
      <c r="R207" s="40" t="inlineStr"/>
      <c r="S207" s="40" t="inlineStr"/>
      <c r="T207" s="41" t="inlineStr">
        <is>
          <t>кг</t>
        </is>
      </c>
      <c r="U207" s="677" t="n">
        <v>0</v>
      </c>
      <c r="V207" s="678">
        <f>IFERROR(IF(U207="",0,CEILING((U207/$H207),1)*$H207),"")</f>
        <v/>
      </c>
      <c r="W207" s="42">
        <f>IFERROR(IF(V207=0,"",ROUNDUP(V207/H207,0)*0.00937),"")</f>
        <v/>
      </c>
      <c r="X207" s="69" t="inlineStr"/>
      <c r="Y207" s="70" t="inlineStr"/>
      <c r="AC207" s="187" t="inlineStr">
        <is>
          <t>КИ</t>
        </is>
      </c>
    </row>
    <row r="208">
      <c r="A208" s="383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679" t="n"/>
      <c r="M208" s="680" t="inlineStr">
        <is>
          <t>Итого</t>
        </is>
      </c>
      <c r="N208" s="650" t="n"/>
      <c r="O208" s="650" t="n"/>
      <c r="P208" s="650" t="n"/>
      <c r="Q208" s="650" t="n"/>
      <c r="R208" s="650" t="n"/>
      <c r="S208" s="651" t="n"/>
      <c r="T208" s="43" t="inlineStr">
        <is>
          <t>кор</t>
        </is>
      </c>
      <c r="U208" s="681">
        <f>IFERROR(U193/H193,"0")+IFERROR(U194/H194,"0")+IFERROR(U195/H195,"0")+IFERROR(U196/H196,"0")+IFERROR(U197/H197,"0")+IFERROR(U198/H198,"0")+IFERROR(U199/H199,"0")+IFERROR(U200/H200,"0")+IFERROR(U201/H201,"0")+IFERROR(U202/H202,"0")+IFERROR(U203/H203,"0")+IFERROR(U204/H204,"0")+IFERROR(U205/H205,"0")+IFERROR(U206/H206,"0")+IFERROR(U207/H207,"0")</f>
        <v/>
      </c>
      <c r="V208" s="681">
        <f>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+IFERROR(V206/H206,"0")+IFERROR(V207/H207,"0")</f>
        <v/>
      </c>
      <c r="W208" s="681">
        <f>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+IFERROR(IF(W206="",0,W206),"0")+IFERROR(IF(W207="",0,W207),"0")</f>
        <v/>
      </c>
      <c r="X208" s="682" t="n"/>
      <c r="Y208" s="682" t="n"/>
    </row>
    <row r="209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679" t="n"/>
      <c r="M209" s="680" t="inlineStr">
        <is>
          <t>Итого</t>
        </is>
      </c>
      <c r="N209" s="650" t="n"/>
      <c r="O209" s="650" t="n"/>
      <c r="P209" s="650" t="n"/>
      <c r="Q209" s="650" t="n"/>
      <c r="R209" s="650" t="n"/>
      <c r="S209" s="651" t="n"/>
      <c r="T209" s="43" t="inlineStr">
        <is>
          <t>кг</t>
        </is>
      </c>
      <c r="U209" s="681">
        <f>IFERROR(SUM(U193:U207),"0")</f>
        <v/>
      </c>
      <c r="V209" s="681">
        <f>IFERROR(SUM(V193:V207),"0")</f>
        <v/>
      </c>
      <c r="W209" s="43" t="n"/>
      <c r="X209" s="682" t="n"/>
      <c r="Y209" s="682" t="n"/>
    </row>
    <row r="210" ht="14.25" customHeight="1">
      <c r="A210" s="374" t="inlineStr">
        <is>
          <t>Ветчины</t>
        </is>
      </c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374" t="n"/>
      <c r="Y210" s="374" t="n"/>
    </row>
    <row r="211" ht="27" customHeight="1">
      <c r="A211" s="64" t="inlineStr">
        <is>
          <t>SU002788</t>
        </is>
      </c>
      <c r="B211" s="64" t="inlineStr">
        <is>
          <t>P003190</t>
        </is>
      </c>
      <c r="C211" s="37" t="n">
        <v>4301020254</v>
      </c>
      <c r="D211" s="375" t="n">
        <v>4680115881914</v>
      </c>
      <c r="E211" s="642" t="n"/>
      <c r="F211" s="674" t="n">
        <v>0.4</v>
      </c>
      <c r="G211" s="38" t="n">
        <v>10</v>
      </c>
      <c r="H211" s="674" t="n">
        <v>4</v>
      </c>
      <c r="I211" s="674" t="n">
        <v>4.24</v>
      </c>
      <c r="J211" s="38" t="n">
        <v>120</v>
      </c>
      <c r="K211" s="39" t="inlineStr">
        <is>
          <t>СК1</t>
        </is>
      </c>
      <c r="L211" s="38" t="n">
        <v>90</v>
      </c>
      <c r="M211" s="798">
        <f>HYPERLINK("https:///products/Охлажденные/Стародворье/Бордо/Ветчины/P003190/","Ветчины пастеризованная «Нежная с филе» Фикс.вес 0,4 п/а ТМ «Особый рецепт»")</f>
        <v/>
      </c>
      <c r="N211" s="676" t="n"/>
      <c r="O211" s="676" t="n"/>
      <c r="P211" s="676" t="n"/>
      <c r="Q211" s="642" t="n"/>
      <c r="R211" s="40" t="inlineStr"/>
      <c r="S211" s="40" t="inlineStr"/>
      <c r="T211" s="41" t="inlineStr">
        <is>
          <t>кг</t>
        </is>
      </c>
      <c r="U211" s="677" t="n">
        <v>0</v>
      </c>
      <c r="V211" s="678">
        <f>IFERROR(IF(U211="",0,CEILING((U211/$H211),1)*$H211),"")</f>
        <v/>
      </c>
      <c r="W211" s="42">
        <f>IFERROR(IF(V211=0,"",ROUNDUP(V211/H211,0)*0.00937),"")</f>
        <v/>
      </c>
      <c r="X211" s="69" t="inlineStr"/>
      <c r="Y211" s="70" t="inlineStr"/>
      <c r="AC211" s="188" t="inlineStr">
        <is>
          <t>КИ</t>
        </is>
      </c>
    </row>
    <row r="212">
      <c r="A212" s="383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679" t="n"/>
      <c r="M212" s="680" t="inlineStr">
        <is>
          <t>Итого</t>
        </is>
      </c>
      <c r="N212" s="650" t="n"/>
      <c r="O212" s="650" t="n"/>
      <c r="P212" s="650" t="n"/>
      <c r="Q212" s="650" t="n"/>
      <c r="R212" s="650" t="n"/>
      <c r="S212" s="651" t="n"/>
      <c r="T212" s="43" t="inlineStr">
        <is>
          <t>кор</t>
        </is>
      </c>
      <c r="U212" s="681">
        <f>IFERROR(U211/H211,"0")</f>
        <v/>
      </c>
      <c r="V212" s="681">
        <f>IFERROR(V211/H211,"0")</f>
        <v/>
      </c>
      <c r="W212" s="681">
        <f>IFERROR(IF(W211="",0,W211),"0")</f>
        <v/>
      </c>
      <c r="X212" s="682" t="n"/>
      <c r="Y212" s="682" t="n"/>
    </row>
    <row r="213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679" t="n"/>
      <c r="M213" s="680" t="inlineStr">
        <is>
          <t>Итого</t>
        </is>
      </c>
      <c r="N213" s="650" t="n"/>
      <c r="O213" s="650" t="n"/>
      <c r="P213" s="650" t="n"/>
      <c r="Q213" s="650" t="n"/>
      <c r="R213" s="650" t="n"/>
      <c r="S213" s="651" t="n"/>
      <c r="T213" s="43" t="inlineStr">
        <is>
          <t>кг</t>
        </is>
      </c>
      <c r="U213" s="681">
        <f>IFERROR(SUM(U211:U211),"0")</f>
        <v/>
      </c>
      <c r="V213" s="681">
        <f>IFERROR(SUM(V211:V211),"0")</f>
        <v/>
      </c>
      <c r="W213" s="43" t="n"/>
      <c r="X213" s="682" t="n"/>
      <c r="Y213" s="682" t="n"/>
    </row>
    <row r="214" ht="14.25" customHeight="1">
      <c r="A214" s="374" t="inlineStr">
        <is>
          <t>Копченые колбасы</t>
        </is>
      </c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374" t="n"/>
      <c r="Y214" s="374" t="n"/>
    </row>
    <row r="215" ht="27" customHeight="1">
      <c r="A215" s="64" t="inlineStr">
        <is>
          <t>SU001820</t>
        </is>
      </c>
      <c r="B215" s="64" t="inlineStr">
        <is>
          <t>P001820</t>
        </is>
      </c>
      <c r="C215" s="37" t="n">
        <v>4301030878</v>
      </c>
      <c r="D215" s="375" t="n">
        <v>4607091387193</v>
      </c>
      <c r="E215" s="642" t="n"/>
      <c r="F215" s="674" t="n">
        <v>0.7</v>
      </c>
      <c r="G215" s="38" t="n">
        <v>6</v>
      </c>
      <c r="H215" s="674" t="n">
        <v>4.2</v>
      </c>
      <c r="I215" s="674" t="n">
        <v>4.46</v>
      </c>
      <c r="J215" s="38" t="n">
        <v>156</v>
      </c>
      <c r="K215" s="39" t="inlineStr">
        <is>
          <t>СК2</t>
        </is>
      </c>
      <c r="L215" s="38" t="n">
        <v>35</v>
      </c>
      <c r="M215" s="799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N215" s="676" t="n"/>
      <c r="O215" s="676" t="n"/>
      <c r="P215" s="676" t="n"/>
      <c r="Q215" s="642" t="n"/>
      <c r="R215" s="40" t="inlineStr"/>
      <c r="S215" s="40" t="inlineStr"/>
      <c r="T215" s="41" t="inlineStr">
        <is>
          <t>кг</t>
        </is>
      </c>
      <c r="U215" s="677" t="n">
        <v>0</v>
      </c>
      <c r="V215" s="678">
        <f>IFERROR(IF(U215="",0,CEILING((U215/$H215),1)*$H215),"")</f>
        <v/>
      </c>
      <c r="W215" s="42">
        <f>IFERROR(IF(V215=0,"",ROUNDUP(V215/H215,0)*0.00753),"")</f>
        <v/>
      </c>
      <c r="X215" s="69" t="inlineStr"/>
      <c r="Y215" s="70" t="inlineStr"/>
      <c r="AC215" s="189" t="inlineStr">
        <is>
          <t>КИ</t>
        </is>
      </c>
    </row>
    <row r="216" ht="27" customHeight="1">
      <c r="A216" s="64" t="inlineStr">
        <is>
          <t>SU001822</t>
        </is>
      </c>
      <c r="B216" s="64" t="inlineStr">
        <is>
          <t>P003013</t>
        </is>
      </c>
      <c r="C216" s="37" t="n">
        <v>4301031153</v>
      </c>
      <c r="D216" s="375" t="n">
        <v>4607091387230</v>
      </c>
      <c r="E216" s="642" t="n"/>
      <c r="F216" s="674" t="n">
        <v>0.7</v>
      </c>
      <c r="G216" s="38" t="n">
        <v>6</v>
      </c>
      <c r="H216" s="674" t="n">
        <v>4.2</v>
      </c>
      <c r="I216" s="674" t="n">
        <v>4.46</v>
      </c>
      <c r="J216" s="38" t="n">
        <v>156</v>
      </c>
      <c r="K216" s="39" t="inlineStr">
        <is>
          <t>СК2</t>
        </is>
      </c>
      <c r="L216" s="38" t="n">
        <v>40</v>
      </c>
      <c r="M216" s="800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N216" s="676" t="n"/>
      <c r="O216" s="676" t="n"/>
      <c r="P216" s="676" t="n"/>
      <c r="Q216" s="642" t="n"/>
      <c r="R216" s="40" t="inlineStr"/>
      <c r="S216" s="40" t="inlineStr"/>
      <c r="T216" s="41" t="inlineStr">
        <is>
          <t>кг</t>
        </is>
      </c>
      <c r="U216" s="677" t="n">
        <v>0</v>
      </c>
      <c r="V216" s="678">
        <f>IFERROR(IF(U216="",0,CEILING((U216/$H216),1)*$H216),"")</f>
        <v/>
      </c>
      <c r="W216" s="42">
        <f>IFERROR(IF(V216=0,"",ROUNDUP(V216/H216,0)*0.00753),"")</f>
        <v/>
      </c>
      <c r="X216" s="69" t="inlineStr"/>
      <c r="Y216" s="70" t="inlineStr"/>
      <c r="AC216" s="190" t="inlineStr">
        <is>
          <t>КИ</t>
        </is>
      </c>
    </row>
    <row r="217" ht="27" customHeight="1">
      <c r="A217" s="64" t="inlineStr">
        <is>
          <t>SU002579</t>
        </is>
      </c>
      <c r="B217" s="64" t="inlineStr">
        <is>
          <t>P003012</t>
        </is>
      </c>
      <c r="C217" s="37" t="n">
        <v>4301031152</v>
      </c>
      <c r="D217" s="375" t="n">
        <v>4607091387285</v>
      </c>
      <c r="E217" s="642" t="n"/>
      <c r="F217" s="674" t="n">
        <v>0.35</v>
      </c>
      <c r="G217" s="38" t="n">
        <v>6</v>
      </c>
      <c r="H217" s="674" t="n">
        <v>2.1</v>
      </c>
      <c r="I217" s="674" t="n">
        <v>2.23</v>
      </c>
      <c r="J217" s="38" t="n">
        <v>234</v>
      </c>
      <c r="K217" s="39" t="inlineStr">
        <is>
          <t>СК2</t>
        </is>
      </c>
      <c r="L217" s="38" t="n">
        <v>40</v>
      </c>
      <c r="M217" s="801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N217" s="676" t="n"/>
      <c r="O217" s="676" t="n"/>
      <c r="P217" s="676" t="n"/>
      <c r="Q217" s="642" t="n"/>
      <c r="R217" s="40" t="inlineStr"/>
      <c r="S217" s="40" t="inlineStr"/>
      <c r="T217" s="41" t="inlineStr">
        <is>
          <t>кг</t>
        </is>
      </c>
      <c r="U217" s="677" t="n">
        <v>0</v>
      </c>
      <c r="V217" s="678">
        <f>IFERROR(IF(U217="",0,CEILING((U217/$H217),1)*$H217),"")</f>
        <v/>
      </c>
      <c r="W217" s="42">
        <f>IFERROR(IF(V217=0,"",ROUNDUP(V217/H217,0)*0.00502),"")</f>
        <v/>
      </c>
      <c r="X217" s="69" t="inlineStr"/>
      <c r="Y217" s="70" t="inlineStr"/>
      <c r="AC217" s="191" t="inlineStr">
        <is>
          <t>КИ</t>
        </is>
      </c>
    </row>
    <row r="218" ht="27" customHeight="1">
      <c r="A218" s="64" t="inlineStr">
        <is>
          <t>SU002617</t>
        </is>
      </c>
      <c r="B218" s="64" t="inlineStr">
        <is>
          <t>P002951</t>
        </is>
      </c>
      <c r="C218" s="37" t="n">
        <v>4301031151</v>
      </c>
      <c r="D218" s="375" t="n">
        <v>4607091389845</v>
      </c>
      <c r="E218" s="642" t="n"/>
      <c r="F218" s="674" t="n">
        <v>0.35</v>
      </c>
      <c r="G218" s="38" t="n">
        <v>6</v>
      </c>
      <c r="H218" s="674" t="n">
        <v>2.1</v>
      </c>
      <c r="I218" s="674" t="n">
        <v>2.2</v>
      </c>
      <c r="J218" s="38" t="n">
        <v>234</v>
      </c>
      <c r="K218" s="39" t="inlineStr">
        <is>
          <t>СК2</t>
        </is>
      </c>
      <c r="L218" s="38" t="n">
        <v>40</v>
      </c>
      <c r="M218" s="802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N218" s="676" t="n"/>
      <c r="O218" s="676" t="n"/>
      <c r="P218" s="676" t="n"/>
      <c r="Q218" s="642" t="n"/>
      <c r="R218" s="40" t="inlineStr"/>
      <c r="S218" s="40" t="inlineStr"/>
      <c r="T218" s="41" t="inlineStr">
        <is>
          <t>кг</t>
        </is>
      </c>
      <c r="U218" s="677" t="n">
        <v>0</v>
      </c>
      <c r="V218" s="678">
        <f>IFERROR(IF(U218="",0,CEILING((U218/$H218),1)*$H218),"")</f>
        <v/>
      </c>
      <c r="W218" s="42">
        <f>IFERROR(IF(V218=0,"",ROUNDUP(V218/H218,0)*0.00502),"")</f>
        <v/>
      </c>
      <c r="X218" s="69" t="inlineStr"/>
      <c r="Y218" s="70" t="inlineStr"/>
      <c r="AC218" s="192" t="inlineStr">
        <is>
          <t>КИ</t>
        </is>
      </c>
    </row>
    <row r="219">
      <c r="A219" s="383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679" t="n"/>
      <c r="M219" s="680" t="inlineStr">
        <is>
          <t>Итого</t>
        </is>
      </c>
      <c r="N219" s="650" t="n"/>
      <c r="O219" s="650" t="n"/>
      <c r="P219" s="650" t="n"/>
      <c r="Q219" s="650" t="n"/>
      <c r="R219" s="650" t="n"/>
      <c r="S219" s="651" t="n"/>
      <c r="T219" s="43" t="inlineStr">
        <is>
          <t>кор</t>
        </is>
      </c>
      <c r="U219" s="681">
        <f>IFERROR(U215/H215,"0")+IFERROR(U216/H216,"0")+IFERROR(U217/H217,"0")+IFERROR(U218/H218,"0")</f>
        <v/>
      </c>
      <c r="V219" s="681">
        <f>IFERROR(V215/H215,"0")+IFERROR(V216/H216,"0")+IFERROR(V217/H217,"0")+IFERROR(V218/H218,"0")</f>
        <v/>
      </c>
      <c r="W219" s="681">
        <f>IFERROR(IF(W215="",0,W215),"0")+IFERROR(IF(W216="",0,W216),"0")+IFERROR(IF(W217="",0,W217),"0")+IFERROR(IF(W218="",0,W218),"0")</f>
        <v/>
      </c>
      <c r="X219" s="682" t="n"/>
      <c r="Y219" s="682" t="n"/>
    </row>
    <row r="220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679" t="n"/>
      <c r="M220" s="680" t="inlineStr">
        <is>
          <t>Итого</t>
        </is>
      </c>
      <c r="N220" s="650" t="n"/>
      <c r="O220" s="650" t="n"/>
      <c r="P220" s="650" t="n"/>
      <c r="Q220" s="650" t="n"/>
      <c r="R220" s="650" t="n"/>
      <c r="S220" s="651" t="n"/>
      <c r="T220" s="43" t="inlineStr">
        <is>
          <t>кг</t>
        </is>
      </c>
      <c r="U220" s="681">
        <f>IFERROR(SUM(U215:U218),"0")</f>
        <v/>
      </c>
      <c r="V220" s="681">
        <f>IFERROR(SUM(V215:V218),"0")</f>
        <v/>
      </c>
      <c r="W220" s="43" t="n"/>
      <c r="X220" s="682" t="n"/>
      <c r="Y220" s="682" t="n"/>
    </row>
    <row r="221" ht="14.25" customHeight="1">
      <c r="A221" s="374" t="inlineStr">
        <is>
          <t>Сосиски</t>
        </is>
      </c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374" t="n"/>
      <c r="Y221" s="374" t="n"/>
    </row>
    <row r="222" ht="16.5" customHeight="1">
      <c r="A222" s="64" t="inlineStr">
        <is>
          <t>SU001340</t>
        </is>
      </c>
      <c r="B222" s="64" t="inlineStr">
        <is>
          <t>P002209</t>
        </is>
      </c>
      <c r="C222" s="37" t="n">
        <v>4301051101</v>
      </c>
      <c r="D222" s="375" t="n">
        <v>4607091387766</v>
      </c>
      <c r="E222" s="642" t="n"/>
      <c r="F222" s="674" t="n">
        <v>1.35</v>
      </c>
      <c r="G222" s="38" t="n">
        <v>6</v>
      </c>
      <c r="H222" s="674" t="n">
        <v>8.1</v>
      </c>
      <c r="I222" s="674" t="n">
        <v>8.657999999999999</v>
      </c>
      <c r="J222" s="38" t="n">
        <v>56</v>
      </c>
      <c r="K222" s="39" t="inlineStr">
        <is>
          <t>СК2</t>
        </is>
      </c>
      <c r="L222" s="38" t="n">
        <v>40</v>
      </c>
      <c r="M222" s="803">
        <f>HYPERLINK("https://abi.ru/products/Охлажденные/Стародворье/Бордо/Сосиски/P002209/","Сосиски Ганноверские Бордо Весовые П/а мгс Баварушка")</f>
        <v/>
      </c>
      <c r="N222" s="676" t="n"/>
      <c r="O222" s="676" t="n"/>
      <c r="P222" s="676" t="n"/>
      <c r="Q222" s="642" t="n"/>
      <c r="R222" s="40" t="inlineStr"/>
      <c r="S222" s="40" t="inlineStr"/>
      <c r="T222" s="41" t="inlineStr">
        <is>
          <t>кг</t>
        </is>
      </c>
      <c r="U222" s="677" t="n">
        <v>0</v>
      </c>
      <c r="V222" s="678">
        <f>IFERROR(IF(U222="",0,CEILING((U222/$H222),1)*$H222),"")</f>
        <v/>
      </c>
      <c r="W222" s="42">
        <f>IFERROR(IF(V222=0,"",ROUNDUP(V222/H222,0)*0.02175),"")</f>
        <v/>
      </c>
      <c r="X222" s="69" t="inlineStr"/>
      <c r="Y222" s="70" t="inlineStr"/>
      <c r="AC222" s="193" t="inlineStr">
        <is>
          <t>КИ</t>
        </is>
      </c>
    </row>
    <row r="223" ht="27" customHeight="1">
      <c r="A223" s="64" t="inlineStr">
        <is>
          <t>SU001727</t>
        </is>
      </c>
      <c r="B223" s="64" t="inlineStr">
        <is>
          <t>P002205</t>
        </is>
      </c>
      <c r="C223" s="37" t="n">
        <v>4301051116</v>
      </c>
      <c r="D223" s="375" t="n">
        <v>4607091387957</v>
      </c>
      <c r="E223" s="642" t="n"/>
      <c r="F223" s="674" t="n">
        <v>1.3</v>
      </c>
      <c r="G223" s="38" t="n">
        <v>6</v>
      </c>
      <c r="H223" s="674" t="n">
        <v>7.8</v>
      </c>
      <c r="I223" s="674" t="n">
        <v>8.364000000000001</v>
      </c>
      <c r="J223" s="38" t="n">
        <v>56</v>
      </c>
      <c r="K223" s="39" t="inlineStr">
        <is>
          <t>СК2</t>
        </is>
      </c>
      <c r="L223" s="38" t="n">
        <v>40</v>
      </c>
      <c r="M223" s="804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N223" s="676" t="n"/>
      <c r="O223" s="676" t="n"/>
      <c r="P223" s="676" t="n"/>
      <c r="Q223" s="642" t="n"/>
      <c r="R223" s="40" t="inlineStr"/>
      <c r="S223" s="40" t="inlineStr"/>
      <c r="T223" s="41" t="inlineStr">
        <is>
          <t>кг</t>
        </is>
      </c>
      <c r="U223" s="677" t="n">
        <v>0</v>
      </c>
      <c r="V223" s="678">
        <f>IFERROR(IF(U223="",0,CEILING((U223/$H223),1)*$H223),"")</f>
        <v/>
      </c>
      <c r="W223" s="42">
        <f>IFERROR(IF(V223=0,"",ROUNDUP(V223/H223,0)*0.02175),"")</f>
        <v/>
      </c>
      <c r="X223" s="69" t="inlineStr"/>
      <c r="Y223" s="70" t="inlineStr"/>
      <c r="AC223" s="194" t="inlineStr">
        <is>
          <t>КИ</t>
        </is>
      </c>
    </row>
    <row r="224" ht="27" customHeight="1">
      <c r="A224" s="64" t="inlineStr">
        <is>
          <t>SU001728</t>
        </is>
      </c>
      <c r="B224" s="64" t="inlineStr">
        <is>
          <t>P002207</t>
        </is>
      </c>
      <c r="C224" s="37" t="n">
        <v>4301051115</v>
      </c>
      <c r="D224" s="375" t="n">
        <v>4607091387964</v>
      </c>
      <c r="E224" s="642" t="n"/>
      <c r="F224" s="674" t="n">
        <v>1.35</v>
      </c>
      <c r="G224" s="38" t="n">
        <v>6</v>
      </c>
      <c r="H224" s="674" t="n">
        <v>8.1</v>
      </c>
      <c r="I224" s="674" t="n">
        <v>8.646000000000001</v>
      </c>
      <c r="J224" s="38" t="n">
        <v>56</v>
      </c>
      <c r="K224" s="39" t="inlineStr">
        <is>
          <t>СК2</t>
        </is>
      </c>
      <c r="L224" s="38" t="n">
        <v>40</v>
      </c>
      <c r="M224" s="805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N224" s="676" t="n"/>
      <c r="O224" s="676" t="n"/>
      <c r="P224" s="676" t="n"/>
      <c r="Q224" s="642" t="n"/>
      <c r="R224" s="40" t="inlineStr"/>
      <c r="S224" s="40" t="inlineStr"/>
      <c r="T224" s="41" t="inlineStr">
        <is>
          <t>кг</t>
        </is>
      </c>
      <c r="U224" s="677" t="n">
        <v>0</v>
      </c>
      <c r="V224" s="678">
        <f>IFERROR(IF(U224="",0,CEILING((U224/$H224),1)*$H224),"")</f>
        <v/>
      </c>
      <c r="W224" s="42">
        <f>IFERROR(IF(V224=0,"",ROUNDUP(V224/H224,0)*0.02175),"")</f>
        <v/>
      </c>
      <c r="X224" s="69" t="inlineStr"/>
      <c r="Y224" s="70" t="inlineStr"/>
      <c r="AC224" s="195" t="inlineStr">
        <is>
          <t>КИ</t>
        </is>
      </c>
    </row>
    <row r="225" ht="16.5" customHeight="1">
      <c r="A225" s="64" t="inlineStr">
        <is>
          <t>SU001341</t>
        </is>
      </c>
      <c r="B225" s="64" t="inlineStr">
        <is>
          <t>P002204</t>
        </is>
      </c>
      <c r="C225" s="37" t="n">
        <v>4301051134</v>
      </c>
      <c r="D225" s="375" t="n">
        <v>4607091381672</v>
      </c>
      <c r="E225" s="642" t="n"/>
      <c r="F225" s="674" t="n">
        <v>0.6</v>
      </c>
      <c r="G225" s="38" t="n">
        <v>6</v>
      </c>
      <c r="H225" s="674" t="n">
        <v>3.6</v>
      </c>
      <c r="I225" s="674" t="n">
        <v>3.876</v>
      </c>
      <c r="J225" s="38" t="n">
        <v>120</v>
      </c>
      <c r="K225" s="39" t="inlineStr">
        <is>
          <t>СК2</t>
        </is>
      </c>
      <c r="L225" s="38" t="n">
        <v>40</v>
      </c>
      <c r="M225" s="806">
        <f>HYPERLINK("https://abi.ru/products/Охлажденные/Стародворье/Бордо/Сосиски/P002204/","Сосиски Ганноверские Бордо Фикс.вес 0,6 П/а мгс Баварушка")</f>
        <v/>
      </c>
      <c r="N225" s="676" t="n"/>
      <c r="O225" s="676" t="n"/>
      <c r="P225" s="676" t="n"/>
      <c r="Q225" s="642" t="n"/>
      <c r="R225" s="40" t="inlineStr"/>
      <c r="S225" s="40" t="inlineStr"/>
      <c r="T225" s="41" t="inlineStr">
        <is>
          <t>кг</t>
        </is>
      </c>
      <c r="U225" s="677" t="n">
        <v>0</v>
      </c>
      <c r="V225" s="678">
        <f>IFERROR(IF(U225="",0,CEILING((U225/$H225),1)*$H225),"")</f>
        <v/>
      </c>
      <c r="W225" s="42">
        <f>IFERROR(IF(V225=0,"",ROUNDUP(V225/H225,0)*0.00937),"")</f>
        <v/>
      </c>
      <c r="X225" s="69" t="inlineStr"/>
      <c r="Y225" s="70" t="inlineStr"/>
      <c r="AC225" s="196" t="inlineStr">
        <is>
          <t>КИ</t>
        </is>
      </c>
    </row>
    <row r="226" ht="27" customHeight="1">
      <c r="A226" s="64" t="inlineStr">
        <is>
          <t>SU001763</t>
        </is>
      </c>
      <c r="B226" s="64" t="inlineStr">
        <is>
          <t>P002206</t>
        </is>
      </c>
      <c r="C226" s="37" t="n">
        <v>4301051130</v>
      </c>
      <c r="D226" s="375" t="n">
        <v>4607091387537</v>
      </c>
      <c r="E226" s="642" t="n"/>
      <c r="F226" s="674" t="n">
        <v>0.45</v>
      </c>
      <c r="G226" s="38" t="n">
        <v>6</v>
      </c>
      <c r="H226" s="674" t="n">
        <v>2.7</v>
      </c>
      <c r="I226" s="674" t="n">
        <v>2.99</v>
      </c>
      <c r="J226" s="38" t="n">
        <v>156</v>
      </c>
      <c r="K226" s="39" t="inlineStr">
        <is>
          <t>СК2</t>
        </is>
      </c>
      <c r="L226" s="38" t="n">
        <v>40</v>
      </c>
      <c r="M226" s="807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N226" s="676" t="n"/>
      <c r="O226" s="676" t="n"/>
      <c r="P226" s="676" t="n"/>
      <c r="Q226" s="642" t="n"/>
      <c r="R226" s="40" t="inlineStr"/>
      <c r="S226" s="40" t="inlineStr"/>
      <c r="T226" s="41" t="inlineStr">
        <is>
          <t>кг</t>
        </is>
      </c>
      <c r="U226" s="677" t="n">
        <v>0</v>
      </c>
      <c r="V226" s="678">
        <f>IFERROR(IF(U226="",0,CEILING((U226/$H226),1)*$H226),"")</f>
        <v/>
      </c>
      <c r="W226" s="42">
        <f>IFERROR(IF(V226=0,"",ROUNDUP(V226/H226,0)*0.00753),"")</f>
        <v/>
      </c>
      <c r="X226" s="69" t="inlineStr"/>
      <c r="Y226" s="70" t="inlineStr"/>
      <c r="AC226" s="197" t="inlineStr">
        <is>
          <t>КИ</t>
        </is>
      </c>
    </row>
    <row r="227" ht="27" customHeight="1">
      <c r="A227" s="64" t="inlineStr">
        <is>
          <t>SU001762</t>
        </is>
      </c>
      <c r="B227" s="64" t="inlineStr">
        <is>
          <t>P002208</t>
        </is>
      </c>
      <c r="C227" s="37" t="n">
        <v>4301051132</v>
      </c>
      <c r="D227" s="375" t="n">
        <v>4607091387513</v>
      </c>
      <c r="E227" s="642" t="n"/>
      <c r="F227" s="674" t="n">
        <v>0.45</v>
      </c>
      <c r="G227" s="38" t="n">
        <v>6</v>
      </c>
      <c r="H227" s="674" t="n">
        <v>2.7</v>
      </c>
      <c r="I227" s="674" t="n">
        <v>2.978</v>
      </c>
      <c r="J227" s="38" t="n">
        <v>156</v>
      </c>
      <c r="K227" s="39" t="inlineStr">
        <is>
          <t>СК2</t>
        </is>
      </c>
      <c r="L227" s="38" t="n">
        <v>40</v>
      </c>
      <c r="M227" s="808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N227" s="676" t="n"/>
      <c r="O227" s="676" t="n"/>
      <c r="P227" s="676" t="n"/>
      <c r="Q227" s="642" t="n"/>
      <c r="R227" s="40" t="inlineStr"/>
      <c r="S227" s="40" t="inlineStr"/>
      <c r="T227" s="41" t="inlineStr">
        <is>
          <t>кг</t>
        </is>
      </c>
      <c r="U227" s="677" t="n">
        <v>0</v>
      </c>
      <c r="V227" s="678">
        <f>IFERROR(IF(U227="",0,CEILING((U227/$H227),1)*$H227),"")</f>
        <v/>
      </c>
      <c r="W227" s="42">
        <f>IFERROR(IF(V227=0,"",ROUNDUP(V227/H227,0)*0.00753),"")</f>
        <v/>
      </c>
      <c r="X227" s="69" t="inlineStr"/>
      <c r="Y227" s="70" t="inlineStr"/>
      <c r="AC227" s="198" t="inlineStr">
        <is>
          <t>КИ</t>
        </is>
      </c>
    </row>
    <row r="228">
      <c r="A228" s="383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679" t="n"/>
      <c r="M228" s="680" t="inlineStr">
        <is>
          <t>Итого</t>
        </is>
      </c>
      <c r="N228" s="650" t="n"/>
      <c r="O228" s="650" t="n"/>
      <c r="P228" s="650" t="n"/>
      <c r="Q228" s="650" t="n"/>
      <c r="R228" s="650" t="n"/>
      <c r="S228" s="651" t="n"/>
      <c r="T228" s="43" t="inlineStr">
        <is>
          <t>кор</t>
        </is>
      </c>
      <c r="U228" s="681">
        <f>IFERROR(U222/H222,"0")+IFERROR(U223/H223,"0")+IFERROR(U224/H224,"0")+IFERROR(U225/H225,"0")+IFERROR(U226/H226,"0")+IFERROR(U227/H227,"0")</f>
        <v/>
      </c>
      <c r="V228" s="681">
        <f>IFERROR(V222/H222,"0")+IFERROR(V223/H223,"0")+IFERROR(V224/H224,"0")+IFERROR(V225/H225,"0")+IFERROR(V226/H226,"0")+IFERROR(V227/H227,"0")</f>
        <v/>
      </c>
      <c r="W228" s="681">
        <f>IFERROR(IF(W222="",0,W222),"0")+IFERROR(IF(W223="",0,W223),"0")+IFERROR(IF(W224="",0,W224),"0")+IFERROR(IF(W225="",0,W225),"0")+IFERROR(IF(W226="",0,W226),"0")+IFERROR(IF(W227="",0,W227),"0")</f>
        <v/>
      </c>
      <c r="X228" s="682" t="n"/>
      <c r="Y228" s="682" t="n"/>
    </row>
    <row r="229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679" t="n"/>
      <c r="M229" s="680" t="inlineStr">
        <is>
          <t>Итого</t>
        </is>
      </c>
      <c r="N229" s="650" t="n"/>
      <c r="O229" s="650" t="n"/>
      <c r="P229" s="650" t="n"/>
      <c r="Q229" s="650" t="n"/>
      <c r="R229" s="650" t="n"/>
      <c r="S229" s="651" t="n"/>
      <c r="T229" s="43" t="inlineStr">
        <is>
          <t>кг</t>
        </is>
      </c>
      <c r="U229" s="681">
        <f>IFERROR(SUM(U222:U227),"0")</f>
        <v/>
      </c>
      <c r="V229" s="681">
        <f>IFERROR(SUM(V222:V227),"0")</f>
        <v/>
      </c>
      <c r="W229" s="43" t="n"/>
      <c r="X229" s="682" t="n"/>
      <c r="Y229" s="682" t="n"/>
    </row>
    <row r="230" ht="14.25" customHeight="1">
      <c r="A230" s="374" t="inlineStr">
        <is>
          <t>Сардельки</t>
        </is>
      </c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374" t="n"/>
      <c r="Y230" s="374" t="n"/>
    </row>
    <row r="231" ht="16.5" customHeight="1">
      <c r="A231" s="64" t="inlineStr">
        <is>
          <t>SU001051</t>
        </is>
      </c>
      <c r="B231" s="64" t="inlineStr">
        <is>
          <t>P002061</t>
        </is>
      </c>
      <c r="C231" s="37" t="n">
        <v>4301060326</v>
      </c>
      <c r="D231" s="375" t="n">
        <v>4607091380880</v>
      </c>
      <c r="E231" s="642" t="n"/>
      <c r="F231" s="674" t="n">
        <v>1.4</v>
      </c>
      <c r="G231" s="38" t="n">
        <v>6</v>
      </c>
      <c r="H231" s="674" t="n">
        <v>8.4</v>
      </c>
      <c r="I231" s="674" t="n">
        <v>8.964</v>
      </c>
      <c r="J231" s="38" t="n">
        <v>56</v>
      </c>
      <c r="K231" s="39" t="inlineStr">
        <is>
          <t>СК2</t>
        </is>
      </c>
      <c r="L231" s="38" t="n">
        <v>30</v>
      </c>
      <c r="M231" s="809">
        <f>HYPERLINK("https://abi.ru/products/Охлажденные/Стародворье/Бордо/Сардельки/P002061/","Сардельки Нежные Бордо Весовые н/о мгс Стародворье")</f>
        <v/>
      </c>
      <c r="N231" s="676" t="n"/>
      <c r="O231" s="676" t="n"/>
      <c r="P231" s="676" t="n"/>
      <c r="Q231" s="642" t="n"/>
      <c r="R231" s="40" t="inlineStr"/>
      <c r="S231" s="40" t="inlineStr"/>
      <c r="T231" s="41" t="inlineStr">
        <is>
          <t>кг</t>
        </is>
      </c>
      <c r="U231" s="677" t="n">
        <v>0</v>
      </c>
      <c r="V231" s="678">
        <f>IFERROR(IF(U231="",0,CEILING((U231/$H231),1)*$H231),"")</f>
        <v/>
      </c>
      <c r="W231" s="42">
        <f>IFERROR(IF(V231=0,"",ROUNDUP(V231/H231,0)*0.02175),"")</f>
        <v/>
      </c>
      <c r="X231" s="69" t="inlineStr"/>
      <c r="Y231" s="70" t="inlineStr"/>
      <c r="AC231" s="199" t="inlineStr">
        <is>
          <t>КИ</t>
        </is>
      </c>
    </row>
    <row r="232" ht="27" customHeight="1">
      <c r="A232" s="64" t="inlineStr">
        <is>
          <t>SU000227</t>
        </is>
      </c>
      <c r="B232" s="64" t="inlineStr">
        <is>
          <t>P002536</t>
        </is>
      </c>
      <c r="C232" s="37" t="n">
        <v>4301060308</v>
      </c>
      <c r="D232" s="375" t="n">
        <v>4607091384482</v>
      </c>
      <c r="E232" s="642" t="n"/>
      <c r="F232" s="674" t="n">
        <v>1.3</v>
      </c>
      <c r="G232" s="38" t="n">
        <v>6</v>
      </c>
      <c r="H232" s="674" t="n">
        <v>7.8</v>
      </c>
      <c r="I232" s="674" t="n">
        <v>8.364000000000001</v>
      </c>
      <c r="J232" s="38" t="n">
        <v>56</v>
      </c>
      <c r="K232" s="39" t="inlineStr">
        <is>
          <t>СК2</t>
        </is>
      </c>
      <c r="L232" s="38" t="n">
        <v>30</v>
      </c>
      <c r="M232" s="810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N232" s="676" t="n"/>
      <c r="O232" s="676" t="n"/>
      <c r="P232" s="676" t="n"/>
      <c r="Q232" s="642" t="n"/>
      <c r="R232" s="40" t="inlineStr"/>
      <c r="S232" s="40" t="inlineStr"/>
      <c r="T232" s="41" t="inlineStr">
        <is>
          <t>кг</t>
        </is>
      </c>
      <c r="U232" s="677" t="n">
        <v>0</v>
      </c>
      <c r="V232" s="678">
        <f>IFERROR(IF(U232="",0,CEILING((U232/$H232),1)*$H232),"")</f>
        <v/>
      </c>
      <c r="W232" s="42">
        <f>IFERROR(IF(V232=0,"",ROUNDUP(V232/H232,0)*0.02175),"")</f>
        <v/>
      </c>
      <c r="X232" s="69" t="inlineStr"/>
      <c r="Y232" s="70" t="inlineStr"/>
      <c r="AC232" s="200" t="inlineStr">
        <is>
          <t>КИ</t>
        </is>
      </c>
    </row>
    <row r="233" ht="16.5" customHeight="1">
      <c r="A233" s="64" t="inlineStr">
        <is>
          <t>SU001430</t>
        </is>
      </c>
      <c r="B233" s="64" t="inlineStr">
        <is>
          <t>P002036</t>
        </is>
      </c>
      <c r="C233" s="37" t="n">
        <v>4301060325</v>
      </c>
      <c r="D233" s="375" t="n">
        <v>4607091380897</v>
      </c>
      <c r="E233" s="642" t="n"/>
      <c r="F233" s="674" t="n">
        <v>1.4</v>
      </c>
      <c r="G233" s="38" t="n">
        <v>6</v>
      </c>
      <c r="H233" s="674" t="n">
        <v>8.4</v>
      </c>
      <c r="I233" s="674" t="n">
        <v>8.964</v>
      </c>
      <c r="J233" s="38" t="n">
        <v>56</v>
      </c>
      <c r="K233" s="39" t="inlineStr">
        <is>
          <t>СК2</t>
        </is>
      </c>
      <c r="L233" s="38" t="n">
        <v>30</v>
      </c>
      <c r="M233" s="811">
        <f>HYPERLINK("https://abi.ru/products/Охлажденные/Стародворье/Бордо/Сардельки/P002036/","Сардельки Шпикачки Бордо Весовые NDX мгс Стародворье")</f>
        <v/>
      </c>
      <c r="N233" s="676" t="n"/>
      <c r="O233" s="676" t="n"/>
      <c r="P233" s="676" t="n"/>
      <c r="Q233" s="642" t="n"/>
      <c r="R233" s="40" t="inlineStr"/>
      <c r="S233" s="40" t="inlineStr"/>
      <c r="T233" s="41" t="inlineStr">
        <is>
          <t>кг</t>
        </is>
      </c>
      <c r="U233" s="677" t="n">
        <v>0</v>
      </c>
      <c r="V233" s="678">
        <f>IFERROR(IF(U233="",0,CEILING((U233/$H233),1)*$H233),"")</f>
        <v/>
      </c>
      <c r="W233" s="42">
        <f>IFERROR(IF(V233=0,"",ROUNDUP(V233/H233,0)*0.02175),"")</f>
        <v/>
      </c>
      <c r="X233" s="69" t="inlineStr"/>
      <c r="Y233" s="70" t="inlineStr"/>
      <c r="AC233" s="201" t="inlineStr">
        <is>
          <t>КИ</t>
        </is>
      </c>
    </row>
    <row r="234" ht="16.5" customHeight="1">
      <c r="A234" s="64" t="inlineStr">
        <is>
          <t>SU002691</t>
        </is>
      </c>
      <c r="B234" s="64" t="inlineStr">
        <is>
          <t>P003055</t>
        </is>
      </c>
      <c r="C234" s="37" t="n">
        <v>4301060337</v>
      </c>
      <c r="D234" s="375" t="n">
        <v>4680115880368</v>
      </c>
      <c r="E234" s="642" t="n"/>
      <c r="F234" s="674" t="n">
        <v>1</v>
      </c>
      <c r="G234" s="38" t="n">
        <v>4</v>
      </c>
      <c r="H234" s="674" t="n">
        <v>4</v>
      </c>
      <c r="I234" s="674" t="n">
        <v>4.36</v>
      </c>
      <c r="J234" s="38" t="n">
        <v>104</v>
      </c>
      <c r="K234" s="39" t="inlineStr">
        <is>
          <t>СК3</t>
        </is>
      </c>
      <c r="L234" s="38" t="n">
        <v>40</v>
      </c>
      <c r="M234" s="812" t="inlineStr">
        <is>
          <t>Сардельки Царедворские Бордо ф/в 1 кг п/а Стародворье</t>
        </is>
      </c>
      <c r="N234" s="676" t="n"/>
      <c r="O234" s="676" t="n"/>
      <c r="P234" s="676" t="n"/>
      <c r="Q234" s="642" t="n"/>
      <c r="R234" s="40" t="inlineStr"/>
      <c r="S234" s="40" t="inlineStr"/>
      <c r="T234" s="41" t="inlineStr">
        <is>
          <t>кг</t>
        </is>
      </c>
      <c r="U234" s="677" t="n">
        <v>0</v>
      </c>
      <c r="V234" s="678">
        <f>IFERROR(IF(U234="",0,CEILING((U234/$H234),1)*$H234),"")</f>
        <v/>
      </c>
      <c r="W234" s="42">
        <f>IFERROR(IF(V234=0,"",ROUNDUP(V234/H234,0)*0.01196),"")</f>
        <v/>
      </c>
      <c r="X234" s="69" t="inlineStr"/>
      <c r="Y234" s="70" t="inlineStr"/>
      <c r="AC234" s="202" t="inlineStr">
        <is>
          <t>КИ</t>
        </is>
      </c>
    </row>
    <row r="235">
      <c r="A235" s="383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679" t="n"/>
      <c r="M235" s="680" t="inlineStr">
        <is>
          <t>Итого</t>
        </is>
      </c>
      <c r="N235" s="650" t="n"/>
      <c r="O235" s="650" t="n"/>
      <c r="P235" s="650" t="n"/>
      <c r="Q235" s="650" t="n"/>
      <c r="R235" s="650" t="n"/>
      <c r="S235" s="651" t="n"/>
      <c r="T235" s="43" t="inlineStr">
        <is>
          <t>кор</t>
        </is>
      </c>
      <c r="U235" s="681">
        <f>IFERROR(U231/H231,"0")+IFERROR(U232/H232,"0")+IFERROR(U233/H233,"0")+IFERROR(U234/H234,"0")</f>
        <v/>
      </c>
      <c r="V235" s="681">
        <f>IFERROR(V231/H231,"0")+IFERROR(V232/H232,"0")+IFERROR(V233/H233,"0")+IFERROR(V234/H234,"0")</f>
        <v/>
      </c>
      <c r="W235" s="681">
        <f>IFERROR(IF(W231="",0,W231),"0")+IFERROR(IF(W232="",0,W232),"0")+IFERROR(IF(W233="",0,W233),"0")+IFERROR(IF(W234="",0,W234),"0")</f>
        <v/>
      </c>
      <c r="X235" s="682" t="n"/>
      <c r="Y235" s="682" t="n"/>
    </row>
    <row r="236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679" t="n"/>
      <c r="M236" s="680" t="inlineStr">
        <is>
          <t>Итого</t>
        </is>
      </c>
      <c r="N236" s="650" t="n"/>
      <c r="O236" s="650" t="n"/>
      <c r="P236" s="650" t="n"/>
      <c r="Q236" s="650" t="n"/>
      <c r="R236" s="650" t="n"/>
      <c r="S236" s="651" t="n"/>
      <c r="T236" s="43" t="inlineStr">
        <is>
          <t>кг</t>
        </is>
      </c>
      <c r="U236" s="681">
        <f>IFERROR(SUM(U231:U234),"0")</f>
        <v/>
      </c>
      <c r="V236" s="681">
        <f>IFERROR(SUM(V231:V234),"0")</f>
        <v/>
      </c>
      <c r="W236" s="43" t="n"/>
      <c r="X236" s="682" t="n"/>
      <c r="Y236" s="682" t="n"/>
    </row>
    <row r="237" ht="14.25" customHeight="1">
      <c r="A237" s="374" t="inlineStr">
        <is>
          <t>Сырокопченые колбасы</t>
        </is>
      </c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374" t="n"/>
      <c r="Y237" s="374" t="n"/>
    </row>
    <row r="238" ht="16.5" customHeight="1">
      <c r="A238" s="64" t="inlineStr">
        <is>
          <t>SU001920</t>
        </is>
      </c>
      <c r="B238" s="64" t="inlineStr">
        <is>
          <t>P001900</t>
        </is>
      </c>
      <c r="C238" s="37" t="n">
        <v>4301030232</v>
      </c>
      <c r="D238" s="375" t="n">
        <v>4607091388374</v>
      </c>
      <c r="E238" s="642" t="n"/>
      <c r="F238" s="674" t="n">
        <v>0.38</v>
      </c>
      <c r="G238" s="38" t="n">
        <v>8</v>
      </c>
      <c r="H238" s="674" t="n">
        <v>3.04</v>
      </c>
      <c r="I238" s="674" t="n">
        <v>3.28</v>
      </c>
      <c r="J238" s="38" t="n">
        <v>156</v>
      </c>
      <c r="K238" s="39" t="inlineStr">
        <is>
          <t>АК</t>
        </is>
      </c>
      <c r="L238" s="38" t="n">
        <v>180</v>
      </c>
      <c r="M238" s="813" t="inlineStr">
        <is>
          <t>С/к колбасы Княжеская Бордо Весовые б/о терм/п Стародворье</t>
        </is>
      </c>
      <c r="N238" s="676" t="n"/>
      <c r="O238" s="676" t="n"/>
      <c r="P238" s="676" t="n"/>
      <c r="Q238" s="642" t="n"/>
      <c r="R238" s="40" t="inlineStr"/>
      <c r="S238" s="40" t="inlineStr"/>
      <c r="T238" s="41" t="inlineStr">
        <is>
          <t>кг</t>
        </is>
      </c>
      <c r="U238" s="677" t="n">
        <v>0</v>
      </c>
      <c r="V238" s="678">
        <f>IFERROR(IF(U238="",0,CEILING((U238/$H238),1)*$H238),"")</f>
        <v/>
      </c>
      <c r="W238" s="42">
        <f>IFERROR(IF(V238=0,"",ROUNDUP(V238/H238,0)*0.00753),"")</f>
        <v/>
      </c>
      <c r="X238" s="69" t="inlineStr"/>
      <c r="Y238" s="70" t="inlineStr"/>
      <c r="AC238" s="203" t="inlineStr">
        <is>
          <t>КИ</t>
        </is>
      </c>
    </row>
    <row r="239" ht="27" customHeight="1">
      <c r="A239" s="64" t="inlineStr">
        <is>
          <t>SU001921</t>
        </is>
      </c>
      <c r="B239" s="64" t="inlineStr">
        <is>
          <t>P001916</t>
        </is>
      </c>
      <c r="C239" s="37" t="n">
        <v>4301030235</v>
      </c>
      <c r="D239" s="375" t="n">
        <v>4607091388381</v>
      </c>
      <c r="E239" s="642" t="n"/>
      <c r="F239" s="674" t="n">
        <v>0.38</v>
      </c>
      <c r="G239" s="38" t="n">
        <v>8</v>
      </c>
      <c r="H239" s="674" t="n">
        <v>3.04</v>
      </c>
      <c r="I239" s="674" t="n">
        <v>3.32</v>
      </c>
      <c r="J239" s="38" t="n">
        <v>156</v>
      </c>
      <c r="K239" s="39" t="inlineStr">
        <is>
          <t>АК</t>
        </is>
      </c>
      <c r="L239" s="38" t="n">
        <v>180</v>
      </c>
      <c r="M239" s="814" t="inlineStr">
        <is>
          <t>С/к колбасы Салями Охотничья Бордо Весовые б/о терм/п 180 Стародворье</t>
        </is>
      </c>
      <c r="N239" s="676" t="n"/>
      <c r="O239" s="676" t="n"/>
      <c r="P239" s="676" t="n"/>
      <c r="Q239" s="642" t="n"/>
      <c r="R239" s="40" t="inlineStr"/>
      <c r="S239" s="40" t="inlineStr"/>
      <c r="T239" s="41" t="inlineStr">
        <is>
          <t>кг</t>
        </is>
      </c>
      <c r="U239" s="677" t="n">
        <v>0</v>
      </c>
      <c r="V239" s="678">
        <f>IFERROR(IF(U239="",0,CEILING((U239/$H239),1)*$H239),"")</f>
        <v/>
      </c>
      <c r="W239" s="42">
        <f>IFERROR(IF(V239=0,"",ROUNDUP(V239/H239,0)*0.00753),"")</f>
        <v/>
      </c>
      <c r="X239" s="69" t="inlineStr"/>
      <c r="Y239" s="70" t="inlineStr"/>
      <c r="AC239" s="204" t="inlineStr">
        <is>
          <t>КИ</t>
        </is>
      </c>
    </row>
    <row r="240" ht="27" customHeight="1">
      <c r="A240" s="64" t="inlineStr">
        <is>
          <t>SU001869</t>
        </is>
      </c>
      <c r="B240" s="64" t="inlineStr">
        <is>
          <t>P001909</t>
        </is>
      </c>
      <c r="C240" s="37" t="n">
        <v>4301030233</v>
      </c>
      <c r="D240" s="375" t="n">
        <v>4607091388404</v>
      </c>
      <c r="E240" s="642" t="n"/>
      <c r="F240" s="674" t="n">
        <v>0.17</v>
      </c>
      <c r="G240" s="38" t="n">
        <v>15</v>
      </c>
      <c r="H240" s="674" t="n">
        <v>2.55</v>
      </c>
      <c r="I240" s="674" t="n">
        <v>2.9</v>
      </c>
      <c r="J240" s="38" t="n">
        <v>156</v>
      </c>
      <c r="K240" s="39" t="inlineStr">
        <is>
          <t>АК</t>
        </is>
      </c>
      <c r="L240" s="38" t="n">
        <v>180</v>
      </c>
      <c r="M240" s="815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N240" s="676" t="n"/>
      <c r="O240" s="676" t="n"/>
      <c r="P240" s="676" t="n"/>
      <c r="Q240" s="642" t="n"/>
      <c r="R240" s="40" t="inlineStr"/>
      <c r="S240" s="40" t="inlineStr"/>
      <c r="T240" s="41" t="inlineStr">
        <is>
          <t>кг</t>
        </is>
      </c>
      <c r="U240" s="677" t="n">
        <v>0</v>
      </c>
      <c r="V240" s="678">
        <f>IFERROR(IF(U240="",0,CEILING((U240/$H240),1)*$H240),"")</f>
        <v/>
      </c>
      <c r="W240" s="42">
        <f>IFERROR(IF(V240=0,"",ROUNDUP(V240/H240,0)*0.00753),"")</f>
        <v/>
      </c>
      <c r="X240" s="69" t="inlineStr"/>
      <c r="Y240" s="70" t="inlineStr"/>
      <c r="AC240" s="205" t="inlineStr">
        <is>
          <t>КИ</t>
        </is>
      </c>
    </row>
    <row r="241">
      <c r="A241" s="383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679" t="n"/>
      <c r="M241" s="680" t="inlineStr">
        <is>
          <t>Итого</t>
        </is>
      </c>
      <c r="N241" s="650" t="n"/>
      <c r="O241" s="650" t="n"/>
      <c r="P241" s="650" t="n"/>
      <c r="Q241" s="650" t="n"/>
      <c r="R241" s="650" t="n"/>
      <c r="S241" s="651" t="n"/>
      <c r="T241" s="43" t="inlineStr">
        <is>
          <t>кор</t>
        </is>
      </c>
      <c r="U241" s="681">
        <f>IFERROR(U238/H238,"0")+IFERROR(U239/H239,"0")+IFERROR(U240/H240,"0")</f>
        <v/>
      </c>
      <c r="V241" s="681">
        <f>IFERROR(V238/H238,"0")+IFERROR(V239/H239,"0")+IFERROR(V240/H240,"0")</f>
        <v/>
      </c>
      <c r="W241" s="681">
        <f>IFERROR(IF(W238="",0,W238),"0")+IFERROR(IF(W239="",0,W239),"0")+IFERROR(IF(W240="",0,W240),"0")</f>
        <v/>
      </c>
      <c r="X241" s="682" t="n"/>
      <c r="Y241" s="682" t="n"/>
    </row>
    <row r="242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679" t="n"/>
      <c r="M242" s="680" t="inlineStr">
        <is>
          <t>Итого</t>
        </is>
      </c>
      <c r="N242" s="650" t="n"/>
      <c r="O242" s="650" t="n"/>
      <c r="P242" s="650" t="n"/>
      <c r="Q242" s="650" t="n"/>
      <c r="R242" s="650" t="n"/>
      <c r="S242" s="651" t="n"/>
      <c r="T242" s="43" t="inlineStr">
        <is>
          <t>кг</t>
        </is>
      </c>
      <c r="U242" s="681">
        <f>IFERROR(SUM(U238:U240),"0")</f>
        <v/>
      </c>
      <c r="V242" s="681">
        <f>IFERROR(SUM(V238:V240),"0")</f>
        <v/>
      </c>
      <c r="W242" s="43" t="n"/>
      <c r="X242" s="682" t="n"/>
      <c r="Y242" s="682" t="n"/>
    </row>
    <row r="243" ht="14.25" customHeight="1">
      <c r="A243" s="374" t="inlineStr">
        <is>
          <t>Паштеты</t>
        </is>
      </c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374" t="n"/>
      <c r="Y243" s="374" t="n"/>
    </row>
    <row r="244" ht="16.5" customHeight="1">
      <c r="A244" s="64" t="inlineStr">
        <is>
          <t>SU002841</t>
        </is>
      </c>
      <c r="B244" s="64" t="inlineStr">
        <is>
          <t>P003253</t>
        </is>
      </c>
      <c r="C244" s="37" t="n">
        <v>4301180007</v>
      </c>
      <c r="D244" s="375" t="n">
        <v>4680115881808</v>
      </c>
      <c r="E244" s="642" t="n"/>
      <c r="F244" s="674" t="n">
        <v>0.1</v>
      </c>
      <c r="G244" s="38" t="n">
        <v>20</v>
      </c>
      <c r="H244" s="674" t="n">
        <v>2</v>
      </c>
      <c r="I244" s="674" t="n">
        <v>2.24</v>
      </c>
      <c r="J244" s="38" t="n">
        <v>238</v>
      </c>
      <c r="K244" s="39" t="inlineStr">
        <is>
          <t>РК</t>
        </is>
      </c>
      <c r="L244" s="38" t="n">
        <v>730</v>
      </c>
      <c r="M244" s="816">
        <f>HYPERLINK("https:///products/Охлажденные/Стародворье/Бордо/Паштеты/P003253/","Паштеты «Любительский ГОСТ» Фикс.вес 0,1 ТМ «Стародворье»")</f>
        <v/>
      </c>
      <c r="N244" s="676" t="n"/>
      <c r="O244" s="676" t="n"/>
      <c r="P244" s="676" t="n"/>
      <c r="Q244" s="642" t="n"/>
      <c r="R244" s="40" t="inlineStr"/>
      <c r="S244" s="40" t="inlineStr"/>
      <c r="T244" s="41" t="inlineStr">
        <is>
          <t>кг</t>
        </is>
      </c>
      <c r="U244" s="677" t="n">
        <v>0</v>
      </c>
      <c r="V244" s="678">
        <f>IFERROR(IF(U244="",0,CEILING((U244/$H244),1)*$H244),"")</f>
        <v/>
      </c>
      <c r="W244" s="42">
        <f>IFERROR(IF(V244=0,"",ROUNDUP(V244/H244,0)*0.00474),"")</f>
        <v/>
      </c>
      <c r="X244" s="69" t="inlineStr"/>
      <c r="Y244" s="70" t="inlineStr"/>
      <c r="AC244" s="206" t="inlineStr">
        <is>
          <t>КИ</t>
        </is>
      </c>
    </row>
    <row r="245" ht="27" customHeight="1">
      <c r="A245" s="64" t="inlineStr">
        <is>
          <t>SU002840</t>
        </is>
      </c>
      <c r="B245" s="64" t="inlineStr">
        <is>
          <t>P003252</t>
        </is>
      </c>
      <c r="C245" s="37" t="n">
        <v>4301180006</v>
      </c>
      <c r="D245" s="375" t="n">
        <v>4680115881822</v>
      </c>
      <c r="E245" s="642" t="n"/>
      <c r="F245" s="674" t="n">
        <v>0.1</v>
      </c>
      <c r="G245" s="38" t="n">
        <v>20</v>
      </c>
      <c r="H245" s="674" t="n">
        <v>2</v>
      </c>
      <c r="I245" s="674" t="n">
        <v>2.24</v>
      </c>
      <c r="J245" s="38" t="n">
        <v>238</v>
      </c>
      <c r="K245" s="39" t="inlineStr">
        <is>
          <t>РК</t>
        </is>
      </c>
      <c r="L245" s="38" t="n">
        <v>730</v>
      </c>
      <c r="M245" s="817">
        <f>HYPERLINK("https:///products/Охлажденные/Стародворье/Бордо/Паштеты/P003252/","Паштеты «Печеночный с морковью ГОСТ» Фикс.вес 0,1 ТМ «Стародворье»")</f>
        <v/>
      </c>
      <c r="N245" s="676" t="n"/>
      <c r="O245" s="676" t="n"/>
      <c r="P245" s="676" t="n"/>
      <c r="Q245" s="642" t="n"/>
      <c r="R245" s="40" t="inlineStr"/>
      <c r="S245" s="40" t="inlineStr"/>
      <c r="T245" s="41" t="inlineStr">
        <is>
          <t>кг</t>
        </is>
      </c>
      <c r="U245" s="677" t="n">
        <v>0</v>
      </c>
      <c r="V245" s="678">
        <f>IFERROR(IF(U245="",0,CEILING((U245/$H245),1)*$H245),"")</f>
        <v/>
      </c>
      <c r="W245" s="42">
        <f>IFERROR(IF(V245=0,"",ROUNDUP(V245/H245,0)*0.00474),"")</f>
        <v/>
      </c>
      <c r="X245" s="69" t="inlineStr"/>
      <c r="Y245" s="70" t="inlineStr"/>
      <c r="AC245" s="207" t="inlineStr">
        <is>
          <t>КИ</t>
        </is>
      </c>
    </row>
    <row r="246" ht="27" customHeight="1">
      <c r="A246" s="64" t="inlineStr">
        <is>
          <t>SU002368</t>
        </is>
      </c>
      <c r="B246" s="64" t="inlineStr">
        <is>
          <t>P002648</t>
        </is>
      </c>
      <c r="C246" s="37" t="n">
        <v>4301180001</v>
      </c>
      <c r="D246" s="375" t="n">
        <v>4680115880016</v>
      </c>
      <c r="E246" s="642" t="n"/>
      <c r="F246" s="674" t="n">
        <v>0.1</v>
      </c>
      <c r="G246" s="38" t="n">
        <v>20</v>
      </c>
      <c r="H246" s="674" t="n">
        <v>2</v>
      </c>
      <c r="I246" s="674" t="n">
        <v>2.24</v>
      </c>
      <c r="J246" s="38" t="n">
        <v>238</v>
      </c>
      <c r="K246" s="39" t="inlineStr">
        <is>
          <t>РК</t>
        </is>
      </c>
      <c r="L246" s="38" t="n">
        <v>730</v>
      </c>
      <c r="M246" s="818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N246" s="676" t="n"/>
      <c r="O246" s="676" t="n"/>
      <c r="P246" s="676" t="n"/>
      <c r="Q246" s="642" t="n"/>
      <c r="R246" s="40" t="inlineStr"/>
      <c r="S246" s="40" t="inlineStr"/>
      <c r="T246" s="41" t="inlineStr">
        <is>
          <t>кг</t>
        </is>
      </c>
      <c r="U246" s="677" t="n">
        <v>0</v>
      </c>
      <c r="V246" s="678">
        <f>IFERROR(IF(U246="",0,CEILING((U246/$H246),1)*$H246),"")</f>
        <v/>
      </c>
      <c r="W246" s="42">
        <f>IFERROR(IF(V246=0,"",ROUNDUP(V246/H246,0)*0.00474),"")</f>
        <v/>
      </c>
      <c r="X246" s="69" t="inlineStr"/>
      <c r="Y246" s="70" t="inlineStr"/>
      <c r="AC246" s="208" t="inlineStr">
        <is>
          <t>КИ</t>
        </is>
      </c>
    </row>
    <row r="247">
      <c r="A247" s="383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679" t="n"/>
      <c r="M247" s="680" t="inlineStr">
        <is>
          <t>Итого</t>
        </is>
      </c>
      <c r="N247" s="650" t="n"/>
      <c r="O247" s="650" t="n"/>
      <c r="P247" s="650" t="n"/>
      <c r="Q247" s="650" t="n"/>
      <c r="R247" s="650" t="n"/>
      <c r="S247" s="651" t="n"/>
      <c r="T247" s="43" t="inlineStr">
        <is>
          <t>кор</t>
        </is>
      </c>
      <c r="U247" s="681">
        <f>IFERROR(U244/H244,"0")+IFERROR(U245/H245,"0")+IFERROR(U246/H246,"0")</f>
        <v/>
      </c>
      <c r="V247" s="681">
        <f>IFERROR(V244/H244,"0")+IFERROR(V245/H245,"0")+IFERROR(V246/H246,"0")</f>
        <v/>
      </c>
      <c r="W247" s="681">
        <f>IFERROR(IF(W244="",0,W244),"0")+IFERROR(IF(W245="",0,W245),"0")+IFERROR(IF(W246="",0,W246),"0")</f>
        <v/>
      </c>
      <c r="X247" s="682" t="n"/>
      <c r="Y247" s="682" t="n"/>
    </row>
    <row r="24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679" t="n"/>
      <c r="M248" s="680" t="inlineStr">
        <is>
          <t>Итого</t>
        </is>
      </c>
      <c r="N248" s="650" t="n"/>
      <c r="O248" s="650" t="n"/>
      <c r="P248" s="650" t="n"/>
      <c r="Q248" s="650" t="n"/>
      <c r="R248" s="650" t="n"/>
      <c r="S248" s="651" t="n"/>
      <c r="T248" s="43" t="inlineStr">
        <is>
          <t>кг</t>
        </is>
      </c>
      <c r="U248" s="681">
        <f>IFERROR(SUM(U244:U246),"0")</f>
        <v/>
      </c>
      <c r="V248" s="681">
        <f>IFERROR(SUM(V244:V246),"0")</f>
        <v/>
      </c>
      <c r="W248" s="43" t="n"/>
      <c r="X248" s="682" t="n"/>
      <c r="Y248" s="682" t="n"/>
    </row>
    <row r="249" ht="16.5" customHeight="1">
      <c r="A249" s="373" t="inlineStr">
        <is>
          <t>Фирменная</t>
        </is>
      </c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373" t="n"/>
      <c r="Y249" s="373" t="n"/>
    </row>
    <row r="250" ht="14.25" customHeight="1">
      <c r="A250" s="374" t="inlineStr">
        <is>
          <t>Вареные колбасы</t>
        </is>
      </c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374" t="n"/>
      <c r="Y250" s="374" t="n"/>
    </row>
    <row r="251" ht="27" customHeight="1">
      <c r="A251" s="64" t="inlineStr">
        <is>
          <t>SU001793</t>
        </is>
      </c>
      <c r="B251" s="64" t="inlineStr">
        <is>
          <t>P001793</t>
        </is>
      </c>
      <c r="C251" s="37" t="n">
        <v>4301011315</v>
      </c>
      <c r="D251" s="375" t="n">
        <v>4607091387421</v>
      </c>
      <c r="E251" s="642" t="n"/>
      <c r="F251" s="674" t="n">
        <v>1.35</v>
      </c>
      <c r="G251" s="38" t="n">
        <v>8</v>
      </c>
      <c r="H251" s="674" t="n">
        <v>10.8</v>
      </c>
      <c r="I251" s="674" t="n">
        <v>11.28</v>
      </c>
      <c r="J251" s="38" t="n">
        <v>56</v>
      </c>
      <c r="K251" s="39" t="inlineStr">
        <is>
          <t>СК1</t>
        </is>
      </c>
      <c r="L251" s="38" t="n">
        <v>55</v>
      </c>
      <c r="M251" s="819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N251" s="676" t="n"/>
      <c r="O251" s="676" t="n"/>
      <c r="P251" s="676" t="n"/>
      <c r="Q251" s="642" t="n"/>
      <c r="R251" s="40" t="inlineStr"/>
      <c r="S251" s="40" t="inlineStr"/>
      <c r="T251" s="41" t="inlineStr">
        <is>
          <t>кг</t>
        </is>
      </c>
      <c r="U251" s="677" t="n">
        <v>0</v>
      </c>
      <c r="V251" s="678">
        <f>IFERROR(IF(U251="",0,CEILING((U251/$H251),1)*$H251),"")</f>
        <v/>
      </c>
      <c r="W251" s="42">
        <f>IFERROR(IF(V251=0,"",ROUNDUP(V251/H251,0)*0.02175),"")</f>
        <v/>
      </c>
      <c r="X251" s="69" t="inlineStr"/>
      <c r="Y251" s="70" t="inlineStr"/>
      <c r="AC251" s="209" t="inlineStr">
        <is>
          <t>КИ</t>
        </is>
      </c>
    </row>
    <row r="252" ht="27" customHeight="1">
      <c r="A252" s="64" t="inlineStr">
        <is>
          <t>SU001793</t>
        </is>
      </c>
      <c r="B252" s="64" t="inlineStr">
        <is>
          <t>P002227</t>
        </is>
      </c>
      <c r="C252" s="37" t="n">
        <v>4301011121</v>
      </c>
      <c r="D252" s="375" t="n">
        <v>4607091387421</v>
      </c>
      <c r="E252" s="642" t="n"/>
      <c r="F252" s="674" t="n">
        <v>1.35</v>
      </c>
      <c r="G252" s="38" t="n">
        <v>8</v>
      </c>
      <c r="H252" s="674" t="n">
        <v>10.8</v>
      </c>
      <c r="I252" s="674" t="n">
        <v>11.28</v>
      </c>
      <c r="J252" s="38" t="n">
        <v>48</v>
      </c>
      <c r="K252" s="39" t="inlineStr">
        <is>
          <t>ВЗ</t>
        </is>
      </c>
      <c r="L252" s="38" t="n">
        <v>55</v>
      </c>
      <c r="M252" s="820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N252" s="676" t="n"/>
      <c r="O252" s="676" t="n"/>
      <c r="P252" s="676" t="n"/>
      <c r="Q252" s="642" t="n"/>
      <c r="R252" s="40" t="inlineStr"/>
      <c r="S252" s="40" t="inlineStr"/>
      <c r="T252" s="41" t="inlineStr">
        <is>
          <t>кг</t>
        </is>
      </c>
      <c r="U252" s="677" t="n">
        <v>0</v>
      </c>
      <c r="V252" s="678">
        <f>IFERROR(IF(U252="",0,CEILING((U252/$H252),1)*$H252),"")</f>
        <v/>
      </c>
      <c r="W252" s="42">
        <f>IFERROR(IF(V252=0,"",ROUNDUP(V252/H252,0)*0.02039),"")</f>
        <v/>
      </c>
      <c r="X252" s="69" t="inlineStr"/>
      <c r="Y252" s="70" t="inlineStr"/>
      <c r="AC252" s="210" t="inlineStr">
        <is>
          <t>КИ</t>
        </is>
      </c>
    </row>
    <row r="253" ht="27" customHeight="1">
      <c r="A253" s="64" t="inlineStr">
        <is>
          <t>SU001799</t>
        </is>
      </c>
      <c r="B253" s="64" t="inlineStr">
        <is>
          <t>P001799</t>
        </is>
      </c>
      <c r="C253" s="37" t="n">
        <v>4301011322</v>
      </c>
      <c r="D253" s="375" t="n">
        <v>4607091387452</v>
      </c>
      <c r="E253" s="642" t="n"/>
      <c r="F253" s="674" t="n">
        <v>1.35</v>
      </c>
      <c r="G253" s="38" t="n">
        <v>8</v>
      </c>
      <c r="H253" s="674" t="n">
        <v>10.8</v>
      </c>
      <c r="I253" s="674" t="n">
        <v>11.28</v>
      </c>
      <c r="J253" s="38" t="n">
        <v>56</v>
      </c>
      <c r="K253" s="39" t="inlineStr">
        <is>
          <t>СК3</t>
        </is>
      </c>
      <c r="L253" s="38" t="n">
        <v>55</v>
      </c>
      <c r="M253" s="821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/>
      </c>
      <c r="N253" s="676" t="n"/>
      <c r="O253" s="676" t="n"/>
      <c r="P253" s="676" t="n"/>
      <c r="Q253" s="642" t="n"/>
      <c r="R253" s="40" t="inlineStr"/>
      <c r="S253" s="40" t="inlineStr"/>
      <c r="T253" s="41" t="inlineStr">
        <is>
          <t>кг</t>
        </is>
      </c>
      <c r="U253" s="677" t="n">
        <v>0</v>
      </c>
      <c r="V253" s="678">
        <f>IFERROR(IF(U253="",0,CEILING((U253/$H253),1)*$H253),"")</f>
        <v/>
      </c>
      <c r="W253" s="42">
        <f>IFERROR(IF(V253=0,"",ROUNDUP(V253/H253,0)*0.02175),"")</f>
        <v/>
      </c>
      <c r="X253" s="69" t="inlineStr"/>
      <c r="Y253" s="70" t="inlineStr"/>
      <c r="AC253" s="211" t="inlineStr">
        <is>
          <t>КИ</t>
        </is>
      </c>
    </row>
    <row r="254" ht="27" customHeight="1">
      <c r="A254" s="64" t="inlineStr">
        <is>
          <t>SU001799</t>
        </is>
      </c>
      <c r="B254" s="64" t="inlineStr">
        <is>
          <t>P003076</t>
        </is>
      </c>
      <c r="C254" s="37" t="n">
        <v>4301011396</v>
      </c>
      <c r="D254" s="375" t="n">
        <v>4607091387452</v>
      </c>
      <c r="E254" s="642" t="n"/>
      <c r="F254" s="674" t="n">
        <v>1.35</v>
      </c>
      <c r="G254" s="38" t="n">
        <v>8</v>
      </c>
      <c r="H254" s="674" t="n">
        <v>10.8</v>
      </c>
      <c r="I254" s="674" t="n">
        <v>11.28</v>
      </c>
      <c r="J254" s="38" t="n">
        <v>48</v>
      </c>
      <c r="K254" s="39" t="inlineStr">
        <is>
          <t>ВЗ</t>
        </is>
      </c>
      <c r="L254" s="38" t="n">
        <v>55</v>
      </c>
      <c r="M254" s="822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N254" s="676" t="n"/>
      <c r="O254" s="676" t="n"/>
      <c r="P254" s="676" t="n"/>
      <c r="Q254" s="642" t="n"/>
      <c r="R254" s="40" t="inlineStr"/>
      <c r="S254" s="40" t="inlineStr"/>
      <c r="T254" s="41" t="inlineStr">
        <is>
          <t>кг</t>
        </is>
      </c>
      <c r="U254" s="677" t="n">
        <v>0</v>
      </c>
      <c r="V254" s="678">
        <f>IFERROR(IF(U254="",0,CEILING((U254/$H254),1)*$H254),"")</f>
        <v/>
      </c>
      <c r="W254" s="42">
        <f>IFERROR(IF(V254=0,"",ROUNDUP(V254/H254,0)*0.02039),"")</f>
        <v/>
      </c>
      <c r="X254" s="69" t="inlineStr"/>
      <c r="Y254" s="70" t="inlineStr"/>
      <c r="AC254" s="212" t="inlineStr">
        <is>
          <t>КИ</t>
        </is>
      </c>
    </row>
    <row r="255" ht="27" customHeight="1">
      <c r="A255" s="64" t="inlineStr">
        <is>
          <t>SU001792</t>
        </is>
      </c>
      <c r="B255" s="64" t="inlineStr">
        <is>
          <t>P001792</t>
        </is>
      </c>
      <c r="C255" s="37" t="n">
        <v>4301011313</v>
      </c>
      <c r="D255" s="375" t="n">
        <v>4607091385984</v>
      </c>
      <c r="E255" s="642" t="n"/>
      <c r="F255" s="674" t="n">
        <v>1.35</v>
      </c>
      <c r="G255" s="38" t="n">
        <v>8</v>
      </c>
      <c r="H255" s="674" t="n">
        <v>10.8</v>
      </c>
      <c r="I255" s="674" t="n">
        <v>11.28</v>
      </c>
      <c r="J255" s="38" t="n">
        <v>56</v>
      </c>
      <c r="K255" s="39" t="inlineStr">
        <is>
          <t>СК1</t>
        </is>
      </c>
      <c r="L255" s="38" t="n">
        <v>55</v>
      </c>
      <c r="M255" s="823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N255" s="676" t="n"/>
      <c r="O255" s="676" t="n"/>
      <c r="P255" s="676" t="n"/>
      <c r="Q255" s="642" t="n"/>
      <c r="R255" s="40" t="inlineStr"/>
      <c r="S255" s="40" t="inlineStr"/>
      <c r="T255" s="41" t="inlineStr">
        <is>
          <t>кг</t>
        </is>
      </c>
      <c r="U255" s="677" t="n">
        <v>0</v>
      </c>
      <c r="V255" s="678">
        <f>IFERROR(IF(U255="",0,CEILING((U255/$H255),1)*$H255),"")</f>
        <v/>
      </c>
      <c r="W255" s="42">
        <f>IFERROR(IF(V255=0,"",ROUNDUP(V255/H255,0)*0.02175),"")</f>
        <v/>
      </c>
      <c r="X255" s="69" t="inlineStr"/>
      <c r="Y255" s="70" t="inlineStr"/>
      <c r="AC255" s="213" t="inlineStr">
        <is>
          <t>КИ</t>
        </is>
      </c>
    </row>
    <row r="256" ht="27" customHeight="1">
      <c r="A256" s="64" t="inlineStr">
        <is>
          <t>SU001794</t>
        </is>
      </c>
      <c r="B256" s="64" t="inlineStr">
        <is>
          <t>P001794</t>
        </is>
      </c>
      <c r="C256" s="37" t="n">
        <v>4301011316</v>
      </c>
      <c r="D256" s="375" t="n">
        <v>4607091387438</v>
      </c>
      <c r="E256" s="642" t="n"/>
      <c r="F256" s="674" t="n">
        <v>0.5</v>
      </c>
      <c r="G256" s="38" t="n">
        <v>10</v>
      </c>
      <c r="H256" s="674" t="n">
        <v>5</v>
      </c>
      <c r="I256" s="674" t="n">
        <v>5.24</v>
      </c>
      <c r="J256" s="38" t="n">
        <v>120</v>
      </c>
      <c r="K256" s="39" t="inlineStr">
        <is>
          <t>СК1</t>
        </is>
      </c>
      <c r="L256" s="38" t="n">
        <v>55</v>
      </c>
      <c r="M256" s="824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N256" s="676" t="n"/>
      <c r="O256" s="676" t="n"/>
      <c r="P256" s="676" t="n"/>
      <c r="Q256" s="642" t="n"/>
      <c r="R256" s="40" t="inlineStr"/>
      <c r="S256" s="40" t="inlineStr"/>
      <c r="T256" s="41" t="inlineStr">
        <is>
          <t>кг</t>
        </is>
      </c>
      <c r="U256" s="677" t="n">
        <v>0</v>
      </c>
      <c r="V256" s="678">
        <f>IFERROR(IF(U256="",0,CEILING((U256/$H256),1)*$H256),"")</f>
        <v/>
      </c>
      <c r="W256" s="42">
        <f>IFERROR(IF(V256=0,"",ROUNDUP(V256/H256,0)*0.00937),"")</f>
        <v/>
      </c>
      <c r="X256" s="69" t="inlineStr"/>
      <c r="Y256" s="70" t="inlineStr"/>
      <c r="AC256" s="214" t="inlineStr">
        <is>
          <t>КИ</t>
        </is>
      </c>
    </row>
    <row r="257" ht="27" customHeight="1">
      <c r="A257" s="64" t="inlineStr">
        <is>
          <t>SU001795</t>
        </is>
      </c>
      <c r="B257" s="64" t="inlineStr">
        <is>
          <t>P001795</t>
        </is>
      </c>
      <c r="C257" s="37" t="n">
        <v>4301011318</v>
      </c>
      <c r="D257" s="375" t="n">
        <v>4607091387469</v>
      </c>
      <c r="E257" s="642" t="n"/>
      <c r="F257" s="674" t="n">
        <v>0.5</v>
      </c>
      <c r="G257" s="38" t="n">
        <v>10</v>
      </c>
      <c r="H257" s="674" t="n">
        <v>5</v>
      </c>
      <c r="I257" s="674" t="n">
        <v>5.21</v>
      </c>
      <c r="J257" s="38" t="n">
        <v>120</v>
      </c>
      <c r="K257" s="39" t="inlineStr">
        <is>
          <t>СК2</t>
        </is>
      </c>
      <c r="L257" s="38" t="n">
        <v>55</v>
      </c>
      <c r="M257" s="825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N257" s="676" t="n"/>
      <c r="O257" s="676" t="n"/>
      <c r="P257" s="676" t="n"/>
      <c r="Q257" s="642" t="n"/>
      <c r="R257" s="40" t="inlineStr"/>
      <c r="S257" s="40" t="inlineStr"/>
      <c r="T257" s="41" t="inlineStr">
        <is>
          <t>кг</t>
        </is>
      </c>
      <c r="U257" s="677" t="n">
        <v>0</v>
      </c>
      <c r="V257" s="678">
        <f>IFERROR(IF(U257="",0,CEILING((U257/$H257),1)*$H257),"")</f>
        <v/>
      </c>
      <c r="W257" s="42">
        <f>IFERROR(IF(V257=0,"",ROUNDUP(V257/H257,0)*0.00937),"")</f>
        <v/>
      </c>
      <c r="X257" s="69" t="inlineStr"/>
      <c r="Y257" s="70" t="inlineStr"/>
      <c r="AC257" s="215" t="inlineStr">
        <is>
          <t>КИ</t>
        </is>
      </c>
    </row>
    <row r="258">
      <c r="A258" s="383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679" t="n"/>
      <c r="M258" s="680" t="inlineStr">
        <is>
          <t>Итого</t>
        </is>
      </c>
      <c r="N258" s="650" t="n"/>
      <c r="O258" s="650" t="n"/>
      <c r="P258" s="650" t="n"/>
      <c r="Q258" s="650" t="n"/>
      <c r="R258" s="650" t="n"/>
      <c r="S258" s="651" t="n"/>
      <c r="T258" s="43" t="inlineStr">
        <is>
          <t>кор</t>
        </is>
      </c>
      <c r="U258" s="681">
        <f>IFERROR(U251/H251,"0")+IFERROR(U252/H252,"0")+IFERROR(U253/H253,"0")+IFERROR(U254/H254,"0")+IFERROR(U255/H255,"0")+IFERROR(U256/H256,"0")+IFERROR(U257/H257,"0")</f>
        <v/>
      </c>
      <c r="V258" s="681">
        <f>IFERROR(V251/H251,"0")+IFERROR(V252/H252,"0")+IFERROR(V253/H253,"0")+IFERROR(V254/H254,"0")+IFERROR(V255/H255,"0")+IFERROR(V256/H256,"0")+IFERROR(V257/H257,"0")</f>
        <v/>
      </c>
      <c r="W258" s="681">
        <f>IFERROR(IF(W251="",0,W251),"0")+IFERROR(IF(W252="",0,W252),"0")+IFERROR(IF(W253="",0,W253),"0")+IFERROR(IF(W254="",0,W254),"0")+IFERROR(IF(W255="",0,W255),"0")+IFERROR(IF(W256="",0,W256),"0")+IFERROR(IF(W257="",0,W257),"0")</f>
        <v/>
      </c>
      <c r="X258" s="682" t="n"/>
      <c r="Y258" s="682" t="n"/>
    </row>
    <row r="259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679" t="n"/>
      <c r="M259" s="680" t="inlineStr">
        <is>
          <t>Итого</t>
        </is>
      </c>
      <c r="N259" s="650" t="n"/>
      <c r="O259" s="650" t="n"/>
      <c r="P259" s="650" t="n"/>
      <c r="Q259" s="650" t="n"/>
      <c r="R259" s="650" t="n"/>
      <c r="S259" s="651" t="n"/>
      <c r="T259" s="43" t="inlineStr">
        <is>
          <t>кг</t>
        </is>
      </c>
      <c r="U259" s="681">
        <f>IFERROR(SUM(U251:U257),"0")</f>
        <v/>
      </c>
      <c r="V259" s="681">
        <f>IFERROR(SUM(V251:V257),"0")</f>
        <v/>
      </c>
      <c r="W259" s="43" t="n"/>
      <c r="X259" s="682" t="n"/>
      <c r="Y259" s="682" t="n"/>
    </row>
    <row r="260" ht="14.25" customHeight="1">
      <c r="A260" s="374" t="inlineStr">
        <is>
          <t>Копченые колбасы</t>
        </is>
      </c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374" t="n"/>
      <c r="Y260" s="374" t="n"/>
    </row>
    <row r="261" ht="27" customHeight="1">
      <c r="A261" s="64" t="inlineStr">
        <is>
          <t>SU001801</t>
        </is>
      </c>
      <c r="B261" s="64" t="inlineStr">
        <is>
          <t>P003014</t>
        </is>
      </c>
      <c r="C261" s="37" t="n">
        <v>4301031154</v>
      </c>
      <c r="D261" s="375" t="n">
        <v>4607091387292</v>
      </c>
      <c r="E261" s="642" t="n"/>
      <c r="F261" s="674" t="n">
        <v>0.73</v>
      </c>
      <c r="G261" s="38" t="n">
        <v>6</v>
      </c>
      <c r="H261" s="674" t="n">
        <v>4.38</v>
      </c>
      <c r="I261" s="674" t="n">
        <v>4.64</v>
      </c>
      <c r="J261" s="38" t="n">
        <v>156</v>
      </c>
      <c r="K261" s="39" t="inlineStr">
        <is>
          <t>СК2</t>
        </is>
      </c>
      <c r="L261" s="38" t="n">
        <v>45</v>
      </c>
      <c r="M261" s="826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N261" s="676" t="n"/>
      <c r="O261" s="676" t="n"/>
      <c r="P261" s="676" t="n"/>
      <c r="Q261" s="642" t="n"/>
      <c r="R261" s="40" t="inlineStr"/>
      <c r="S261" s="40" t="inlineStr"/>
      <c r="T261" s="41" t="inlineStr">
        <is>
          <t>кг</t>
        </is>
      </c>
      <c r="U261" s="677" t="n">
        <v>0</v>
      </c>
      <c r="V261" s="678">
        <f>IFERROR(IF(U261="",0,CEILING((U261/$H261),1)*$H261),"")</f>
        <v/>
      </c>
      <c r="W261" s="42">
        <f>IFERROR(IF(V261=0,"",ROUNDUP(V261/H261,0)*0.00753),"")</f>
        <v/>
      </c>
      <c r="X261" s="69" t="inlineStr"/>
      <c r="Y261" s="70" t="inlineStr"/>
      <c r="AC261" s="216" t="inlineStr">
        <is>
          <t>КИ</t>
        </is>
      </c>
    </row>
    <row r="262" ht="27" customHeight="1">
      <c r="A262" s="64" t="inlineStr">
        <is>
          <t>SU000231</t>
        </is>
      </c>
      <c r="B262" s="64" t="inlineStr">
        <is>
          <t>P003015</t>
        </is>
      </c>
      <c r="C262" s="37" t="n">
        <v>4301031155</v>
      </c>
      <c r="D262" s="375" t="n">
        <v>4607091387315</v>
      </c>
      <c r="E262" s="642" t="n"/>
      <c r="F262" s="674" t="n">
        <v>0.7</v>
      </c>
      <c r="G262" s="38" t="n">
        <v>4</v>
      </c>
      <c r="H262" s="674" t="n">
        <v>2.8</v>
      </c>
      <c r="I262" s="674" t="n">
        <v>3.048</v>
      </c>
      <c r="J262" s="38" t="n">
        <v>156</v>
      </c>
      <c r="K262" s="39" t="inlineStr">
        <is>
          <t>СК2</t>
        </is>
      </c>
      <c r="L262" s="38" t="n">
        <v>45</v>
      </c>
      <c r="M262" s="827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N262" s="676" t="n"/>
      <c r="O262" s="676" t="n"/>
      <c r="P262" s="676" t="n"/>
      <c r="Q262" s="642" t="n"/>
      <c r="R262" s="40" t="inlineStr"/>
      <c r="S262" s="40" t="inlineStr"/>
      <c r="T262" s="41" t="inlineStr">
        <is>
          <t>кг</t>
        </is>
      </c>
      <c r="U262" s="677" t="n">
        <v>0</v>
      </c>
      <c r="V262" s="678">
        <f>IFERROR(IF(U262="",0,CEILING((U262/$H262),1)*$H262),"")</f>
        <v/>
      </c>
      <c r="W262" s="42">
        <f>IFERROR(IF(V262=0,"",ROUNDUP(V262/H262,0)*0.00753),"")</f>
        <v/>
      </c>
      <c r="X262" s="69" t="inlineStr"/>
      <c r="Y262" s="70" t="inlineStr"/>
      <c r="AC262" s="217" t="inlineStr">
        <is>
          <t>КИ</t>
        </is>
      </c>
    </row>
    <row r="263">
      <c r="A263" s="383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679" t="n"/>
      <c r="M263" s="680" t="inlineStr">
        <is>
          <t>Итого</t>
        </is>
      </c>
      <c r="N263" s="650" t="n"/>
      <c r="O263" s="650" t="n"/>
      <c r="P263" s="650" t="n"/>
      <c r="Q263" s="650" t="n"/>
      <c r="R263" s="650" t="n"/>
      <c r="S263" s="651" t="n"/>
      <c r="T263" s="43" t="inlineStr">
        <is>
          <t>кор</t>
        </is>
      </c>
      <c r="U263" s="681">
        <f>IFERROR(U261/H261,"0")+IFERROR(U262/H262,"0")</f>
        <v/>
      </c>
      <c r="V263" s="681">
        <f>IFERROR(V261/H261,"0")+IFERROR(V262/H262,"0")</f>
        <v/>
      </c>
      <c r="W263" s="681">
        <f>IFERROR(IF(W261="",0,W261),"0")+IFERROR(IF(W262="",0,W262),"0")</f>
        <v/>
      </c>
      <c r="X263" s="682" t="n"/>
      <c r="Y263" s="682" t="n"/>
    </row>
    <row r="264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679" t="n"/>
      <c r="M264" s="680" t="inlineStr">
        <is>
          <t>Итого</t>
        </is>
      </c>
      <c r="N264" s="650" t="n"/>
      <c r="O264" s="650" t="n"/>
      <c r="P264" s="650" t="n"/>
      <c r="Q264" s="650" t="n"/>
      <c r="R264" s="650" t="n"/>
      <c r="S264" s="651" t="n"/>
      <c r="T264" s="43" t="inlineStr">
        <is>
          <t>кг</t>
        </is>
      </c>
      <c r="U264" s="681">
        <f>IFERROR(SUM(U261:U262),"0")</f>
        <v/>
      </c>
      <c r="V264" s="681">
        <f>IFERROR(SUM(V261:V262),"0")</f>
        <v/>
      </c>
      <c r="W264" s="43" t="n"/>
      <c r="X264" s="682" t="n"/>
      <c r="Y264" s="682" t="n"/>
    </row>
    <row r="265" ht="16.5" customHeight="1">
      <c r="A265" s="373" t="inlineStr">
        <is>
          <t>Бавария</t>
        </is>
      </c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373" t="n"/>
      <c r="Y265" s="373" t="n"/>
    </row>
    <row r="266" ht="14.25" customHeight="1">
      <c r="A266" s="374" t="inlineStr">
        <is>
          <t>Копченые колбасы</t>
        </is>
      </c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374" t="n"/>
      <c r="Y266" s="374" t="n"/>
    </row>
    <row r="267" ht="37.5" customHeight="1">
      <c r="A267" s="64" t="inlineStr">
        <is>
          <t>SU002061</t>
        </is>
      </c>
      <c r="B267" s="64" t="inlineStr">
        <is>
          <t>P002232</t>
        </is>
      </c>
      <c r="C267" s="37" t="n">
        <v>4301030368</v>
      </c>
      <c r="D267" s="375" t="n">
        <v>4607091383232</v>
      </c>
      <c r="E267" s="642" t="n"/>
      <c r="F267" s="674" t="n">
        <v>0.28</v>
      </c>
      <c r="G267" s="38" t="n">
        <v>6</v>
      </c>
      <c r="H267" s="674" t="n">
        <v>1.68</v>
      </c>
      <c r="I267" s="674" t="n">
        <v>2.6</v>
      </c>
      <c r="J267" s="38" t="n">
        <v>156</v>
      </c>
      <c r="K267" s="39" t="inlineStr">
        <is>
          <t>СК2</t>
        </is>
      </c>
      <c r="L267" s="38" t="n">
        <v>35</v>
      </c>
      <c r="M267" s="828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/>
      </c>
      <c r="N267" s="676" t="n"/>
      <c r="O267" s="676" t="n"/>
      <c r="P267" s="676" t="n"/>
      <c r="Q267" s="642" t="n"/>
      <c r="R267" s="40" t="inlineStr"/>
      <c r="S267" s="40" t="inlineStr"/>
      <c r="T267" s="41" t="inlineStr">
        <is>
          <t>кг</t>
        </is>
      </c>
      <c r="U267" s="677" t="n">
        <v>0</v>
      </c>
      <c r="V267" s="678">
        <f>IFERROR(IF(U267="",0,CEILING((U267/$H267),1)*$H267),"")</f>
        <v/>
      </c>
      <c r="W267" s="42">
        <f>IFERROR(IF(V267=0,"",ROUNDUP(V267/H267,0)*0.00753),"")</f>
        <v/>
      </c>
      <c r="X267" s="69" t="inlineStr"/>
      <c r="Y267" s="70" t="inlineStr"/>
      <c r="AC267" s="218" t="inlineStr">
        <is>
          <t>КИ</t>
        </is>
      </c>
    </row>
    <row r="268" ht="27" customHeight="1">
      <c r="A268" s="64" t="inlineStr">
        <is>
          <t>SU002252</t>
        </is>
      </c>
      <c r="B268" s="64" t="inlineStr">
        <is>
          <t>P002461</t>
        </is>
      </c>
      <c r="C268" s="37" t="n">
        <v>4301031066</v>
      </c>
      <c r="D268" s="375" t="n">
        <v>4607091383836</v>
      </c>
      <c r="E268" s="642" t="n"/>
      <c r="F268" s="674" t="n">
        <v>0.3</v>
      </c>
      <c r="G268" s="38" t="n">
        <v>6</v>
      </c>
      <c r="H268" s="674" t="n">
        <v>1.8</v>
      </c>
      <c r="I268" s="674" t="n">
        <v>2.048</v>
      </c>
      <c r="J268" s="38" t="n">
        <v>156</v>
      </c>
      <c r="K268" s="39" t="inlineStr">
        <is>
          <t>СК2</t>
        </is>
      </c>
      <c r="L268" s="38" t="n">
        <v>40</v>
      </c>
      <c r="M268" s="829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N268" s="676" t="n"/>
      <c r="O268" s="676" t="n"/>
      <c r="P268" s="676" t="n"/>
      <c r="Q268" s="642" t="n"/>
      <c r="R268" s="40" t="inlineStr"/>
      <c r="S268" s="40" t="inlineStr"/>
      <c r="T268" s="41" t="inlineStr">
        <is>
          <t>кг</t>
        </is>
      </c>
      <c r="U268" s="677" t="n">
        <v>0</v>
      </c>
      <c r="V268" s="678">
        <f>IFERROR(IF(U268="",0,CEILING((U268/$H268),1)*$H268),"")</f>
        <v/>
      </c>
      <c r="W268" s="42">
        <f>IFERROR(IF(V268=0,"",ROUNDUP(V268/H268,0)*0.00753),"")</f>
        <v/>
      </c>
      <c r="X268" s="69" t="inlineStr"/>
      <c r="Y268" s="70" t="inlineStr"/>
      <c r="AC268" s="219" t="inlineStr">
        <is>
          <t>КИ</t>
        </is>
      </c>
    </row>
    <row r="269">
      <c r="A269" s="383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679" t="n"/>
      <c r="M269" s="680" t="inlineStr">
        <is>
          <t>Итого</t>
        </is>
      </c>
      <c r="N269" s="650" t="n"/>
      <c r="O269" s="650" t="n"/>
      <c r="P269" s="650" t="n"/>
      <c r="Q269" s="650" t="n"/>
      <c r="R269" s="650" t="n"/>
      <c r="S269" s="651" t="n"/>
      <c r="T269" s="43" t="inlineStr">
        <is>
          <t>кор</t>
        </is>
      </c>
      <c r="U269" s="681">
        <f>IFERROR(U267/H267,"0")+IFERROR(U268/H268,"0")</f>
        <v/>
      </c>
      <c r="V269" s="681">
        <f>IFERROR(V267/H267,"0")+IFERROR(V268/H268,"0")</f>
        <v/>
      </c>
      <c r="W269" s="681">
        <f>IFERROR(IF(W267="",0,W267),"0")+IFERROR(IF(W268="",0,W268),"0")</f>
        <v/>
      </c>
      <c r="X269" s="682" t="n"/>
      <c r="Y269" s="682" t="n"/>
    </row>
    <row r="270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679" t="n"/>
      <c r="M270" s="680" t="inlineStr">
        <is>
          <t>Итого</t>
        </is>
      </c>
      <c r="N270" s="650" t="n"/>
      <c r="O270" s="650" t="n"/>
      <c r="P270" s="650" t="n"/>
      <c r="Q270" s="650" t="n"/>
      <c r="R270" s="650" t="n"/>
      <c r="S270" s="651" t="n"/>
      <c r="T270" s="43" t="inlineStr">
        <is>
          <t>кг</t>
        </is>
      </c>
      <c r="U270" s="681">
        <f>IFERROR(SUM(U267:U268),"0")</f>
        <v/>
      </c>
      <c r="V270" s="681">
        <f>IFERROR(SUM(V267:V268),"0")</f>
        <v/>
      </c>
      <c r="W270" s="43" t="n"/>
      <c r="X270" s="682" t="n"/>
      <c r="Y270" s="682" t="n"/>
    </row>
    <row r="271" ht="14.25" customHeight="1">
      <c r="A271" s="374" t="inlineStr">
        <is>
          <t>Сосиски</t>
        </is>
      </c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374" t="n"/>
      <c r="Y271" s="374" t="n"/>
    </row>
    <row r="272" ht="27" customHeight="1">
      <c r="A272" s="64" t="inlineStr">
        <is>
          <t>SU001835</t>
        </is>
      </c>
      <c r="B272" s="64" t="inlineStr">
        <is>
          <t>P002202</t>
        </is>
      </c>
      <c r="C272" s="37" t="n">
        <v>4301051142</v>
      </c>
      <c r="D272" s="375" t="n">
        <v>4607091387919</v>
      </c>
      <c r="E272" s="642" t="n"/>
      <c r="F272" s="674" t="n">
        <v>1.35</v>
      </c>
      <c r="G272" s="38" t="n">
        <v>6</v>
      </c>
      <c r="H272" s="674" t="n">
        <v>8.1</v>
      </c>
      <c r="I272" s="674" t="n">
        <v>8.664</v>
      </c>
      <c r="J272" s="38" t="n">
        <v>56</v>
      </c>
      <c r="K272" s="39" t="inlineStr">
        <is>
          <t>СК2</t>
        </is>
      </c>
      <c r="L272" s="38" t="n">
        <v>45</v>
      </c>
      <c r="M272" s="830">
        <f>HYPERLINK("https://abi.ru/products/Охлажденные/Стародворье/Бавария/Сосиски/P002202/","Сосиски Баварские Бавария Весовые П/а мгс Стародворье")</f>
        <v/>
      </c>
      <c r="N272" s="676" t="n"/>
      <c r="O272" s="676" t="n"/>
      <c r="P272" s="676" t="n"/>
      <c r="Q272" s="642" t="n"/>
      <c r="R272" s="40" t="inlineStr"/>
      <c r="S272" s="40" t="inlineStr"/>
      <c r="T272" s="41" t="inlineStr">
        <is>
          <t>кг</t>
        </is>
      </c>
      <c r="U272" s="677" t="n">
        <v>0</v>
      </c>
      <c r="V272" s="678">
        <f>IFERROR(IF(U272="",0,CEILING((U272/$H272),1)*$H272),"")</f>
        <v/>
      </c>
      <c r="W272" s="42">
        <f>IFERROR(IF(V272=0,"",ROUNDUP(V272/H272,0)*0.02175),"")</f>
        <v/>
      </c>
      <c r="X272" s="69" t="inlineStr"/>
      <c r="Y272" s="70" t="inlineStr"/>
      <c r="AC272" s="220" t="inlineStr">
        <is>
          <t>КИ</t>
        </is>
      </c>
    </row>
    <row r="273" ht="27" customHeight="1">
      <c r="A273" s="64" t="inlineStr">
        <is>
          <t>SU001836</t>
        </is>
      </c>
      <c r="B273" s="64" t="inlineStr">
        <is>
          <t>P002201</t>
        </is>
      </c>
      <c r="C273" s="37" t="n">
        <v>4301051109</v>
      </c>
      <c r="D273" s="375" t="n">
        <v>4607091383942</v>
      </c>
      <c r="E273" s="642" t="n"/>
      <c r="F273" s="674" t="n">
        <v>0.42</v>
      </c>
      <c r="G273" s="38" t="n">
        <v>6</v>
      </c>
      <c r="H273" s="674" t="n">
        <v>2.52</v>
      </c>
      <c r="I273" s="674" t="n">
        <v>2.792</v>
      </c>
      <c r="J273" s="38" t="n">
        <v>156</v>
      </c>
      <c r="K273" s="39" t="inlineStr">
        <is>
          <t>СК3</t>
        </is>
      </c>
      <c r="L273" s="38" t="n">
        <v>45</v>
      </c>
      <c r="M273" s="831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N273" s="676" t="n"/>
      <c r="O273" s="676" t="n"/>
      <c r="P273" s="676" t="n"/>
      <c r="Q273" s="642" t="n"/>
      <c r="R273" s="40" t="inlineStr"/>
      <c r="S273" s="40" t="inlineStr"/>
      <c r="T273" s="41" t="inlineStr">
        <is>
          <t>кг</t>
        </is>
      </c>
      <c r="U273" s="677" t="n">
        <v>0</v>
      </c>
      <c r="V273" s="678">
        <f>IFERROR(IF(U273="",0,CEILING((U273/$H273),1)*$H273),"")</f>
        <v/>
      </c>
      <c r="W273" s="42">
        <f>IFERROR(IF(V273=0,"",ROUNDUP(V273/H273,0)*0.00753),"")</f>
        <v/>
      </c>
      <c r="X273" s="69" t="inlineStr"/>
      <c r="Y273" s="70" t="inlineStr"/>
      <c r="AC273" s="221" t="inlineStr">
        <is>
          <t>КИ</t>
        </is>
      </c>
    </row>
    <row r="274" ht="27" customHeight="1">
      <c r="A274" s="64" t="inlineStr">
        <is>
          <t>SU001970</t>
        </is>
      </c>
      <c r="B274" s="64" t="inlineStr">
        <is>
          <t>P001837</t>
        </is>
      </c>
      <c r="C274" s="37" t="n">
        <v>4301051300</v>
      </c>
      <c r="D274" s="375" t="n">
        <v>4607091383959</v>
      </c>
      <c r="E274" s="642" t="n"/>
      <c r="F274" s="674" t="n">
        <v>0.42</v>
      </c>
      <c r="G274" s="38" t="n">
        <v>6</v>
      </c>
      <c r="H274" s="674" t="n">
        <v>2.52</v>
      </c>
      <c r="I274" s="674" t="n">
        <v>2.78</v>
      </c>
      <c r="J274" s="38" t="n">
        <v>156</v>
      </c>
      <c r="K274" s="39" t="inlineStr">
        <is>
          <t>СК2</t>
        </is>
      </c>
      <c r="L274" s="38" t="n">
        <v>35</v>
      </c>
      <c r="M274" s="832">
        <f>HYPERLINK("https://abi.ru/products/Охлажденные/Стародворье/Бавария/Сосиски/P001837/","Сосиски Баварские с сыром Бавария Фикс.вес 0,42 ц/о Стародворье")</f>
        <v/>
      </c>
      <c r="N274" s="676" t="n"/>
      <c r="O274" s="676" t="n"/>
      <c r="P274" s="676" t="n"/>
      <c r="Q274" s="642" t="n"/>
      <c r="R274" s="40" t="inlineStr"/>
      <c r="S274" s="40" t="inlineStr"/>
      <c r="T274" s="41" t="inlineStr">
        <is>
          <t>кг</t>
        </is>
      </c>
      <c r="U274" s="677" t="n">
        <v>0</v>
      </c>
      <c r="V274" s="678">
        <f>IFERROR(IF(U274="",0,CEILING((U274/$H274),1)*$H274),"")</f>
        <v/>
      </c>
      <c r="W274" s="42">
        <f>IFERROR(IF(V274=0,"",ROUNDUP(V274/H274,0)*0.00753),"")</f>
        <v/>
      </c>
      <c r="X274" s="69" t="inlineStr"/>
      <c r="Y274" s="70" t="inlineStr"/>
      <c r="AC274" s="222" t="inlineStr">
        <is>
          <t>КИ</t>
        </is>
      </c>
    </row>
    <row r="275">
      <c r="A275" s="383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679" t="n"/>
      <c r="M275" s="680" t="inlineStr">
        <is>
          <t>Итого</t>
        </is>
      </c>
      <c r="N275" s="650" t="n"/>
      <c r="O275" s="650" t="n"/>
      <c r="P275" s="650" t="n"/>
      <c r="Q275" s="650" t="n"/>
      <c r="R275" s="650" t="n"/>
      <c r="S275" s="651" t="n"/>
      <c r="T275" s="43" t="inlineStr">
        <is>
          <t>кор</t>
        </is>
      </c>
      <c r="U275" s="681">
        <f>IFERROR(U272/H272,"0")+IFERROR(U273/H273,"0")+IFERROR(U274/H274,"0")</f>
        <v/>
      </c>
      <c r="V275" s="681">
        <f>IFERROR(V272/H272,"0")+IFERROR(V273/H273,"0")+IFERROR(V274/H274,"0")</f>
        <v/>
      </c>
      <c r="W275" s="681">
        <f>IFERROR(IF(W272="",0,W272),"0")+IFERROR(IF(W273="",0,W273),"0")+IFERROR(IF(W274="",0,W274),"0")</f>
        <v/>
      </c>
      <c r="X275" s="682" t="n"/>
      <c r="Y275" s="682" t="n"/>
    </row>
    <row r="276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679" t="n"/>
      <c r="M276" s="680" t="inlineStr">
        <is>
          <t>Итого</t>
        </is>
      </c>
      <c r="N276" s="650" t="n"/>
      <c r="O276" s="650" t="n"/>
      <c r="P276" s="650" t="n"/>
      <c r="Q276" s="650" t="n"/>
      <c r="R276" s="650" t="n"/>
      <c r="S276" s="651" t="n"/>
      <c r="T276" s="43" t="inlineStr">
        <is>
          <t>кг</t>
        </is>
      </c>
      <c r="U276" s="681">
        <f>IFERROR(SUM(U272:U274),"0")</f>
        <v/>
      </c>
      <c r="V276" s="681">
        <f>IFERROR(SUM(V272:V274),"0")</f>
        <v/>
      </c>
      <c r="W276" s="43" t="n"/>
      <c r="X276" s="682" t="n"/>
      <c r="Y276" s="682" t="n"/>
    </row>
    <row r="277" ht="14.25" customHeight="1">
      <c r="A277" s="374" t="inlineStr">
        <is>
          <t>Сардельки</t>
        </is>
      </c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374" t="n"/>
      <c r="Y277" s="374" t="n"/>
    </row>
    <row r="278" ht="27" customHeight="1">
      <c r="A278" s="64" t="inlineStr">
        <is>
          <t>SU002173</t>
        </is>
      </c>
      <c r="B278" s="64" t="inlineStr">
        <is>
          <t>P002361</t>
        </is>
      </c>
      <c r="C278" s="37" t="n">
        <v>4301060324</v>
      </c>
      <c r="D278" s="375" t="n">
        <v>4607091388831</v>
      </c>
      <c r="E278" s="642" t="n"/>
      <c r="F278" s="674" t="n">
        <v>0.38</v>
      </c>
      <c r="G278" s="38" t="n">
        <v>6</v>
      </c>
      <c r="H278" s="674" t="n">
        <v>2.28</v>
      </c>
      <c r="I278" s="674" t="n">
        <v>2.552</v>
      </c>
      <c r="J278" s="38" t="n">
        <v>156</v>
      </c>
      <c r="K278" s="39" t="inlineStr">
        <is>
          <t>СК2</t>
        </is>
      </c>
      <c r="L278" s="38" t="n">
        <v>40</v>
      </c>
      <c r="M278" s="833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N278" s="676" t="n"/>
      <c r="O278" s="676" t="n"/>
      <c r="P278" s="676" t="n"/>
      <c r="Q278" s="642" t="n"/>
      <c r="R278" s="40" t="inlineStr"/>
      <c r="S278" s="40" t="inlineStr"/>
      <c r="T278" s="41" t="inlineStr">
        <is>
          <t>кг</t>
        </is>
      </c>
      <c r="U278" s="677" t="n">
        <v>0</v>
      </c>
      <c r="V278" s="678">
        <f>IFERROR(IF(U278="",0,CEILING((U278/$H278),1)*$H278),"")</f>
        <v/>
      </c>
      <c r="W278" s="42">
        <f>IFERROR(IF(V278=0,"",ROUNDUP(V278/H278,0)*0.00753),"")</f>
        <v/>
      </c>
      <c r="X278" s="69" t="inlineStr"/>
      <c r="Y278" s="70" t="inlineStr"/>
      <c r="AC278" s="223" t="inlineStr">
        <is>
          <t>КИ</t>
        </is>
      </c>
    </row>
    <row r="279">
      <c r="A279" s="383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679" t="n"/>
      <c r="M279" s="680" t="inlineStr">
        <is>
          <t>Итого</t>
        </is>
      </c>
      <c r="N279" s="650" t="n"/>
      <c r="O279" s="650" t="n"/>
      <c r="P279" s="650" t="n"/>
      <c r="Q279" s="650" t="n"/>
      <c r="R279" s="650" t="n"/>
      <c r="S279" s="651" t="n"/>
      <c r="T279" s="43" t="inlineStr">
        <is>
          <t>кор</t>
        </is>
      </c>
      <c r="U279" s="681">
        <f>IFERROR(U278/H278,"0")</f>
        <v/>
      </c>
      <c r="V279" s="681">
        <f>IFERROR(V278/H278,"0")</f>
        <v/>
      </c>
      <c r="W279" s="681">
        <f>IFERROR(IF(W278="",0,W278),"0")</f>
        <v/>
      </c>
      <c r="X279" s="682" t="n"/>
      <c r="Y279" s="682" t="n"/>
    </row>
    <row r="280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679" t="n"/>
      <c r="M280" s="680" t="inlineStr">
        <is>
          <t>Итого</t>
        </is>
      </c>
      <c r="N280" s="650" t="n"/>
      <c r="O280" s="650" t="n"/>
      <c r="P280" s="650" t="n"/>
      <c r="Q280" s="650" t="n"/>
      <c r="R280" s="650" t="n"/>
      <c r="S280" s="651" t="n"/>
      <c r="T280" s="43" t="inlineStr">
        <is>
          <t>кг</t>
        </is>
      </c>
      <c r="U280" s="681">
        <f>IFERROR(SUM(U278:U278),"0")</f>
        <v/>
      </c>
      <c r="V280" s="681">
        <f>IFERROR(SUM(V278:V278),"0")</f>
        <v/>
      </c>
      <c r="W280" s="43" t="n"/>
      <c r="X280" s="682" t="n"/>
      <c r="Y280" s="682" t="n"/>
    </row>
    <row r="281" ht="14.25" customHeight="1">
      <c r="A281" s="374" t="inlineStr">
        <is>
          <t>Сырокопченые колбасы</t>
        </is>
      </c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374" t="n"/>
      <c r="Y281" s="374" t="n"/>
    </row>
    <row r="282" ht="27" customHeight="1">
      <c r="A282" s="64" t="inlineStr">
        <is>
          <t>SU002092</t>
        </is>
      </c>
      <c r="B282" s="64" t="inlineStr">
        <is>
          <t>P002290</t>
        </is>
      </c>
      <c r="C282" s="37" t="n">
        <v>4301032015</v>
      </c>
      <c r="D282" s="375" t="n">
        <v>4607091383102</v>
      </c>
      <c r="E282" s="642" t="n"/>
      <c r="F282" s="674" t="n">
        <v>0.17</v>
      </c>
      <c r="G282" s="38" t="n">
        <v>15</v>
      </c>
      <c r="H282" s="674" t="n">
        <v>2.55</v>
      </c>
      <c r="I282" s="674" t="n">
        <v>2.975</v>
      </c>
      <c r="J282" s="38" t="n">
        <v>156</v>
      </c>
      <c r="K282" s="39" t="inlineStr">
        <is>
          <t>АК</t>
        </is>
      </c>
      <c r="L282" s="38" t="n">
        <v>180</v>
      </c>
      <c r="M282" s="834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N282" s="676" t="n"/>
      <c r="O282" s="676" t="n"/>
      <c r="P282" s="676" t="n"/>
      <c r="Q282" s="642" t="n"/>
      <c r="R282" s="40" t="inlineStr"/>
      <c r="S282" s="40" t="inlineStr"/>
      <c r="T282" s="41" t="inlineStr">
        <is>
          <t>кг</t>
        </is>
      </c>
      <c r="U282" s="677" t="n">
        <v>0</v>
      </c>
      <c r="V282" s="678">
        <f>IFERROR(IF(U282="",0,CEILING((U282/$H282),1)*$H282),"")</f>
        <v/>
      </c>
      <c r="W282" s="42">
        <f>IFERROR(IF(V282=0,"",ROUNDUP(V282/H282,0)*0.00753),"")</f>
        <v/>
      </c>
      <c r="X282" s="69" t="inlineStr"/>
      <c r="Y282" s="70" t="inlineStr"/>
      <c r="AC282" s="224" t="inlineStr">
        <is>
          <t>КИ</t>
        </is>
      </c>
    </row>
    <row r="283">
      <c r="A283" s="383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679" t="n"/>
      <c r="M283" s="680" t="inlineStr">
        <is>
          <t>Итого</t>
        </is>
      </c>
      <c r="N283" s="650" t="n"/>
      <c r="O283" s="650" t="n"/>
      <c r="P283" s="650" t="n"/>
      <c r="Q283" s="650" t="n"/>
      <c r="R283" s="650" t="n"/>
      <c r="S283" s="651" t="n"/>
      <c r="T283" s="43" t="inlineStr">
        <is>
          <t>кор</t>
        </is>
      </c>
      <c r="U283" s="681">
        <f>IFERROR(U282/H282,"0")</f>
        <v/>
      </c>
      <c r="V283" s="681">
        <f>IFERROR(V282/H282,"0")</f>
        <v/>
      </c>
      <c r="W283" s="681">
        <f>IFERROR(IF(W282="",0,W282),"0")</f>
        <v/>
      </c>
      <c r="X283" s="682" t="n"/>
      <c r="Y283" s="682" t="n"/>
    </row>
    <row r="284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679" t="n"/>
      <c r="M284" s="680" t="inlineStr">
        <is>
          <t>Итого</t>
        </is>
      </c>
      <c r="N284" s="650" t="n"/>
      <c r="O284" s="650" t="n"/>
      <c r="P284" s="650" t="n"/>
      <c r="Q284" s="650" t="n"/>
      <c r="R284" s="650" t="n"/>
      <c r="S284" s="651" t="n"/>
      <c r="T284" s="43" t="inlineStr">
        <is>
          <t>кг</t>
        </is>
      </c>
      <c r="U284" s="681">
        <f>IFERROR(SUM(U282:U282),"0")</f>
        <v/>
      </c>
      <c r="V284" s="681">
        <f>IFERROR(SUM(V282:V282),"0")</f>
        <v/>
      </c>
      <c r="W284" s="43" t="n"/>
      <c r="X284" s="682" t="n"/>
      <c r="Y284" s="682" t="n"/>
    </row>
    <row r="285" ht="27.75" customHeight="1">
      <c r="A285" s="372" t="inlineStr">
        <is>
          <t>Особый рецепт</t>
        </is>
      </c>
      <c r="B285" s="673" t="n"/>
      <c r="C285" s="673" t="n"/>
      <c r="D285" s="673" t="n"/>
      <c r="E285" s="673" t="n"/>
      <c r="F285" s="673" t="n"/>
      <c r="G285" s="673" t="n"/>
      <c r="H285" s="673" t="n"/>
      <c r="I285" s="673" t="n"/>
      <c r="J285" s="673" t="n"/>
      <c r="K285" s="673" t="n"/>
      <c r="L285" s="673" t="n"/>
      <c r="M285" s="673" t="n"/>
      <c r="N285" s="673" t="n"/>
      <c r="O285" s="673" t="n"/>
      <c r="P285" s="673" t="n"/>
      <c r="Q285" s="673" t="n"/>
      <c r="R285" s="673" t="n"/>
      <c r="S285" s="673" t="n"/>
      <c r="T285" s="673" t="n"/>
      <c r="U285" s="673" t="n"/>
      <c r="V285" s="673" t="n"/>
      <c r="W285" s="673" t="n"/>
      <c r="X285" s="55" t="n"/>
      <c r="Y285" s="55" t="n"/>
    </row>
    <row r="286" ht="16.5" customHeight="1">
      <c r="A286" s="373" t="inlineStr">
        <is>
          <t>Особая</t>
        </is>
      </c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373" t="n"/>
      <c r="Y286" s="373" t="n"/>
    </row>
    <row r="287" ht="14.25" customHeight="1">
      <c r="A287" s="374" t="inlineStr">
        <is>
          <t>Вареные колбасы</t>
        </is>
      </c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374" t="n"/>
      <c r="Y287" s="374" t="n"/>
    </row>
    <row r="288" ht="27" customHeight="1">
      <c r="A288" s="64" t="inlineStr">
        <is>
          <t>SU000251</t>
        </is>
      </c>
      <c r="B288" s="64" t="inlineStr">
        <is>
          <t>P002584</t>
        </is>
      </c>
      <c r="C288" s="37" t="n">
        <v>4301011339</v>
      </c>
      <c r="D288" s="375" t="n">
        <v>4607091383997</v>
      </c>
      <c r="E288" s="642" t="n"/>
      <c r="F288" s="674" t="n">
        <v>2.5</v>
      </c>
      <c r="G288" s="38" t="n">
        <v>6</v>
      </c>
      <c r="H288" s="674" t="n">
        <v>15</v>
      </c>
      <c r="I288" s="674" t="n">
        <v>15.48</v>
      </c>
      <c r="J288" s="38" t="n">
        <v>48</v>
      </c>
      <c r="K288" s="39" t="inlineStr">
        <is>
          <t>СК2</t>
        </is>
      </c>
      <c r="L288" s="38" t="n">
        <v>60</v>
      </c>
      <c r="M288" s="835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N288" s="676" t="n"/>
      <c r="O288" s="676" t="n"/>
      <c r="P288" s="676" t="n"/>
      <c r="Q288" s="642" t="n"/>
      <c r="R288" s="40" t="inlineStr"/>
      <c r="S288" s="40" t="inlineStr"/>
      <c r="T288" s="41" t="inlineStr">
        <is>
          <t>кг</t>
        </is>
      </c>
      <c r="U288" s="677" t="n">
        <v>1800</v>
      </c>
      <c r="V288" s="678">
        <f>IFERROR(IF(U288="",0,CEILING((U288/$H288),1)*$H288),"")</f>
        <v/>
      </c>
      <c r="W288" s="42">
        <f>IFERROR(IF(V288=0,"",ROUNDUP(V288/H288,0)*0.02175),"")</f>
        <v/>
      </c>
      <c r="X288" s="69" t="inlineStr"/>
      <c r="Y288" s="70" t="inlineStr"/>
      <c r="AC288" s="225" t="inlineStr">
        <is>
          <t>КИ</t>
        </is>
      </c>
    </row>
    <row r="289" ht="27" customHeight="1">
      <c r="A289" s="64" t="inlineStr">
        <is>
          <t>SU000251</t>
        </is>
      </c>
      <c r="B289" s="64" t="inlineStr">
        <is>
          <t>P002581</t>
        </is>
      </c>
      <c r="C289" s="37" t="n">
        <v>4301011239</v>
      </c>
      <c r="D289" s="375" t="n">
        <v>4607091383997</v>
      </c>
      <c r="E289" s="642" t="n"/>
      <c r="F289" s="674" t="n">
        <v>2.5</v>
      </c>
      <c r="G289" s="38" t="n">
        <v>6</v>
      </c>
      <c r="H289" s="674" t="n">
        <v>15</v>
      </c>
      <c r="I289" s="674" t="n">
        <v>15.48</v>
      </c>
      <c r="J289" s="38" t="n">
        <v>48</v>
      </c>
      <c r="K289" s="39" t="inlineStr">
        <is>
          <t>ВЗ</t>
        </is>
      </c>
      <c r="L289" s="38" t="n">
        <v>60</v>
      </c>
      <c r="M289" s="836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N289" s="676" t="n"/>
      <c r="O289" s="676" t="n"/>
      <c r="P289" s="676" t="n"/>
      <c r="Q289" s="642" t="n"/>
      <c r="R289" s="40" t="inlineStr"/>
      <c r="S289" s="40" t="inlineStr"/>
      <c r="T289" s="41" t="inlineStr">
        <is>
          <t>кг</t>
        </is>
      </c>
      <c r="U289" s="677" t="n">
        <v>0</v>
      </c>
      <c r="V289" s="678">
        <f>IFERROR(IF(U289="",0,CEILING((U289/$H289),1)*$H289),"")</f>
        <v/>
      </c>
      <c r="W289" s="42">
        <f>IFERROR(IF(V289=0,"",ROUNDUP(V289/H289,0)*0.02039),"")</f>
        <v/>
      </c>
      <c r="X289" s="69" t="inlineStr"/>
      <c r="Y289" s="70" t="inlineStr"/>
      <c r="AC289" s="226" t="inlineStr">
        <is>
          <t>КИ</t>
        </is>
      </c>
    </row>
    <row r="290" ht="27" customHeight="1">
      <c r="A290" s="64" t="inlineStr">
        <is>
          <t>SU001578</t>
        </is>
      </c>
      <c r="B290" s="64" t="inlineStr">
        <is>
          <t>P002562</t>
        </is>
      </c>
      <c r="C290" s="37" t="n">
        <v>4301011326</v>
      </c>
      <c r="D290" s="375" t="n">
        <v>4607091384130</v>
      </c>
      <c r="E290" s="642" t="n"/>
      <c r="F290" s="674" t="n">
        <v>2.5</v>
      </c>
      <c r="G290" s="38" t="n">
        <v>6</v>
      </c>
      <c r="H290" s="674" t="n">
        <v>15</v>
      </c>
      <c r="I290" s="674" t="n">
        <v>15.48</v>
      </c>
      <c r="J290" s="38" t="n">
        <v>48</v>
      </c>
      <c r="K290" s="39" t="inlineStr">
        <is>
          <t>СК2</t>
        </is>
      </c>
      <c r="L290" s="38" t="n">
        <v>60</v>
      </c>
      <c r="M290" s="837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N290" s="676" t="n"/>
      <c r="O290" s="676" t="n"/>
      <c r="P290" s="676" t="n"/>
      <c r="Q290" s="642" t="n"/>
      <c r="R290" s="40" t="inlineStr"/>
      <c r="S290" s="40" t="inlineStr"/>
      <c r="T290" s="41" t="inlineStr">
        <is>
          <t>кг</t>
        </is>
      </c>
      <c r="U290" s="677" t="n">
        <v>1500</v>
      </c>
      <c r="V290" s="678">
        <f>IFERROR(IF(U290="",0,CEILING((U290/$H290),1)*$H290),"")</f>
        <v/>
      </c>
      <c r="W290" s="42">
        <f>IFERROR(IF(V290=0,"",ROUNDUP(V290/H290,0)*0.02175),"")</f>
        <v/>
      </c>
      <c r="X290" s="69" t="inlineStr"/>
      <c r="Y290" s="70" t="inlineStr"/>
      <c r="AC290" s="227" t="inlineStr">
        <is>
          <t>КИ</t>
        </is>
      </c>
    </row>
    <row r="291" ht="27" customHeight="1">
      <c r="A291" s="64" t="inlineStr">
        <is>
          <t>SU001578</t>
        </is>
      </c>
      <c r="B291" s="64" t="inlineStr">
        <is>
          <t>P002582</t>
        </is>
      </c>
      <c r="C291" s="37" t="n">
        <v>4301011240</v>
      </c>
      <c r="D291" s="375" t="n">
        <v>4607091384130</v>
      </c>
      <c r="E291" s="642" t="n"/>
      <c r="F291" s="674" t="n">
        <v>2.5</v>
      </c>
      <c r="G291" s="38" t="n">
        <v>6</v>
      </c>
      <c r="H291" s="674" t="n">
        <v>15</v>
      </c>
      <c r="I291" s="674" t="n">
        <v>15.48</v>
      </c>
      <c r="J291" s="38" t="n">
        <v>48</v>
      </c>
      <c r="K291" s="39" t="inlineStr">
        <is>
          <t>ВЗ</t>
        </is>
      </c>
      <c r="L291" s="38" t="n">
        <v>60</v>
      </c>
      <c r="M291" s="838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N291" s="676" t="n"/>
      <c r="O291" s="676" t="n"/>
      <c r="P291" s="676" t="n"/>
      <c r="Q291" s="642" t="n"/>
      <c r="R291" s="40" t="inlineStr"/>
      <c r="S291" s="40" t="inlineStr"/>
      <c r="T291" s="41" t="inlineStr">
        <is>
          <t>кг</t>
        </is>
      </c>
      <c r="U291" s="677" t="n">
        <v>0</v>
      </c>
      <c r="V291" s="678">
        <f>IFERROR(IF(U291="",0,CEILING((U291/$H291),1)*$H291),"")</f>
        <v/>
      </c>
      <c r="W291" s="42">
        <f>IFERROR(IF(V291=0,"",ROUNDUP(V291/H291,0)*0.02039),"")</f>
        <v/>
      </c>
      <c r="X291" s="69" t="inlineStr"/>
      <c r="Y291" s="70" t="inlineStr"/>
      <c r="AC291" s="228" t="inlineStr">
        <is>
          <t>КИ</t>
        </is>
      </c>
    </row>
    <row r="292" ht="16.5" customHeight="1">
      <c r="A292" s="64" t="inlineStr">
        <is>
          <t>SU000102</t>
        </is>
      </c>
      <c r="B292" s="64" t="inlineStr">
        <is>
          <t>P002564</t>
        </is>
      </c>
      <c r="C292" s="37" t="n">
        <v>4301011330</v>
      </c>
      <c r="D292" s="375" t="n">
        <v>4607091384147</v>
      </c>
      <c r="E292" s="642" t="n"/>
      <c r="F292" s="674" t="n">
        <v>2.5</v>
      </c>
      <c r="G292" s="38" t="n">
        <v>6</v>
      </c>
      <c r="H292" s="674" t="n">
        <v>15</v>
      </c>
      <c r="I292" s="674" t="n">
        <v>15.48</v>
      </c>
      <c r="J292" s="38" t="n">
        <v>48</v>
      </c>
      <c r="K292" s="39" t="inlineStr">
        <is>
          <t>СК2</t>
        </is>
      </c>
      <c r="L292" s="38" t="n">
        <v>60</v>
      </c>
      <c r="M292" s="839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N292" s="676" t="n"/>
      <c r="O292" s="676" t="n"/>
      <c r="P292" s="676" t="n"/>
      <c r="Q292" s="642" t="n"/>
      <c r="R292" s="40" t="inlineStr"/>
      <c r="S292" s="40" t="inlineStr"/>
      <c r="T292" s="41" t="inlineStr">
        <is>
          <t>кг</t>
        </is>
      </c>
      <c r="U292" s="677" t="n">
        <v>800</v>
      </c>
      <c r="V292" s="678">
        <f>IFERROR(IF(U292="",0,CEILING((U292/$H292),1)*$H292),"")</f>
        <v/>
      </c>
      <c r="W292" s="42">
        <f>IFERROR(IF(V292=0,"",ROUNDUP(V292/H292,0)*0.02175),"")</f>
        <v/>
      </c>
      <c r="X292" s="69" t="inlineStr"/>
      <c r="Y292" s="70" t="inlineStr"/>
      <c r="AC292" s="229" t="inlineStr">
        <is>
          <t>КИ</t>
        </is>
      </c>
    </row>
    <row r="293" ht="16.5" customHeight="1">
      <c r="A293" s="64" t="inlineStr">
        <is>
          <t>SU000102</t>
        </is>
      </c>
      <c r="B293" s="64" t="inlineStr">
        <is>
          <t>P002580</t>
        </is>
      </c>
      <c r="C293" s="37" t="n">
        <v>4301011238</v>
      </c>
      <c r="D293" s="375" t="n">
        <v>4607091384147</v>
      </c>
      <c r="E293" s="642" t="n"/>
      <c r="F293" s="674" t="n">
        <v>2.5</v>
      </c>
      <c r="G293" s="38" t="n">
        <v>6</v>
      </c>
      <c r="H293" s="674" t="n">
        <v>15</v>
      </c>
      <c r="I293" s="674" t="n">
        <v>15.48</v>
      </c>
      <c r="J293" s="38" t="n">
        <v>48</v>
      </c>
      <c r="K293" s="39" t="inlineStr">
        <is>
          <t>ВЗ</t>
        </is>
      </c>
      <c r="L293" s="38" t="n">
        <v>60</v>
      </c>
      <c r="M293" s="840" t="inlineStr">
        <is>
          <t>Вареные колбасы Особая Особая Весовые П/а Особый рецепт</t>
        </is>
      </c>
      <c r="N293" s="676" t="n"/>
      <c r="O293" s="676" t="n"/>
      <c r="P293" s="676" t="n"/>
      <c r="Q293" s="642" t="n"/>
      <c r="R293" s="40" t="inlineStr"/>
      <c r="S293" s="40" t="inlineStr"/>
      <c r="T293" s="41" t="inlineStr">
        <is>
          <t>кг</t>
        </is>
      </c>
      <c r="U293" s="677" t="n">
        <v>0</v>
      </c>
      <c r="V293" s="678">
        <f>IFERROR(IF(U293="",0,CEILING((U293/$H293),1)*$H293),"")</f>
        <v/>
      </c>
      <c r="W293" s="42">
        <f>IFERROR(IF(V293=0,"",ROUNDUP(V293/H293,0)*0.02039),"")</f>
        <v/>
      </c>
      <c r="X293" s="69" t="inlineStr"/>
      <c r="Y293" s="70" t="inlineStr"/>
      <c r="AC293" s="230" t="inlineStr">
        <is>
          <t>КИ</t>
        </is>
      </c>
    </row>
    <row r="294" ht="27" customHeight="1">
      <c r="A294" s="64" t="inlineStr">
        <is>
          <t>SU001989</t>
        </is>
      </c>
      <c r="B294" s="64" t="inlineStr">
        <is>
          <t>P002560</t>
        </is>
      </c>
      <c r="C294" s="37" t="n">
        <v>4301011327</v>
      </c>
      <c r="D294" s="375" t="n">
        <v>4607091384154</v>
      </c>
      <c r="E294" s="642" t="n"/>
      <c r="F294" s="674" t="n">
        <v>0.5</v>
      </c>
      <c r="G294" s="38" t="n">
        <v>10</v>
      </c>
      <c r="H294" s="674" t="n">
        <v>5</v>
      </c>
      <c r="I294" s="674" t="n">
        <v>5.21</v>
      </c>
      <c r="J294" s="38" t="n">
        <v>120</v>
      </c>
      <c r="K294" s="39" t="inlineStr">
        <is>
          <t>СК2</t>
        </is>
      </c>
      <c r="L294" s="38" t="n">
        <v>60</v>
      </c>
      <c r="M294" s="841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N294" s="676" t="n"/>
      <c r="O294" s="676" t="n"/>
      <c r="P294" s="676" t="n"/>
      <c r="Q294" s="642" t="n"/>
      <c r="R294" s="40" t="inlineStr"/>
      <c r="S294" s="40" t="inlineStr"/>
      <c r="T294" s="41" t="inlineStr">
        <is>
          <t>кг</t>
        </is>
      </c>
      <c r="U294" s="677" t="n">
        <v>0</v>
      </c>
      <c r="V294" s="678">
        <f>IFERROR(IF(U294="",0,CEILING((U294/$H294),1)*$H294),"")</f>
        <v/>
      </c>
      <c r="W294" s="42">
        <f>IFERROR(IF(V294=0,"",ROUNDUP(V294/H294,0)*0.00937),"")</f>
        <v/>
      </c>
      <c r="X294" s="69" t="inlineStr"/>
      <c r="Y294" s="70" t="inlineStr"/>
      <c r="AC294" s="231" t="inlineStr">
        <is>
          <t>КИ</t>
        </is>
      </c>
    </row>
    <row r="295" ht="27" customHeight="1">
      <c r="A295" s="64" t="inlineStr">
        <is>
          <t>SU000256</t>
        </is>
      </c>
      <c r="B295" s="64" t="inlineStr">
        <is>
          <t>P002565</t>
        </is>
      </c>
      <c r="C295" s="37" t="n">
        <v>4301011332</v>
      </c>
      <c r="D295" s="375" t="n">
        <v>4607091384161</v>
      </c>
      <c r="E295" s="642" t="n"/>
      <c r="F295" s="674" t="n">
        <v>0.5</v>
      </c>
      <c r="G295" s="38" t="n">
        <v>10</v>
      </c>
      <c r="H295" s="674" t="n">
        <v>5</v>
      </c>
      <c r="I295" s="674" t="n">
        <v>5.21</v>
      </c>
      <c r="J295" s="38" t="n">
        <v>120</v>
      </c>
      <c r="K295" s="39" t="inlineStr">
        <is>
          <t>СК2</t>
        </is>
      </c>
      <c r="L295" s="38" t="n">
        <v>60</v>
      </c>
      <c r="M295" s="842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N295" s="676" t="n"/>
      <c r="O295" s="676" t="n"/>
      <c r="P295" s="676" t="n"/>
      <c r="Q295" s="642" t="n"/>
      <c r="R295" s="40" t="inlineStr"/>
      <c r="S295" s="40" t="inlineStr"/>
      <c r="T295" s="41" t="inlineStr">
        <is>
          <t>кг</t>
        </is>
      </c>
      <c r="U295" s="677" t="n">
        <v>0</v>
      </c>
      <c r="V295" s="678">
        <f>IFERROR(IF(U295="",0,CEILING((U295/$H295),1)*$H295),"")</f>
        <v/>
      </c>
      <c r="W295" s="42">
        <f>IFERROR(IF(V295=0,"",ROUNDUP(V295/H295,0)*0.00937),"")</f>
        <v/>
      </c>
      <c r="X295" s="69" t="inlineStr"/>
      <c r="Y295" s="70" t="inlineStr"/>
      <c r="AC295" s="232" t="inlineStr">
        <is>
          <t>КИ</t>
        </is>
      </c>
    </row>
    <row r="296">
      <c r="A296" s="383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679" t="n"/>
      <c r="M296" s="680" t="inlineStr">
        <is>
          <t>Итого</t>
        </is>
      </c>
      <c r="N296" s="650" t="n"/>
      <c r="O296" s="650" t="n"/>
      <c r="P296" s="650" t="n"/>
      <c r="Q296" s="650" t="n"/>
      <c r="R296" s="650" t="n"/>
      <c r="S296" s="651" t="n"/>
      <c r="T296" s="43" t="inlineStr">
        <is>
          <t>кор</t>
        </is>
      </c>
      <c r="U296" s="681">
        <f>IFERROR(U288/H288,"0")+IFERROR(U289/H289,"0")+IFERROR(U290/H290,"0")+IFERROR(U291/H291,"0")+IFERROR(U292/H292,"0")+IFERROR(U293/H293,"0")+IFERROR(U294/H294,"0")+IFERROR(U295/H295,"0")</f>
        <v/>
      </c>
      <c r="V296" s="681">
        <f>IFERROR(V288/H288,"0")+IFERROR(V289/H289,"0")+IFERROR(V290/H290,"0")+IFERROR(V291/H291,"0")+IFERROR(V292/H292,"0")+IFERROR(V293/H293,"0")+IFERROR(V294/H294,"0")+IFERROR(V295/H295,"0")</f>
        <v/>
      </c>
      <c r="W296" s="681">
        <f>IFERROR(IF(W288="",0,W288),"0")+IFERROR(IF(W289="",0,W289),"0")+IFERROR(IF(W290="",0,W290),"0")+IFERROR(IF(W291="",0,W291),"0")+IFERROR(IF(W292="",0,W292),"0")+IFERROR(IF(W293="",0,W293),"0")+IFERROR(IF(W294="",0,W294),"0")+IFERROR(IF(W295="",0,W295),"0")</f>
        <v/>
      </c>
      <c r="X296" s="682" t="n"/>
      <c r="Y296" s="682" t="n"/>
    </row>
    <row r="297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679" t="n"/>
      <c r="M297" s="680" t="inlineStr">
        <is>
          <t>Итого</t>
        </is>
      </c>
      <c r="N297" s="650" t="n"/>
      <c r="O297" s="650" t="n"/>
      <c r="P297" s="650" t="n"/>
      <c r="Q297" s="650" t="n"/>
      <c r="R297" s="650" t="n"/>
      <c r="S297" s="651" t="n"/>
      <c r="T297" s="43" t="inlineStr">
        <is>
          <t>кг</t>
        </is>
      </c>
      <c r="U297" s="681">
        <f>IFERROR(SUM(U288:U295),"0")</f>
        <v/>
      </c>
      <c r="V297" s="681">
        <f>IFERROR(SUM(V288:V295),"0")</f>
        <v/>
      </c>
      <c r="W297" s="43" t="n"/>
      <c r="X297" s="682" t="n"/>
      <c r="Y297" s="682" t="n"/>
    </row>
    <row r="298" ht="14.25" customHeight="1">
      <c r="A298" s="374" t="inlineStr">
        <is>
          <t>Ветчины</t>
        </is>
      </c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374" t="n"/>
      <c r="Y298" s="374" t="n"/>
    </row>
    <row r="299" ht="27" customHeight="1">
      <c r="A299" s="64" t="inlineStr">
        <is>
          <t>SU000126</t>
        </is>
      </c>
      <c r="B299" s="64" t="inlineStr">
        <is>
          <t>P002555</t>
        </is>
      </c>
      <c r="C299" s="37" t="n">
        <v>4301020178</v>
      </c>
      <c r="D299" s="375" t="n">
        <v>4607091383980</v>
      </c>
      <c r="E299" s="642" t="n"/>
      <c r="F299" s="674" t="n">
        <v>2.5</v>
      </c>
      <c r="G299" s="38" t="n">
        <v>6</v>
      </c>
      <c r="H299" s="674" t="n">
        <v>15</v>
      </c>
      <c r="I299" s="674" t="n">
        <v>15.48</v>
      </c>
      <c r="J299" s="38" t="n">
        <v>48</v>
      </c>
      <c r="K299" s="39" t="inlineStr">
        <is>
          <t>СК1</t>
        </is>
      </c>
      <c r="L299" s="38" t="n">
        <v>50</v>
      </c>
      <c r="M299" s="843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N299" s="676" t="n"/>
      <c r="O299" s="676" t="n"/>
      <c r="P299" s="676" t="n"/>
      <c r="Q299" s="642" t="n"/>
      <c r="R299" s="40" t="inlineStr"/>
      <c r="S299" s="40" t="inlineStr"/>
      <c r="T299" s="41" t="inlineStr">
        <is>
          <t>кг</t>
        </is>
      </c>
      <c r="U299" s="677" t="n">
        <v>1200</v>
      </c>
      <c r="V299" s="678">
        <f>IFERROR(IF(U299="",0,CEILING((U299/$H299),1)*$H299),"")</f>
        <v/>
      </c>
      <c r="W299" s="42">
        <f>IFERROR(IF(V299=0,"",ROUNDUP(V299/H299,0)*0.02175),"")</f>
        <v/>
      </c>
      <c r="X299" s="69" t="inlineStr"/>
      <c r="Y299" s="70" t="inlineStr"/>
      <c r="AC299" s="233" t="inlineStr">
        <is>
          <t>КИ</t>
        </is>
      </c>
    </row>
    <row r="300" ht="27" customHeight="1">
      <c r="A300" s="64" t="inlineStr">
        <is>
          <t>SU002027</t>
        </is>
      </c>
      <c r="B300" s="64" t="inlineStr">
        <is>
          <t>P002556</t>
        </is>
      </c>
      <c r="C300" s="37" t="n">
        <v>4301020179</v>
      </c>
      <c r="D300" s="375" t="n">
        <v>4607091384178</v>
      </c>
      <c r="E300" s="642" t="n"/>
      <c r="F300" s="674" t="n">
        <v>0.4</v>
      </c>
      <c r="G300" s="38" t="n">
        <v>10</v>
      </c>
      <c r="H300" s="674" t="n">
        <v>4</v>
      </c>
      <c r="I300" s="674" t="n">
        <v>4.24</v>
      </c>
      <c r="J300" s="38" t="n">
        <v>120</v>
      </c>
      <c r="K300" s="39" t="inlineStr">
        <is>
          <t>СК1</t>
        </is>
      </c>
      <c r="L300" s="38" t="n">
        <v>50</v>
      </c>
      <c r="M300" s="844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N300" s="676" t="n"/>
      <c r="O300" s="676" t="n"/>
      <c r="P300" s="676" t="n"/>
      <c r="Q300" s="642" t="n"/>
      <c r="R300" s="40" t="inlineStr"/>
      <c r="S300" s="40" t="inlineStr"/>
      <c r="T300" s="41" t="inlineStr">
        <is>
          <t>кг</t>
        </is>
      </c>
      <c r="U300" s="677" t="n">
        <v>0</v>
      </c>
      <c r="V300" s="678">
        <f>IFERROR(IF(U300="",0,CEILING((U300/$H300),1)*$H300),"")</f>
        <v/>
      </c>
      <c r="W300" s="42">
        <f>IFERROR(IF(V300=0,"",ROUNDUP(V300/H300,0)*0.00937),"")</f>
        <v/>
      </c>
      <c r="X300" s="69" t="inlineStr"/>
      <c r="Y300" s="70" t="inlineStr"/>
      <c r="AC300" s="234" t="inlineStr">
        <is>
          <t>КИ</t>
        </is>
      </c>
    </row>
    <row r="301">
      <c r="A301" s="383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679" t="n"/>
      <c r="M301" s="680" t="inlineStr">
        <is>
          <t>Итого</t>
        </is>
      </c>
      <c r="N301" s="650" t="n"/>
      <c r="O301" s="650" t="n"/>
      <c r="P301" s="650" t="n"/>
      <c r="Q301" s="650" t="n"/>
      <c r="R301" s="650" t="n"/>
      <c r="S301" s="651" t="n"/>
      <c r="T301" s="43" t="inlineStr">
        <is>
          <t>кор</t>
        </is>
      </c>
      <c r="U301" s="681">
        <f>IFERROR(U299/H299,"0")+IFERROR(U300/H300,"0")</f>
        <v/>
      </c>
      <c r="V301" s="681">
        <f>IFERROR(V299/H299,"0")+IFERROR(V300/H300,"0")</f>
        <v/>
      </c>
      <c r="W301" s="681">
        <f>IFERROR(IF(W299="",0,W299),"0")+IFERROR(IF(W300="",0,W300),"0")</f>
        <v/>
      </c>
      <c r="X301" s="682" t="n"/>
      <c r="Y301" s="682" t="n"/>
    </row>
    <row r="302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679" t="n"/>
      <c r="M302" s="680" t="inlineStr">
        <is>
          <t>Итого</t>
        </is>
      </c>
      <c r="N302" s="650" t="n"/>
      <c r="O302" s="650" t="n"/>
      <c r="P302" s="650" t="n"/>
      <c r="Q302" s="650" t="n"/>
      <c r="R302" s="650" t="n"/>
      <c r="S302" s="651" t="n"/>
      <c r="T302" s="43" t="inlineStr">
        <is>
          <t>кг</t>
        </is>
      </c>
      <c r="U302" s="681">
        <f>IFERROR(SUM(U299:U300),"0")</f>
        <v/>
      </c>
      <c r="V302" s="681">
        <f>IFERROR(SUM(V299:V300),"0")</f>
        <v/>
      </c>
      <c r="W302" s="43" t="n"/>
      <c r="X302" s="682" t="n"/>
      <c r="Y302" s="682" t="n"/>
    </row>
    <row r="303" ht="14.25" customHeight="1">
      <c r="A303" s="374" t="inlineStr">
        <is>
          <t>Копченые колбасы</t>
        </is>
      </c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374" t="n"/>
      <c r="Y303" s="374" t="n"/>
    </row>
    <row r="304" ht="27" customHeight="1">
      <c r="A304" s="64" t="inlineStr">
        <is>
          <t>SU002364</t>
        </is>
      </c>
      <c r="B304" s="64" t="inlineStr">
        <is>
          <t>P002633</t>
        </is>
      </c>
      <c r="C304" s="37" t="n">
        <v>4301031137</v>
      </c>
      <c r="D304" s="375" t="n">
        <v>4607091384857</v>
      </c>
      <c r="E304" s="642" t="n"/>
      <c r="F304" s="674" t="n">
        <v>0.73</v>
      </c>
      <c r="G304" s="38" t="n">
        <v>6</v>
      </c>
      <c r="H304" s="674" t="n">
        <v>4.38</v>
      </c>
      <c r="I304" s="674" t="n">
        <v>4.58</v>
      </c>
      <c r="J304" s="38" t="n">
        <v>156</v>
      </c>
      <c r="K304" s="39" t="inlineStr">
        <is>
          <t>СК2</t>
        </is>
      </c>
      <c r="L304" s="38" t="n">
        <v>35</v>
      </c>
      <c r="M304" s="845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/>
      </c>
      <c r="N304" s="676" t="n"/>
      <c r="O304" s="676" t="n"/>
      <c r="P304" s="676" t="n"/>
      <c r="Q304" s="642" t="n"/>
      <c r="R304" s="40" t="inlineStr"/>
      <c r="S304" s="40" t="inlineStr"/>
      <c r="T304" s="41" t="inlineStr">
        <is>
          <t>кг</t>
        </is>
      </c>
      <c r="U304" s="677" t="n">
        <v>0</v>
      </c>
      <c r="V304" s="678">
        <f>IFERROR(IF(U304="",0,CEILING((U304/$H304),1)*$H304),"")</f>
        <v/>
      </c>
      <c r="W304" s="42">
        <f>IFERROR(IF(V304=0,"",ROUNDUP(V304/H304,0)*0.00753),"")</f>
        <v/>
      </c>
      <c r="X304" s="69" t="inlineStr"/>
      <c r="Y304" s="70" t="inlineStr"/>
      <c r="AC304" s="235" t="inlineStr">
        <is>
          <t>КИ</t>
        </is>
      </c>
    </row>
    <row r="305">
      <c r="A305" s="383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679" t="n"/>
      <c r="M305" s="680" t="inlineStr">
        <is>
          <t>Итого</t>
        </is>
      </c>
      <c r="N305" s="650" t="n"/>
      <c r="O305" s="650" t="n"/>
      <c r="P305" s="650" t="n"/>
      <c r="Q305" s="650" t="n"/>
      <c r="R305" s="650" t="n"/>
      <c r="S305" s="651" t="n"/>
      <c r="T305" s="43" t="inlineStr">
        <is>
          <t>кор</t>
        </is>
      </c>
      <c r="U305" s="681">
        <f>IFERROR(U304/H304,"0")</f>
        <v/>
      </c>
      <c r="V305" s="681">
        <f>IFERROR(V304/H304,"0")</f>
        <v/>
      </c>
      <c r="W305" s="681">
        <f>IFERROR(IF(W304="",0,W304),"0")</f>
        <v/>
      </c>
      <c r="X305" s="682" t="n"/>
      <c r="Y305" s="682" t="n"/>
    </row>
    <row r="306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679" t="n"/>
      <c r="M306" s="680" t="inlineStr">
        <is>
          <t>Итого</t>
        </is>
      </c>
      <c r="N306" s="650" t="n"/>
      <c r="O306" s="650" t="n"/>
      <c r="P306" s="650" t="n"/>
      <c r="Q306" s="650" t="n"/>
      <c r="R306" s="650" t="n"/>
      <c r="S306" s="651" t="n"/>
      <c r="T306" s="43" t="inlineStr">
        <is>
          <t>кг</t>
        </is>
      </c>
      <c r="U306" s="681">
        <f>IFERROR(SUM(U304:U304),"0")</f>
        <v/>
      </c>
      <c r="V306" s="681">
        <f>IFERROR(SUM(V304:V304),"0")</f>
        <v/>
      </c>
      <c r="W306" s="43" t="n"/>
      <c r="X306" s="682" t="n"/>
      <c r="Y306" s="682" t="n"/>
    </row>
    <row r="307" ht="14.25" customHeight="1">
      <c r="A307" s="374" t="inlineStr">
        <is>
          <t>Сосиски</t>
        </is>
      </c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374" t="n"/>
      <c r="Y307" s="374" t="n"/>
    </row>
    <row r="308" ht="27" customHeight="1">
      <c r="A308" s="64" t="inlineStr">
        <is>
          <t>SU000246</t>
        </is>
      </c>
      <c r="B308" s="64" t="inlineStr">
        <is>
          <t>P002690</t>
        </is>
      </c>
      <c r="C308" s="37" t="n">
        <v>4301051298</v>
      </c>
      <c r="D308" s="375" t="n">
        <v>4607091384260</v>
      </c>
      <c r="E308" s="642" t="n"/>
      <c r="F308" s="674" t="n">
        <v>1.3</v>
      </c>
      <c r="G308" s="38" t="n">
        <v>6</v>
      </c>
      <c r="H308" s="674" t="n">
        <v>7.8</v>
      </c>
      <c r="I308" s="674" t="n">
        <v>8.364000000000001</v>
      </c>
      <c r="J308" s="38" t="n">
        <v>56</v>
      </c>
      <c r="K308" s="39" t="inlineStr">
        <is>
          <t>СК2</t>
        </is>
      </c>
      <c r="L308" s="38" t="n">
        <v>35</v>
      </c>
      <c r="M308" s="846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N308" s="676" t="n"/>
      <c r="O308" s="676" t="n"/>
      <c r="P308" s="676" t="n"/>
      <c r="Q308" s="642" t="n"/>
      <c r="R308" s="40" t="inlineStr"/>
      <c r="S308" s="40" t="inlineStr"/>
      <c r="T308" s="41" t="inlineStr">
        <is>
          <t>кг</t>
        </is>
      </c>
      <c r="U308" s="677" t="n">
        <v>0</v>
      </c>
      <c r="V308" s="678">
        <f>IFERROR(IF(U308="",0,CEILING((U308/$H308),1)*$H308),"")</f>
        <v/>
      </c>
      <c r="W308" s="42">
        <f>IFERROR(IF(V308=0,"",ROUNDUP(V308/H308,0)*0.02175),"")</f>
        <v/>
      </c>
      <c r="X308" s="69" t="inlineStr"/>
      <c r="Y308" s="70" t="inlineStr"/>
      <c r="AC308" s="236" t="inlineStr">
        <is>
          <t>КИ</t>
        </is>
      </c>
    </row>
    <row r="309">
      <c r="A309" s="383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679" t="n"/>
      <c r="M309" s="680" t="inlineStr">
        <is>
          <t>Итого</t>
        </is>
      </c>
      <c r="N309" s="650" t="n"/>
      <c r="O309" s="650" t="n"/>
      <c r="P309" s="650" t="n"/>
      <c r="Q309" s="650" t="n"/>
      <c r="R309" s="650" t="n"/>
      <c r="S309" s="651" t="n"/>
      <c r="T309" s="43" t="inlineStr">
        <is>
          <t>кор</t>
        </is>
      </c>
      <c r="U309" s="681">
        <f>IFERROR(U308/H308,"0")</f>
        <v/>
      </c>
      <c r="V309" s="681">
        <f>IFERROR(V308/H308,"0")</f>
        <v/>
      </c>
      <c r="W309" s="681">
        <f>IFERROR(IF(W308="",0,W308),"0")</f>
        <v/>
      </c>
      <c r="X309" s="682" t="n"/>
      <c r="Y309" s="682" t="n"/>
    </row>
    <row r="310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679" t="n"/>
      <c r="M310" s="680" t="inlineStr">
        <is>
          <t>Итого</t>
        </is>
      </c>
      <c r="N310" s="650" t="n"/>
      <c r="O310" s="650" t="n"/>
      <c r="P310" s="650" t="n"/>
      <c r="Q310" s="650" t="n"/>
      <c r="R310" s="650" t="n"/>
      <c r="S310" s="651" t="n"/>
      <c r="T310" s="43" t="inlineStr">
        <is>
          <t>кг</t>
        </is>
      </c>
      <c r="U310" s="681">
        <f>IFERROR(SUM(U308:U308),"0")</f>
        <v/>
      </c>
      <c r="V310" s="681">
        <f>IFERROR(SUM(V308:V308),"0")</f>
        <v/>
      </c>
      <c r="W310" s="43" t="n"/>
      <c r="X310" s="682" t="n"/>
      <c r="Y310" s="682" t="n"/>
    </row>
    <row r="311" ht="14.25" customHeight="1">
      <c r="A311" s="374" t="inlineStr">
        <is>
          <t>Сардельки</t>
        </is>
      </c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374" t="n"/>
      <c r="Y311" s="374" t="n"/>
    </row>
    <row r="312" ht="16.5" customHeight="1">
      <c r="A312" s="64" t="inlineStr">
        <is>
          <t>SU002287</t>
        </is>
      </c>
      <c r="B312" s="64" t="inlineStr">
        <is>
          <t>P002490</t>
        </is>
      </c>
      <c r="C312" s="37" t="n">
        <v>4301060314</v>
      </c>
      <c r="D312" s="375" t="n">
        <v>4607091384673</v>
      </c>
      <c r="E312" s="642" t="n"/>
      <c r="F312" s="674" t="n">
        <v>1.3</v>
      </c>
      <c r="G312" s="38" t="n">
        <v>6</v>
      </c>
      <c r="H312" s="674" t="n">
        <v>7.8</v>
      </c>
      <c r="I312" s="674" t="n">
        <v>8.364000000000001</v>
      </c>
      <c r="J312" s="38" t="n">
        <v>56</v>
      </c>
      <c r="K312" s="39" t="inlineStr">
        <is>
          <t>СК2</t>
        </is>
      </c>
      <c r="L312" s="38" t="n">
        <v>30</v>
      </c>
      <c r="M312" s="847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N312" s="676" t="n"/>
      <c r="O312" s="676" t="n"/>
      <c r="P312" s="676" t="n"/>
      <c r="Q312" s="642" t="n"/>
      <c r="R312" s="40" t="inlineStr"/>
      <c r="S312" s="40" t="inlineStr"/>
      <c r="T312" s="41" t="inlineStr">
        <is>
          <t>кг</t>
        </is>
      </c>
      <c r="U312" s="677" t="n">
        <v>0</v>
      </c>
      <c r="V312" s="678">
        <f>IFERROR(IF(U312="",0,CEILING((U312/$H312),1)*$H312),"")</f>
        <v/>
      </c>
      <c r="W312" s="42">
        <f>IFERROR(IF(V312=0,"",ROUNDUP(V312/H312,0)*0.02175),"")</f>
        <v/>
      </c>
      <c r="X312" s="69" t="inlineStr"/>
      <c r="Y312" s="70" t="inlineStr"/>
      <c r="AC312" s="237" t="inlineStr">
        <is>
          <t>КИ</t>
        </is>
      </c>
    </row>
    <row r="313">
      <c r="A313" s="383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679" t="n"/>
      <c r="M313" s="680" t="inlineStr">
        <is>
          <t>Итого</t>
        </is>
      </c>
      <c r="N313" s="650" t="n"/>
      <c r="O313" s="650" t="n"/>
      <c r="P313" s="650" t="n"/>
      <c r="Q313" s="650" t="n"/>
      <c r="R313" s="650" t="n"/>
      <c r="S313" s="651" t="n"/>
      <c r="T313" s="43" t="inlineStr">
        <is>
          <t>кор</t>
        </is>
      </c>
      <c r="U313" s="681">
        <f>IFERROR(U312/H312,"0")</f>
        <v/>
      </c>
      <c r="V313" s="681">
        <f>IFERROR(V312/H312,"0")</f>
        <v/>
      </c>
      <c r="W313" s="681">
        <f>IFERROR(IF(W312="",0,W312),"0")</f>
        <v/>
      </c>
      <c r="X313" s="682" t="n"/>
      <c r="Y313" s="682" t="n"/>
    </row>
    <row r="314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679" t="n"/>
      <c r="M314" s="680" t="inlineStr">
        <is>
          <t>Итого</t>
        </is>
      </c>
      <c r="N314" s="650" t="n"/>
      <c r="O314" s="650" t="n"/>
      <c r="P314" s="650" t="n"/>
      <c r="Q314" s="650" t="n"/>
      <c r="R314" s="650" t="n"/>
      <c r="S314" s="651" t="n"/>
      <c r="T314" s="43" t="inlineStr">
        <is>
          <t>кг</t>
        </is>
      </c>
      <c r="U314" s="681">
        <f>IFERROR(SUM(U312:U312),"0")</f>
        <v/>
      </c>
      <c r="V314" s="681">
        <f>IFERROR(SUM(V312:V312),"0")</f>
        <v/>
      </c>
      <c r="W314" s="43" t="n"/>
      <c r="X314" s="682" t="n"/>
      <c r="Y314" s="682" t="n"/>
    </row>
    <row r="315" ht="16.5" customHeight="1">
      <c r="A315" s="373" t="inlineStr">
        <is>
          <t>Особая Без свинины</t>
        </is>
      </c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373" t="n"/>
      <c r="Y315" s="373" t="n"/>
    </row>
    <row r="316" ht="14.25" customHeight="1">
      <c r="A316" s="374" t="inlineStr">
        <is>
          <t>Вареные колбасы</t>
        </is>
      </c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374" t="n"/>
      <c r="Y316" s="374" t="n"/>
    </row>
    <row r="317" ht="27" customHeight="1">
      <c r="A317" s="64" t="inlineStr">
        <is>
          <t>SU002073</t>
        </is>
      </c>
      <c r="B317" s="64" t="inlineStr">
        <is>
          <t>P002563</t>
        </is>
      </c>
      <c r="C317" s="37" t="n">
        <v>4301011324</v>
      </c>
      <c r="D317" s="375" t="n">
        <v>4607091384185</v>
      </c>
      <c r="E317" s="642" t="n"/>
      <c r="F317" s="674" t="n">
        <v>0.8</v>
      </c>
      <c r="G317" s="38" t="n">
        <v>15</v>
      </c>
      <c r="H317" s="674" t="n">
        <v>12</v>
      </c>
      <c r="I317" s="674" t="n">
        <v>12.48</v>
      </c>
      <c r="J317" s="38" t="n">
        <v>56</v>
      </c>
      <c r="K317" s="39" t="inlineStr">
        <is>
          <t>СК2</t>
        </is>
      </c>
      <c r="L317" s="38" t="n">
        <v>60</v>
      </c>
      <c r="M317" s="848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N317" s="676" t="n"/>
      <c r="O317" s="676" t="n"/>
      <c r="P317" s="676" t="n"/>
      <c r="Q317" s="642" t="n"/>
      <c r="R317" s="40" t="inlineStr"/>
      <c r="S317" s="40" t="inlineStr"/>
      <c r="T317" s="41" t="inlineStr">
        <is>
          <t>кг</t>
        </is>
      </c>
      <c r="U317" s="677" t="n">
        <v>0</v>
      </c>
      <c r="V317" s="678">
        <f>IFERROR(IF(U317="",0,CEILING((U317/$H317),1)*$H317),"")</f>
        <v/>
      </c>
      <c r="W317" s="42">
        <f>IFERROR(IF(V317=0,"",ROUNDUP(V317/H317,0)*0.02175),"")</f>
        <v/>
      </c>
      <c r="X317" s="69" t="inlineStr"/>
      <c r="Y317" s="70" t="inlineStr"/>
      <c r="AC317" s="238" t="inlineStr">
        <is>
          <t>КИ</t>
        </is>
      </c>
    </row>
    <row r="318" ht="27" customHeight="1">
      <c r="A318" s="64" t="inlineStr">
        <is>
          <t>SU002187</t>
        </is>
      </c>
      <c r="B318" s="64" t="inlineStr">
        <is>
          <t>P002559</t>
        </is>
      </c>
      <c r="C318" s="37" t="n">
        <v>4301011312</v>
      </c>
      <c r="D318" s="375" t="n">
        <v>4607091384192</v>
      </c>
      <c r="E318" s="642" t="n"/>
      <c r="F318" s="674" t="n">
        <v>1.8</v>
      </c>
      <c r="G318" s="38" t="n">
        <v>6</v>
      </c>
      <c r="H318" s="674" t="n">
        <v>10.8</v>
      </c>
      <c r="I318" s="674" t="n">
        <v>11.28</v>
      </c>
      <c r="J318" s="38" t="n">
        <v>56</v>
      </c>
      <c r="K318" s="39" t="inlineStr">
        <is>
          <t>СК1</t>
        </is>
      </c>
      <c r="L318" s="38" t="n">
        <v>60</v>
      </c>
      <c r="M318" s="849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N318" s="676" t="n"/>
      <c r="O318" s="676" t="n"/>
      <c r="P318" s="676" t="n"/>
      <c r="Q318" s="642" t="n"/>
      <c r="R318" s="40" t="inlineStr"/>
      <c r="S318" s="40" t="inlineStr"/>
      <c r="T318" s="41" t="inlineStr">
        <is>
          <t>кг</t>
        </is>
      </c>
      <c r="U318" s="677" t="n">
        <v>0</v>
      </c>
      <c r="V318" s="678">
        <f>IFERROR(IF(U318="",0,CEILING((U318/$H318),1)*$H318),"")</f>
        <v/>
      </c>
      <c r="W318" s="42">
        <f>IFERROR(IF(V318=0,"",ROUNDUP(V318/H318,0)*0.02175),"")</f>
        <v/>
      </c>
      <c r="X318" s="69" t="inlineStr"/>
      <c r="Y318" s="70" t="inlineStr"/>
      <c r="AC318" s="239" t="inlineStr">
        <is>
          <t>КИ</t>
        </is>
      </c>
    </row>
    <row r="319" ht="27" customHeight="1">
      <c r="A319" s="64" t="inlineStr">
        <is>
          <t>SU002899</t>
        </is>
      </c>
      <c r="B319" s="64" t="inlineStr">
        <is>
          <t>P003323</t>
        </is>
      </c>
      <c r="C319" s="37" t="n">
        <v>4301011483</v>
      </c>
      <c r="D319" s="375" t="n">
        <v>4680115881907</v>
      </c>
      <c r="E319" s="642" t="n"/>
      <c r="F319" s="674" t="n">
        <v>1.8</v>
      </c>
      <c r="G319" s="38" t="n">
        <v>6</v>
      </c>
      <c r="H319" s="674" t="n">
        <v>10.8</v>
      </c>
      <c r="I319" s="674" t="n">
        <v>11.28</v>
      </c>
      <c r="J319" s="38" t="n">
        <v>56</v>
      </c>
      <c r="K319" s="39" t="inlineStr">
        <is>
          <t>СК2</t>
        </is>
      </c>
      <c r="L319" s="38" t="n">
        <v>60</v>
      </c>
      <c r="M319" s="850">
        <f>HYPERLINK("https:///products/Охлажденные/Особый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N319" s="676" t="n"/>
      <c r="O319" s="676" t="n"/>
      <c r="P319" s="676" t="n"/>
      <c r="Q319" s="642" t="n"/>
      <c r="R319" s="40" t="inlineStr"/>
      <c r="S319" s="40" t="inlineStr"/>
      <c r="T319" s="41" t="inlineStr">
        <is>
          <t>кг</t>
        </is>
      </c>
      <c r="U319" s="677" t="n">
        <v>0</v>
      </c>
      <c r="V319" s="678">
        <f>IFERROR(IF(U319="",0,CEILING((U319/$H319),1)*$H319),"")</f>
        <v/>
      </c>
      <c r="W319" s="42">
        <f>IFERROR(IF(V319=0,"",ROUNDUP(V319/H319,0)*0.02175),"")</f>
        <v/>
      </c>
      <c r="X319" s="69" t="inlineStr"/>
      <c r="Y319" s="70" t="inlineStr"/>
      <c r="AC319" s="240" t="inlineStr">
        <is>
          <t>КИ</t>
        </is>
      </c>
    </row>
    <row r="320" ht="27" customHeight="1">
      <c r="A320" s="64" t="inlineStr">
        <is>
          <t>SU002462</t>
        </is>
      </c>
      <c r="B320" s="64" t="inlineStr">
        <is>
          <t>P002768</t>
        </is>
      </c>
      <c r="C320" s="37" t="n">
        <v>4301011303</v>
      </c>
      <c r="D320" s="375" t="n">
        <v>4607091384680</v>
      </c>
      <c r="E320" s="642" t="n"/>
      <c r="F320" s="674" t="n">
        <v>0.4</v>
      </c>
      <c r="G320" s="38" t="n">
        <v>10</v>
      </c>
      <c r="H320" s="674" t="n">
        <v>4</v>
      </c>
      <c r="I320" s="674" t="n">
        <v>4.21</v>
      </c>
      <c r="J320" s="38" t="n">
        <v>120</v>
      </c>
      <c r="K320" s="39" t="inlineStr">
        <is>
          <t>СК2</t>
        </is>
      </c>
      <c r="L320" s="38" t="n">
        <v>60</v>
      </c>
      <c r="M320" s="851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N320" s="676" t="n"/>
      <c r="O320" s="676" t="n"/>
      <c r="P320" s="676" t="n"/>
      <c r="Q320" s="642" t="n"/>
      <c r="R320" s="40" t="inlineStr"/>
      <c r="S320" s="40" t="inlineStr"/>
      <c r="T320" s="41" t="inlineStr">
        <is>
          <t>кг</t>
        </is>
      </c>
      <c r="U320" s="677" t="n">
        <v>0</v>
      </c>
      <c r="V320" s="678">
        <f>IFERROR(IF(U320="",0,CEILING((U320/$H320),1)*$H320),"")</f>
        <v/>
      </c>
      <c r="W320" s="42">
        <f>IFERROR(IF(V320=0,"",ROUNDUP(V320/H320,0)*0.00937),"")</f>
        <v/>
      </c>
      <c r="X320" s="69" t="inlineStr"/>
      <c r="Y320" s="70" t="inlineStr"/>
      <c r="AC320" s="241" t="inlineStr">
        <is>
          <t>КИ</t>
        </is>
      </c>
    </row>
    <row r="321">
      <c r="A321" s="383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679" t="n"/>
      <c r="M321" s="680" t="inlineStr">
        <is>
          <t>Итого</t>
        </is>
      </c>
      <c r="N321" s="650" t="n"/>
      <c r="O321" s="650" t="n"/>
      <c r="P321" s="650" t="n"/>
      <c r="Q321" s="650" t="n"/>
      <c r="R321" s="650" t="n"/>
      <c r="S321" s="651" t="n"/>
      <c r="T321" s="43" t="inlineStr">
        <is>
          <t>кор</t>
        </is>
      </c>
      <c r="U321" s="681">
        <f>IFERROR(U317/H317,"0")+IFERROR(U318/H318,"0")+IFERROR(U319/H319,"0")+IFERROR(U320/H320,"0")</f>
        <v/>
      </c>
      <c r="V321" s="681">
        <f>IFERROR(V317/H317,"0")+IFERROR(V318/H318,"0")+IFERROR(V319/H319,"0")+IFERROR(V320/H320,"0")</f>
        <v/>
      </c>
      <c r="W321" s="681">
        <f>IFERROR(IF(W317="",0,W317),"0")+IFERROR(IF(W318="",0,W318),"0")+IFERROR(IF(W319="",0,W319),"0")+IFERROR(IF(W320="",0,W320),"0")</f>
        <v/>
      </c>
      <c r="X321" s="682" t="n"/>
      <c r="Y321" s="682" t="n"/>
    </row>
    <row r="322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679" t="n"/>
      <c r="M322" s="680" t="inlineStr">
        <is>
          <t>Итого</t>
        </is>
      </c>
      <c r="N322" s="650" t="n"/>
      <c r="O322" s="650" t="n"/>
      <c r="P322" s="650" t="n"/>
      <c r="Q322" s="650" t="n"/>
      <c r="R322" s="650" t="n"/>
      <c r="S322" s="651" t="n"/>
      <c r="T322" s="43" t="inlineStr">
        <is>
          <t>кг</t>
        </is>
      </c>
      <c r="U322" s="681">
        <f>IFERROR(SUM(U317:U320),"0")</f>
        <v/>
      </c>
      <c r="V322" s="681">
        <f>IFERROR(SUM(V317:V320),"0")</f>
        <v/>
      </c>
      <c r="W322" s="43" t="n"/>
      <c r="X322" s="682" t="n"/>
      <c r="Y322" s="682" t="n"/>
    </row>
    <row r="323" ht="14.25" customHeight="1">
      <c r="A323" s="374" t="inlineStr">
        <is>
          <t>Копченые колбасы</t>
        </is>
      </c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374" t="n"/>
      <c r="Y323" s="374" t="n"/>
    </row>
    <row r="324" ht="27" customHeight="1">
      <c r="A324" s="64" t="inlineStr">
        <is>
          <t>SU002360</t>
        </is>
      </c>
      <c r="B324" s="64" t="inlineStr">
        <is>
          <t>P002629</t>
        </is>
      </c>
      <c r="C324" s="37" t="n">
        <v>4301031139</v>
      </c>
      <c r="D324" s="375" t="n">
        <v>4607091384802</v>
      </c>
      <c r="E324" s="642" t="n"/>
      <c r="F324" s="674" t="n">
        <v>0.73</v>
      </c>
      <c r="G324" s="38" t="n">
        <v>6</v>
      </c>
      <c r="H324" s="674" t="n">
        <v>4.38</v>
      </c>
      <c r="I324" s="674" t="n">
        <v>4.58</v>
      </c>
      <c r="J324" s="38" t="n">
        <v>156</v>
      </c>
      <c r="K324" s="39" t="inlineStr">
        <is>
          <t>СК2</t>
        </is>
      </c>
      <c r="L324" s="38" t="n">
        <v>35</v>
      </c>
      <c r="M324" s="852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N324" s="676" t="n"/>
      <c r="O324" s="676" t="n"/>
      <c r="P324" s="676" t="n"/>
      <c r="Q324" s="642" t="n"/>
      <c r="R324" s="40" t="inlineStr"/>
      <c r="S324" s="40" t="inlineStr"/>
      <c r="T324" s="41" t="inlineStr">
        <is>
          <t>кг</t>
        </is>
      </c>
      <c r="U324" s="677" t="n">
        <v>0</v>
      </c>
      <c r="V324" s="678">
        <f>IFERROR(IF(U324="",0,CEILING((U324/$H324),1)*$H324),"")</f>
        <v/>
      </c>
      <c r="W324" s="42">
        <f>IFERROR(IF(V324=0,"",ROUNDUP(V324/H324,0)*0.00753),"")</f>
        <v/>
      </c>
      <c r="X324" s="69" t="inlineStr"/>
      <c r="Y324" s="70" t="inlineStr"/>
      <c r="AC324" s="242" t="inlineStr">
        <is>
          <t>КИ</t>
        </is>
      </c>
    </row>
    <row r="325" ht="27" customHeight="1">
      <c r="A325" s="64" t="inlineStr">
        <is>
          <t>SU002361</t>
        </is>
      </c>
      <c r="B325" s="64" t="inlineStr">
        <is>
          <t>P002630</t>
        </is>
      </c>
      <c r="C325" s="37" t="n">
        <v>4301031140</v>
      </c>
      <c r="D325" s="375" t="n">
        <v>4607091384826</v>
      </c>
      <c r="E325" s="642" t="n"/>
      <c r="F325" s="674" t="n">
        <v>0.35</v>
      </c>
      <c r="G325" s="38" t="n">
        <v>8</v>
      </c>
      <c r="H325" s="674" t="n">
        <v>2.8</v>
      </c>
      <c r="I325" s="674" t="n">
        <v>2.9</v>
      </c>
      <c r="J325" s="38" t="n">
        <v>234</v>
      </c>
      <c r="K325" s="39" t="inlineStr">
        <is>
          <t>СК2</t>
        </is>
      </c>
      <c r="L325" s="38" t="n">
        <v>35</v>
      </c>
      <c r="M325" s="853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N325" s="676" t="n"/>
      <c r="O325" s="676" t="n"/>
      <c r="P325" s="676" t="n"/>
      <c r="Q325" s="642" t="n"/>
      <c r="R325" s="40" t="inlineStr"/>
      <c r="S325" s="40" t="inlineStr"/>
      <c r="T325" s="41" t="inlineStr">
        <is>
          <t>кг</t>
        </is>
      </c>
      <c r="U325" s="677" t="n">
        <v>0</v>
      </c>
      <c r="V325" s="678">
        <f>IFERROR(IF(U325="",0,CEILING((U325/$H325),1)*$H325),"")</f>
        <v/>
      </c>
      <c r="W325" s="42">
        <f>IFERROR(IF(V325=0,"",ROUNDUP(V325/H325,0)*0.00502),"")</f>
        <v/>
      </c>
      <c r="X325" s="69" t="inlineStr"/>
      <c r="Y325" s="70" t="inlineStr"/>
      <c r="AC325" s="243" t="inlineStr">
        <is>
          <t>КИ</t>
        </is>
      </c>
    </row>
    <row r="326">
      <c r="A326" s="383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679" t="n"/>
      <c r="M326" s="680" t="inlineStr">
        <is>
          <t>Итого</t>
        </is>
      </c>
      <c r="N326" s="650" t="n"/>
      <c r="O326" s="650" t="n"/>
      <c r="P326" s="650" t="n"/>
      <c r="Q326" s="650" t="n"/>
      <c r="R326" s="650" t="n"/>
      <c r="S326" s="651" t="n"/>
      <c r="T326" s="43" t="inlineStr">
        <is>
          <t>кор</t>
        </is>
      </c>
      <c r="U326" s="681">
        <f>IFERROR(U324/H324,"0")+IFERROR(U325/H325,"0")</f>
        <v/>
      </c>
      <c r="V326" s="681">
        <f>IFERROR(V324/H324,"0")+IFERROR(V325/H325,"0")</f>
        <v/>
      </c>
      <c r="W326" s="681">
        <f>IFERROR(IF(W324="",0,W324),"0")+IFERROR(IF(W325="",0,W325),"0")</f>
        <v/>
      </c>
      <c r="X326" s="682" t="n"/>
      <c r="Y326" s="682" t="n"/>
    </row>
    <row r="327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679" t="n"/>
      <c r="M327" s="680" t="inlineStr">
        <is>
          <t>Итого</t>
        </is>
      </c>
      <c r="N327" s="650" t="n"/>
      <c r="O327" s="650" t="n"/>
      <c r="P327" s="650" t="n"/>
      <c r="Q327" s="650" t="n"/>
      <c r="R327" s="650" t="n"/>
      <c r="S327" s="651" t="n"/>
      <c r="T327" s="43" t="inlineStr">
        <is>
          <t>кг</t>
        </is>
      </c>
      <c r="U327" s="681">
        <f>IFERROR(SUM(U324:U325),"0")</f>
        <v/>
      </c>
      <c r="V327" s="681">
        <f>IFERROR(SUM(V324:V325),"0")</f>
        <v/>
      </c>
      <c r="W327" s="43" t="n"/>
      <c r="X327" s="682" t="n"/>
      <c r="Y327" s="682" t="n"/>
    </row>
    <row r="328" ht="14.25" customHeight="1">
      <c r="A328" s="374" t="inlineStr">
        <is>
          <t>Сосиски</t>
        </is>
      </c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374" t="n"/>
      <c r="Y328" s="374" t="n"/>
    </row>
    <row r="329" ht="27" customHeight="1">
      <c r="A329" s="64" t="inlineStr">
        <is>
          <t>SU002074</t>
        </is>
      </c>
      <c r="B329" s="64" t="inlineStr">
        <is>
          <t>P002693</t>
        </is>
      </c>
      <c r="C329" s="37" t="n">
        <v>4301051303</v>
      </c>
      <c r="D329" s="375" t="n">
        <v>4607091384246</v>
      </c>
      <c r="E329" s="642" t="n"/>
      <c r="F329" s="674" t="n">
        <v>1.3</v>
      </c>
      <c r="G329" s="38" t="n">
        <v>6</v>
      </c>
      <c r="H329" s="674" t="n">
        <v>7.8</v>
      </c>
      <c r="I329" s="674" t="n">
        <v>8.364000000000001</v>
      </c>
      <c r="J329" s="38" t="n">
        <v>56</v>
      </c>
      <c r="K329" s="39" t="inlineStr">
        <is>
          <t>СК2</t>
        </is>
      </c>
      <c r="L329" s="38" t="n">
        <v>40</v>
      </c>
      <c r="M329" s="854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N329" s="676" t="n"/>
      <c r="O329" s="676" t="n"/>
      <c r="P329" s="676" t="n"/>
      <c r="Q329" s="642" t="n"/>
      <c r="R329" s="40" t="inlineStr"/>
      <c r="S329" s="40" t="inlineStr"/>
      <c r="T329" s="41" t="inlineStr">
        <is>
          <t>кг</t>
        </is>
      </c>
      <c r="U329" s="677" t="n">
        <v>0</v>
      </c>
      <c r="V329" s="678">
        <f>IFERROR(IF(U329="",0,CEILING((U329/$H329),1)*$H329),"")</f>
        <v/>
      </c>
      <c r="W329" s="42">
        <f>IFERROR(IF(V329=0,"",ROUNDUP(V329/H329,0)*0.02175),"")</f>
        <v/>
      </c>
      <c r="X329" s="69" t="inlineStr"/>
      <c r="Y329" s="70" t="inlineStr"/>
      <c r="AC329" s="244" t="inlineStr">
        <is>
          <t>КИ</t>
        </is>
      </c>
    </row>
    <row r="330" ht="27" customHeight="1">
      <c r="A330" s="64" t="inlineStr">
        <is>
          <t>SU002896</t>
        </is>
      </c>
      <c r="B330" s="64" t="inlineStr">
        <is>
          <t>P003330</t>
        </is>
      </c>
      <c r="C330" s="37" t="n">
        <v>4301051445</v>
      </c>
      <c r="D330" s="375" t="n">
        <v>4680115881976</v>
      </c>
      <c r="E330" s="642" t="n"/>
      <c r="F330" s="674" t="n">
        <v>1.3</v>
      </c>
      <c r="G330" s="38" t="n">
        <v>6</v>
      </c>
      <c r="H330" s="674" t="n">
        <v>7.8</v>
      </c>
      <c r="I330" s="674" t="n">
        <v>8.279999999999999</v>
      </c>
      <c r="J330" s="38" t="n">
        <v>56</v>
      </c>
      <c r="K330" s="39" t="inlineStr">
        <is>
          <t>СК2</t>
        </is>
      </c>
      <c r="L330" s="38" t="n">
        <v>40</v>
      </c>
      <c r="M330" s="855">
        <f>HYPERLINK("https:///products/Охлажденные/Особый рецепт/Особая Без свинины/Сосиски/P003330/","Сосиски «Сочные без свинины» Весовые ТМ «Особый рецепт» 1,3 кг")</f>
        <v/>
      </c>
      <c r="N330" s="676" t="n"/>
      <c r="O330" s="676" t="n"/>
      <c r="P330" s="676" t="n"/>
      <c r="Q330" s="642" t="n"/>
      <c r="R330" s="40" t="inlineStr"/>
      <c r="S330" s="40" t="inlineStr"/>
      <c r="T330" s="41" t="inlineStr">
        <is>
          <t>кг</t>
        </is>
      </c>
      <c r="U330" s="677" t="n">
        <v>0</v>
      </c>
      <c r="V330" s="678">
        <f>IFERROR(IF(U330="",0,CEILING((U330/$H330),1)*$H330),"")</f>
        <v/>
      </c>
      <c r="W330" s="42">
        <f>IFERROR(IF(V330=0,"",ROUNDUP(V330/H330,0)*0.02175),"")</f>
        <v/>
      </c>
      <c r="X330" s="69" t="inlineStr"/>
      <c r="Y330" s="70" t="inlineStr"/>
      <c r="AC330" s="245" t="inlineStr">
        <is>
          <t>КИ</t>
        </is>
      </c>
    </row>
    <row r="331" ht="27" customHeight="1">
      <c r="A331" s="64" t="inlineStr">
        <is>
          <t>SU002205</t>
        </is>
      </c>
      <c r="B331" s="64" t="inlineStr">
        <is>
          <t>P002694</t>
        </is>
      </c>
      <c r="C331" s="37" t="n">
        <v>4301051297</v>
      </c>
      <c r="D331" s="375" t="n">
        <v>4607091384253</v>
      </c>
      <c r="E331" s="642" t="n"/>
      <c r="F331" s="674" t="n">
        <v>0.4</v>
      </c>
      <c r="G331" s="38" t="n">
        <v>6</v>
      </c>
      <c r="H331" s="674" t="n">
        <v>2.4</v>
      </c>
      <c r="I331" s="674" t="n">
        <v>2.684</v>
      </c>
      <c r="J331" s="38" t="n">
        <v>156</v>
      </c>
      <c r="K331" s="39" t="inlineStr">
        <is>
          <t>СК2</t>
        </is>
      </c>
      <c r="L331" s="38" t="n">
        <v>40</v>
      </c>
      <c r="M331" s="856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N331" s="676" t="n"/>
      <c r="O331" s="676" t="n"/>
      <c r="P331" s="676" t="n"/>
      <c r="Q331" s="642" t="n"/>
      <c r="R331" s="40" t="inlineStr"/>
      <c r="S331" s="40" t="inlineStr"/>
      <c r="T331" s="41" t="inlineStr">
        <is>
          <t>кг</t>
        </is>
      </c>
      <c r="U331" s="677" t="n">
        <v>0</v>
      </c>
      <c r="V331" s="678">
        <f>IFERROR(IF(U331="",0,CEILING((U331/$H331),1)*$H331),"")</f>
        <v/>
      </c>
      <c r="W331" s="42">
        <f>IFERROR(IF(V331=0,"",ROUNDUP(V331/H331,0)*0.00753),"")</f>
        <v/>
      </c>
      <c r="X331" s="69" t="inlineStr"/>
      <c r="Y331" s="70" t="inlineStr"/>
      <c r="AC331" s="246" t="inlineStr">
        <is>
          <t>КИ</t>
        </is>
      </c>
    </row>
    <row r="332" ht="27" customHeight="1">
      <c r="A332" s="64" t="inlineStr">
        <is>
          <t>SU002895</t>
        </is>
      </c>
      <c r="B332" s="64" t="inlineStr">
        <is>
          <t>P003329</t>
        </is>
      </c>
      <c r="C332" s="37" t="n">
        <v>4301051444</v>
      </c>
      <c r="D332" s="375" t="n">
        <v>4680115881969</v>
      </c>
      <c r="E332" s="642" t="n"/>
      <c r="F332" s="674" t="n">
        <v>0.4</v>
      </c>
      <c r="G332" s="38" t="n">
        <v>6</v>
      </c>
      <c r="H332" s="674" t="n">
        <v>2.4</v>
      </c>
      <c r="I332" s="674" t="n">
        <v>2.6</v>
      </c>
      <c r="J332" s="38" t="n">
        <v>156</v>
      </c>
      <c r="K332" s="39" t="inlineStr">
        <is>
          <t>СК2</t>
        </is>
      </c>
      <c r="L332" s="38" t="n">
        <v>40</v>
      </c>
      <c r="M332" s="857">
        <f>HYPERLINK("https:///products/Охлажденные/Особый рецепт/Особая Без свинины/Сосиски/P003329/","Сосиски «Сочные без свинины» ф/в 0,4 кг ТМ «Особый рецепт»")</f>
        <v/>
      </c>
      <c r="N332" s="676" t="n"/>
      <c r="O332" s="676" t="n"/>
      <c r="P332" s="676" t="n"/>
      <c r="Q332" s="642" t="n"/>
      <c r="R332" s="40" t="inlineStr"/>
      <c r="S332" s="40" t="inlineStr"/>
      <c r="T332" s="41" t="inlineStr">
        <is>
          <t>кг</t>
        </is>
      </c>
      <c r="U332" s="677" t="n">
        <v>0</v>
      </c>
      <c r="V332" s="678">
        <f>IFERROR(IF(U332="",0,CEILING((U332/$H332),1)*$H332),"")</f>
        <v/>
      </c>
      <c r="W332" s="42">
        <f>IFERROR(IF(V332=0,"",ROUNDUP(V332/H332,0)*0.00753),"")</f>
        <v/>
      </c>
      <c r="X332" s="69" t="inlineStr"/>
      <c r="Y332" s="70" t="inlineStr"/>
      <c r="AC332" s="247" t="inlineStr">
        <is>
          <t>КИ</t>
        </is>
      </c>
    </row>
    <row r="333">
      <c r="A333" s="383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679" t="n"/>
      <c r="M333" s="680" t="inlineStr">
        <is>
          <t>Итого</t>
        </is>
      </c>
      <c r="N333" s="650" t="n"/>
      <c r="O333" s="650" t="n"/>
      <c r="P333" s="650" t="n"/>
      <c r="Q333" s="650" t="n"/>
      <c r="R333" s="650" t="n"/>
      <c r="S333" s="651" t="n"/>
      <c r="T333" s="43" t="inlineStr">
        <is>
          <t>кор</t>
        </is>
      </c>
      <c r="U333" s="681">
        <f>IFERROR(U329/H329,"0")+IFERROR(U330/H330,"0")+IFERROR(U331/H331,"0")+IFERROR(U332/H332,"0")</f>
        <v/>
      </c>
      <c r="V333" s="681">
        <f>IFERROR(V329/H329,"0")+IFERROR(V330/H330,"0")+IFERROR(V331/H331,"0")+IFERROR(V332/H332,"0")</f>
        <v/>
      </c>
      <c r="W333" s="681">
        <f>IFERROR(IF(W329="",0,W329),"0")+IFERROR(IF(W330="",0,W330),"0")+IFERROR(IF(W331="",0,W331),"0")+IFERROR(IF(W332="",0,W332),"0")</f>
        <v/>
      </c>
      <c r="X333" s="682" t="n"/>
      <c r="Y333" s="682" t="n"/>
    </row>
    <row r="334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679" t="n"/>
      <c r="M334" s="680" t="inlineStr">
        <is>
          <t>Итого</t>
        </is>
      </c>
      <c r="N334" s="650" t="n"/>
      <c r="O334" s="650" t="n"/>
      <c r="P334" s="650" t="n"/>
      <c r="Q334" s="650" t="n"/>
      <c r="R334" s="650" t="n"/>
      <c r="S334" s="651" t="n"/>
      <c r="T334" s="43" t="inlineStr">
        <is>
          <t>кг</t>
        </is>
      </c>
      <c r="U334" s="681">
        <f>IFERROR(SUM(U329:U332),"0")</f>
        <v/>
      </c>
      <c r="V334" s="681">
        <f>IFERROR(SUM(V329:V332),"0")</f>
        <v/>
      </c>
      <c r="W334" s="43" t="n"/>
      <c r="X334" s="682" t="n"/>
      <c r="Y334" s="682" t="n"/>
    </row>
    <row r="335" ht="14.25" customHeight="1">
      <c r="A335" s="374" t="inlineStr">
        <is>
          <t>Сардельки</t>
        </is>
      </c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374" t="n"/>
      <c r="Y335" s="374" t="n"/>
    </row>
    <row r="336" ht="27" customHeight="1">
      <c r="A336" s="64" t="inlineStr">
        <is>
          <t>SU002472</t>
        </is>
      </c>
      <c r="B336" s="64" t="inlineStr">
        <is>
          <t>P002973</t>
        </is>
      </c>
      <c r="C336" s="37" t="n">
        <v>4301060322</v>
      </c>
      <c r="D336" s="375" t="n">
        <v>4607091389357</v>
      </c>
      <c r="E336" s="642" t="n"/>
      <c r="F336" s="674" t="n">
        <v>1.3</v>
      </c>
      <c r="G336" s="38" t="n">
        <v>6</v>
      </c>
      <c r="H336" s="674" t="n">
        <v>7.8</v>
      </c>
      <c r="I336" s="674" t="n">
        <v>8.279999999999999</v>
      </c>
      <c r="J336" s="38" t="n">
        <v>56</v>
      </c>
      <c r="K336" s="39" t="inlineStr">
        <is>
          <t>СК2</t>
        </is>
      </c>
      <c r="L336" s="38" t="n">
        <v>40</v>
      </c>
      <c r="M336" s="858">
        <f>HYPERLINK("https:///products/Охлажденные/Особый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N336" s="676" t="n"/>
      <c r="O336" s="676" t="n"/>
      <c r="P336" s="676" t="n"/>
      <c r="Q336" s="642" t="n"/>
      <c r="R336" s="40" t="inlineStr"/>
      <c r="S336" s="40" t="inlineStr"/>
      <c r="T336" s="41" t="inlineStr">
        <is>
          <t>кг</t>
        </is>
      </c>
      <c r="U336" s="677" t="n">
        <v>0</v>
      </c>
      <c r="V336" s="678">
        <f>IFERROR(IF(U336="",0,CEILING((U336/$H336),1)*$H336),"")</f>
        <v/>
      </c>
      <c r="W336" s="42">
        <f>IFERROR(IF(V336=0,"",ROUNDUP(V336/H336,0)*0.02175),"")</f>
        <v/>
      </c>
      <c r="X336" s="69" t="inlineStr"/>
      <c r="Y336" s="70" t="inlineStr"/>
      <c r="AC336" s="248" t="inlineStr">
        <is>
          <t>КИ</t>
        </is>
      </c>
    </row>
    <row r="337">
      <c r="A337" s="383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679" t="n"/>
      <c r="M337" s="680" t="inlineStr">
        <is>
          <t>Итого</t>
        </is>
      </c>
      <c r="N337" s="650" t="n"/>
      <c r="O337" s="650" t="n"/>
      <c r="P337" s="650" t="n"/>
      <c r="Q337" s="650" t="n"/>
      <c r="R337" s="650" t="n"/>
      <c r="S337" s="651" t="n"/>
      <c r="T337" s="43" t="inlineStr">
        <is>
          <t>кор</t>
        </is>
      </c>
      <c r="U337" s="681">
        <f>IFERROR(U336/H336,"0")</f>
        <v/>
      </c>
      <c r="V337" s="681">
        <f>IFERROR(V336/H336,"0")</f>
        <v/>
      </c>
      <c r="W337" s="681">
        <f>IFERROR(IF(W336="",0,W336),"0")</f>
        <v/>
      </c>
      <c r="X337" s="682" t="n"/>
      <c r="Y337" s="682" t="n"/>
    </row>
    <row r="33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679" t="n"/>
      <c r="M338" s="680" t="inlineStr">
        <is>
          <t>Итого</t>
        </is>
      </c>
      <c r="N338" s="650" t="n"/>
      <c r="O338" s="650" t="n"/>
      <c r="P338" s="650" t="n"/>
      <c r="Q338" s="650" t="n"/>
      <c r="R338" s="650" t="n"/>
      <c r="S338" s="651" t="n"/>
      <c r="T338" s="43" t="inlineStr">
        <is>
          <t>кг</t>
        </is>
      </c>
      <c r="U338" s="681">
        <f>IFERROR(SUM(U336:U336),"0")</f>
        <v/>
      </c>
      <c r="V338" s="681">
        <f>IFERROR(SUM(V336:V336),"0")</f>
        <v/>
      </c>
      <c r="W338" s="43" t="n"/>
      <c r="X338" s="682" t="n"/>
      <c r="Y338" s="682" t="n"/>
    </row>
    <row r="339" ht="27.75" customHeight="1">
      <c r="A339" s="372" t="inlineStr">
        <is>
          <t>Баварушка</t>
        </is>
      </c>
      <c r="B339" s="673" t="n"/>
      <c r="C339" s="673" t="n"/>
      <c r="D339" s="673" t="n"/>
      <c r="E339" s="673" t="n"/>
      <c r="F339" s="673" t="n"/>
      <c r="G339" s="673" t="n"/>
      <c r="H339" s="673" t="n"/>
      <c r="I339" s="673" t="n"/>
      <c r="J339" s="673" t="n"/>
      <c r="K339" s="673" t="n"/>
      <c r="L339" s="673" t="n"/>
      <c r="M339" s="673" t="n"/>
      <c r="N339" s="673" t="n"/>
      <c r="O339" s="673" t="n"/>
      <c r="P339" s="673" t="n"/>
      <c r="Q339" s="673" t="n"/>
      <c r="R339" s="673" t="n"/>
      <c r="S339" s="673" t="n"/>
      <c r="T339" s="673" t="n"/>
      <c r="U339" s="673" t="n"/>
      <c r="V339" s="673" t="n"/>
      <c r="W339" s="673" t="n"/>
      <c r="X339" s="55" t="n"/>
      <c r="Y339" s="55" t="n"/>
    </row>
    <row r="340" ht="16.5" customHeight="1">
      <c r="A340" s="373" t="inlineStr">
        <is>
          <t>Филейбургская</t>
        </is>
      </c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373" t="n"/>
      <c r="Y340" s="373" t="n"/>
    </row>
    <row r="341" ht="14.25" customHeight="1">
      <c r="A341" s="374" t="inlineStr">
        <is>
          <t>Вареные колбасы</t>
        </is>
      </c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374" t="n"/>
      <c r="Y341" s="374" t="n"/>
    </row>
    <row r="342" ht="27" customHeight="1">
      <c r="A342" s="64" t="inlineStr">
        <is>
          <t>SU002477</t>
        </is>
      </c>
      <c r="B342" s="64" t="inlineStr">
        <is>
          <t>P003148</t>
        </is>
      </c>
      <c r="C342" s="37" t="n">
        <v>4301011428</v>
      </c>
      <c r="D342" s="375" t="n">
        <v>4607091389708</v>
      </c>
      <c r="E342" s="642" t="n"/>
      <c r="F342" s="674" t="n">
        <v>0.45</v>
      </c>
      <c r="G342" s="38" t="n">
        <v>6</v>
      </c>
      <c r="H342" s="674" t="n">
        <v>2.7</v>
      </c>
      <c r="I342" s="674" t="n">
        <v>2.9</v>
      </c>
      <c r="J342" s="38" t="n">
        <v>156</v>
      </c>
      <c r="K342" s="39" t="inlineStr">
        <is>
          <t>СК1</t>
        </is>
      </c>
      <c r="L342" s="38" t="n">
        <v>50</v>
      </c>
      <c r="M342" s="859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N342" s="676" t="n"/>
      <c r="O342" s="676" t="n"/>
      <c r="P342" s="676" t="n"/>
      <c r="Q342" s="642" t="n"/>
      <c r="R342" s="40" t="inlineStr"/>
      <c r="S342" s="40" t="inlineStr"/>
      <c r="T342" s="41" t="inlineStr">
        <is>
          <t>кг</t>
        </is>
      </c>
      <c r="U342" s="677" t="n">
        <v>0</v>
      </c>
      <c r="V342" s="678">
        <f>IFERROR(IF(U342="",0,CEILING((U342/$H342),1)*$H342),"")</f>
        <v/>
      </c>
      <c r="W342" s="42">
        <f>IFERROR(IF(V342=0,"",ROUNDUP(V342/H342,0)*0.00753),"")</f>
        <v/>
      </c>
      <c r="X342" s="69" t="inlineStr"/>
      <c r="Y342" s="70" t="inlineStr"/>
      <c r="AC342" s="249" t="inlineStr">
        <is>
          <t>КИ</t>
        </is>
      </c>
    </row>
    <row r="343" ht="27" customHeight="1">
      <c r="A343" s="64" t="inlineStr">
        <is>
          <t>SU002476</t>
        </is>
      </c>
      <c r="B343" s="64" t="inlineStr">
        <is>
          <t>P003147</t>
        </is>
      </c>
      <c r="C343" s="37" t="n">
        <v>4301011427</v>
      </c>
      <c r="D343" s="375" t="n">
        <v>4607091389692</v>
      </c>
      <c r="E343" s="642" t="n"/>
      <c r="F343" s="674" t="n">
        <v>0.45</v>
      </c>
      <c r="G343" s="38" t="n">
        <v>6</v>
      </c>
      <c r="H343" s="674" t="n">
        <v>2.7</v>
      </c>
      <c r="I343" s="674" t="n">
        <v>2.9</v>
      </c>
      <c r="J343" s="38" t="n">
        <v>156</v>
      </c>
      <c r="K343" s="39" t="inlineStr">
        <is>
          <t>СК1</t>
        </is>
      </c>
      <c r="L343" s="38" t="n">
        <v>50</v>
      </c>
      <c r="M343" s="860" t="inlineStr">
        <is>
          <t>Вареные колбасы Филейбургская Филейбургская Фикс.Вес 0,45 П/а Баварушка</t>
        </is>
      </c>
      <c r="N343" s="676" t="n"/>
      <c r="O343" s="676" t="n"/>
      <c r="P343" s="676" t="n"/>
      <c r="Q343" s="642" t="n"/>
      <c r="R343" s="40" t="inlineStr"/>
      <c r="S343" s="40" t="inlineStr"/>
      <c r="T343" s="41" t="inlineStr">
        <is>
          <t>кг</t>
        </is>
      </c>
      <c r="U343" s="677" t="n">
        <v>0</v>
      </c>
      <c r="V343" s="678">
        <f>IFERROR(IF(U343="",0,CEILING((U343/$H343),1)*$H343),"")</f>
        <v/>
      </c>
      <c r="W343" s="42">
        <f>IFERROR(IF(V343=0,"",ROUNDUP(V343/H343,0)*0.00753),"")</f>
        <v/>
      </c>
      <c r="X343" s="69" t="inlineStr"/>
      <c r="Y343" s="70" t="inlineStr"/>
      <c r="AC343" s="250" t="inlineStr">
        <is>
          <t>КИ</t>
        </is>
      </c>
    </row>
    <row r="344">
      <c r="A344" s="383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679" t="n"/>
      <c r="M344" s="680" t="inlineStr">
        <is>
          <t>Итого</t>
        </is>
      </c>
      <c r="N344" s="650" t="n"/>
      <c r="O344" s="650" t="n"/>
      <c r="P344" s="650" t="n"/>
      <c r="Q344" s="650" t="n"/>
      <c r="R344" s="650" t="n"/>
      <c r="S344" s="651" t="n"/>
      <c r="T344" s="43" t="inlineStr">
        <is>
          <t>кор</t>
        </is>
      </c>
      <c r="U344" s="681">
        <f>IFERROR(U342/H342,"0")+IFERROR(U343/H343,"0")</f>
        <v/>
      </c>
      <c r="V344" s="681">
        <f>IFERROR(V342/H342,"0")+IFERROR(V343/H343,"0")</f>
        <v/>
      </c>
      <c r="W344" s="681">
        <f>IFERROR(IF(W342="",0,W342),"0")+IFERROR(IF(W343="",0,W343),"0")</f>
        <v/>
      </c>
      <c r="X344" s="682" t="n"/>
      <c r="Y344" s="682" t="n"/>
    </row>
    <row r="345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679" t="n"/>
      <c r="M345" s="680" t="inlineStr">
        <is>
          <t>Итого</t>
        </is>
      </c>
      <c r="N345" s="650" t="n"/>
      <c r="O345" s="650" t="n"/>
      <c r="P345" s="650" t="n"/>
      <c r="Q345" s="650" t="n"/>
      <c r="R345" s="650" t="n"/>
      <c r="S345" s="651" t="n"/>
      <c r="T345" s="43" t="inlineStr">
        <is>
          <t>кг</t>
        </is>
      </c>
      <c r="U345" s="681">
        <f>IFERROR(SUM(U342:U343),"0")</f>
        <v/>
      </c>
      <c r="V345" s="681">
        <f>IFERROR(SUM(V342:V343),"0")</f>
        <v/>
      </c>
      <c r="W345" s="43" t="n"/>
      <c r="X345" s="682" t="n"/>
      <c r="Y345" s="682" t="n"/>
    </row>
    <row r="346" ht="14.25" customHeight="1">
      <c r="A346" s="374" t="inlineStr">
        <is>
          <t>Копченые колбасы</t>
        </is>
      </c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374" t="n"/>
      <c r="Y346" s="374" t="n"/>
    </row>
    <row r="347" ht="37.5" customHeight="1">
      <c r="A347" s="64" t="inlineStr">
        <is>
          <t>SU003035</t>
        </is>
      </c>
      <c r="B347" s="64" t="inlineStr">
        <is>
          <t>P003496</t>
        </is>
      </c>
      <c r="C347" s="37" t="n">
        <v>4301031236</v>
      </c>
      <c r="D347" s="375" t="n">
        <v>4680115882928</v>
      </c>
      <c r="E347" s="642" t="n"/>
      <c r="F347" s="674" t="n">
        <v>0.28</v>
      </c>
      <c r="G347" s="38" t="n">
        <v>6</v>
      </c>
      <c r="H347" s="674" t="n">
        <v>1.68</v>
      </c>
      <c r="I347" s="674" t="n">
        <v>2.6</v>
      </c>
      <c r="J347" s="38" t="n">
        <v>156</v>
      </c>
      <c r="K347" s="39" t="inlineStr">
        <is>
          <t>СК2</t>
        </is>
      </c>
      <c r="L347" s="38" t="n">
        <v>35</v>
      </c>
      <c r="M347" s="861" t="inlineStr">
        <is>
          <t>Копченые колбасы «Филейбурские с филе сочного окорока копченые» ф/в 0,28 б/о ТМ «Баварушка»</t>
        </is>
      </c>
      <c r="N347" s="676" t="n"/>
      <c r="O347" s="676" t="n"/>
      <c r="P347" s="676" t="n"/>
      <c r="Q347" s="642" t="n"/>
      <c r="R347" s="40" t="inlineStr"/>
      <c r="S347" s="40" t="inlineStr"/>
      <c r="T347" s="41" t="inlineStr">
        <is>
          <t>кг</t>
        </is>
      </c>
      <c r="U347" s="677" t="n">
        <v>0</v>
      </c>
      <c r="V347" s="678">
        <f>IFERROR(IF(U347="",0,CEILING((U347/$H347),1)*$H347),"")</f>
        <v/>
      </c>
      <c r="W347" s="42">
        <f>IFERROR(IF(V347=0,"",ROUNDUP(V347/H347,0)*0.00753),"")</f>
        <v/>
      </c>
      <c r="X347" s="69" t="inlineStr"/>
      <c r="Y347" s="70" t="inlineStr">
        <is>
          <t>Новинка</t>
        </is>
      </c>
      <c r="AC347" s="251" t="inlineStr">
        <is>
          <t>КИ</t>
        </is>
      </c>
    </row>
    <row r="348" ht="27" customHeight="1">
      <c r="A348" s="64" t="inlineStr">
        <is>
          <t>SU003082</t>
        </is>
      </c>
      <c r="B348" s="64" t="inlineStr">
        <is>
          <t>P003644</t>
        </is>
      </c>
      <c r="C348" s="37" t="n">
        <v>4301031255</v>
      </c>
      <c r="D348" s="375" t="n">
        <v>4680115883185</v>
      </c>
      <c r="E348" s="642" t="n"/>
      <c r="F348" s="674" t="n">
        <v>0.28</v>
      </c>
      <c r="G348" s="38" t="n">
        <v>6</v>
      </c>
      <c r="H348" s="674" t="n">
        <v>1.68</v>
      </c>
      <c r="I348" s="674" t="n">
        <v>1.81</v>
      </c>
      <c r="J348" s="38" t="n">
        <v>234</v>
      </c>
      <c r="K348" s="39" t="inlineStr">
        <is>
          <t>СК2</t>
        </is>
      </c>
      <c r="L348" s="38" t="n">
        <v>45</v>
      </c>
      <c r="M348" s="862" t="inlineStr">
        <is>
          <t>В/к колбасы «Филейбургская с душистым чесноком» срез Фикс.вес 0,28 фиброуз в/у Баварушка</t>
        </is>
      </c>
      <c r="N348" s="676" t="n"/>
      <c r="O348" s="676" t="n"/>
      <c r="P348" s="676" t="n"/>
      <c r="Q348" s="642" t="n"/>
      <c r="R348" s="40" t="inlineStr"/>
      <c r="S348" s="40" t="inlineStr"/>
      <c r="T348" s="41" t="inlineStr">
        <is>
          <t>кг</t>
        </is>
      </c>
      <c r="U348" s="677" t="n">
        <v>0</v>
      </c>
      <c r="V348" s="678">
        <f>IFERROR(IF(U348="",0,CEILING((U348/$H348),1)*$H348),"")</f>
        <v/>
      </c>
      <c r="W348" s="42">
        <f>IFERROR(IF(V348=0,"",ROUNDUP(V348/H348,0)*0.00502),"")</f>
        <v/>
      </c>
      <c r="X348" s="69" t="inlineStr"/>
      <c r="Y348" s="70" t="inlineStr">
        <is>
          <t>Новинка</t>
        </is>
      </c>
      <c r="AC348" s="252" t="inlineStr">
        <is>
          <t>КИ</t>
        </is>
      </c>
    </row>
    <row r="349" ht="27" customHeight="1">
      <c r="A349" s="64" t="inlineStr">
        <is>
          <t>SU002614</t>
        </is>
      </c>
      <c r="B349" s="64" t="inlineStr">
        <is>
          <t>P003138</t>
        </is>
      </c>
      <c r="C349" s="37" t="n">
        <v>4301031177</v>
      </c>
      <c r="D349" s="375" t="n">
        <v>4607091389753</v>
      </c>
      <c r="E349" s="642" t="n"/>
      <c r="F349" s="674" t="n">
        <v>0.7</v>
      </c>
      <c r="G349" s="38" t="n">
        <v>6</v>
      </c>
      <c r="H349" s="674" t="n">
        <v>4.2</v>
      </c>
      <c r="I349" s="674" t="n">
        <v>4.43</v>
      </c>
      <c r="J349" s="38" t="n">
        <v>156</v>
      </c>
      <c r="K349" s="39" t="inlineStr">
        <is>
          <t>СК2</t>
        </is>
      </c>
      <c r="L349" s="38" t="n">
        <v>45</v>
      </c>
      <c r="M349" s="863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N349" s="676" t="n"/>
      <c r="O349" s="676" t="n"/>
      <c r="P349" s="676" t="n"/>
      <c r="Q349" s="642" t="n"/>
      <c r="R349" s="40" t="inlineStr"/>
      <c r="S349" s="40" t="inlineStr"/>
      <c r="T349" s="41" t="inlineStr">
        <is>
          <t>кг</t>
        </is>
      </c>
      <c r="U349" s="677" t="n">
        <v>0</v>
      </c>
      <c r="V349" s="678">
        <f>IFERROR(IF(U349="",0,CEILING((U349/$H349),1)*$H349),"")</f>
        <v/>
      </c>
      <c r="W349" s="42">
        <f>IFERROR(IF(V349=0,"",ROUNDUP(V349/H349,0)*0.00753),"")</f>
        <v/>
      </c>
      <c r="X349" s="69" t="inlineStr"/>
      <c r="Y349" s="70" t="inlineStr"/>
      <c r="AC349" s="253" t="inlineStr">
        <is>
          <t>КИ</t>
        </is>
      </c>
    </row>
    <row r="350" ht="27" customHeight="1">
      <c r="A350" s="64" t="inlineStr">
        <is>
          <t>SU002615</t>
        </is>
      </c>
      <c r="B350" s="64" t="inlineStr">
        <is>
          <t>P003136</t>
        </is>
      </c>
      <c r="C350" s="37" t="n">
        <v>4301031174</v>
      </c>
      <c r="D350" s="375" t="n">
        <v>4607091389760</v>
      </c>
      <c r="E350" s="642" t="n"/>
      <c r="F350" s="674" t="n">
        <v>0.7</v>
      </c>
      <c r="G350" s="38" t="n">
        <v>6</v>
      </c>
      <c r="H350" s="674" t="n">
        <v>4.2</v>
      </c>
      <c r="I350" s="674" t="n">
        <v>4.43</v>
      </c>
      <c r="J350" s="38" t="n">
        <v>156</v>
      </c>
      <c r="K350" s="39" t="inlineStr">
        <is>
          <t>СК2</t>
        </is>
      </c>
      <c r="L350" s="38" t="n">
        <v>45</v>
      </c>
      <c r="M350" s="864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N350" s="676" t="n"/>
      <c r="O350" s="676" t="n"/>
      <c r="P350" s="676" t="n"/>
      <c r="Q350" s="642" t="n"/>
      <c r="R350" s="40" t="inlineStr"/>
      <c r="S350" s="40" t="inlineStr"/>
      <c r="T350" s="41" t="inlineStr">
        <is>
          <t>кг</t>
        </is>
      </c>
      <c r="U350" s="677" t="n">
        <v>0</v>
      </c>
      <c r="V350" s="678">
        <f>IFERROR(IF(U350="",0,CEILING((U350/$H350),1)*$H350),"")</f>
        <v/>
      </c>
      <c r="W350" s="42">
        <f>IFERROR(IF(V350=0,"",ROUNDUP(V350/H350,0)*0.00753),"")</f>
        <v/>
      </c>
      <c r="X350" s="69" t="inlineStr"/>
      <c r="Y350" s="70" t="inlineStr"/>
      <c r="AC350" s="254" t="inlineStr">
        <is>
          <t>КИ</t>
        </is>
      </c>
    </row>
    <row r="351" ht="27" customHeight="1">
      <c r="A351" s="64" t="inlineStr">
        <is>
          <t>SU002613</t>
        </is>
      </c>
      <c r="B351" s="64" t="inlineStr">
        <is>
          <t>P003133</t>
        </is>
      </c>
      <c r="C351" s="37" t="n">
        <v>4301031175</v>
      </c>
      <c r="D351" s="375" t="n">
        <v>4607091389746</v>
      </c>
      <c r="E351" s="642" t="n"/>
      <c r="F351" s="674" t="n">
        <v>0.7</v>
      </c>
      <c r="G351" s="38" t="n">
        <v>6</v>
      </c>
      <c r="H351" s="674" t="n">
        <v>4.2</v>
      </c>
      <c r="I351" s="674" t="n">
        <v>4.43</v>
      </c>
      <c r="J351" s="38" t="n">
        <v>156</v>
      </c>
      <c r="K351" s="39" t="inlineStr">
        <is>
          <t>СК2</t>
        </is>
      </c>
      <c r="L351" s="38" t="n">
        <v>45</v>
      </c>
      <c r="M351" s="865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N351" s="676" t="n"/>
      <c r="O351" s="676" t="n"/>
      <c r="P351" s="676" t="n"/>
      <c r="Q351" s="642" t="n"/>
      <c r="R351" s="40" t="inlineStr"/>
      <c r="S351" s="40" t="inlineStr"/>
      <c r="T351" s="41" t="inlineStr">
        <is>
          <t>кг</t>
        </is>
      </c>
      <c r="U351" s="677" t="n">
        <v>0</v>
      </c>
      <c r="V351" s="678">
        <f>IFERROR(IF(U351="",0,CEILING((U351/$H351),1)*$H351),"")</f>
        <v/>
      </c>
      <c r="W351" s="42">
        <f>IFERROR(IF(V351=0,"",ROUNDUP(V351/H351,0)*0.00753),"")</f>
        <v/>
      </c>
      <c r="X351" s="69" t="inlineStr"/>
      <c r="Y351" s="70" t="inlineStr"/>
      <c r="AC351" s="255" t="inlineStr">
        <is>
          <t>КИ</t>
        </is>
      </c>
    </row>
    <row r="352" ht="27" customHeight="1">
      <c r="A352" s="64" t="inlineStr">
        <is>
          <t>SU003083</t>
        </is>
      </c>
      <c r="B352" s="64" t="inlineStr">
        <is>
          <t>P003646</t>
        </is>
      </c>
      <c r="C352" s="37" t="n">
        <v>4301031257</v>
      </c>
      <c r="D352" s="375" t="n">
        <v>4680115883147</v>
      </c>
      <c r="E352" s="642" t="n"/>
      <c r="F352" s="674" t="n">
        <v>0.28</v>
      </c>
      <c r="G352" s="38" t="n">
        <v>6</v>
      </c>
      <c r="H352" s="674" t="n">
        <v>1.68</v>
      </c>
      <c r="I352" s="674" t="n">
        <v>1.81</v>
      </c>
      <c r="J352" s="38" t="n">
        <v>234</v>
      </c>
      <c r="K352" s="39" t="inlineStr">
        <is>
          <t>СК2</t>
        </is>
      </c>
      <c r="L352" s="38" t="n">
        <v>45</v>
      </c>
      <c r="M352" s="866" t="inlineStr">
        <is>
          <t>В/к колбасы «Салями Филейбургская зернистая» срез Фикс.вес 0,28 фиброуз ТМ «Баварушка»</t>
        </is>
      </c>
      <c r="N352" s="676" t="n"/>
      <c r="O352" s="676" t="n"/>
      <c r="P352" s="676" t="n"/>
      <c r="Q352" s="642" t="n"/>
      <c r="R352" s="40" t="inlineStr"/>
      <c r="S352" s="40" t="inlineStr"/>
      <c r="T352" s="41" t="inlineStr">
        <is>
          <t>кг</t>
        </is>
      </c>
      <c r="U352" s="677" t="n">
        <v>0</v>
      </c>
      <c r="V352" s="678">
        <f>IFERROR(IF(U352="",0,CEILING((U352/$H352),1)*$H352),"")</f>
        <v/>
      </c>
      <c r="W352" s="42">
        <f>IFERROR(IF(V352=0,"",ROUNDUP(V352/H352,0)*0.00502),"")</f>
        <v/>
      </c>
      <c r="X352" s="69" t="inlineStr"/>
      <c r="Y352" s="70" t="inlineStr"/>
      <c r="AC352" s="256" t="inlineStr">
        <is>
          <t>КИ</t>
        </is>
      </c>
    </row>
    <row r="353" ht="27" customHeight="1">
      <c r="A353" s="64" t="inlineStr">
        <is>
          <t>SU002538</t>
        </is>
      </c>
      <c r="B353" s="64" t="inlineStr">
        <is>
          <t>P003139</t>
        </is>
      </c>
      <c r="C353" s="37" t="n">
        <v>4301031178</v>
      </c>
      <c r="D353" s="375" t="n">
        <v>4607091384338</v>
      </c>
      <c r="E353" s="642" t="n"/>
      <c r="F353" s="674" t="n">
        <v>0.35</v>
      </c>
      <c r="G353" s="38" t="n">
        <v>6</v>
      </c>
      <c r="H353" s="674" t="n">
        <v>2.1</v>
      </c>
      <c r="I353" s="674" t="n">
        <v>2.23</v>
      </c>
      <c r="J353" s="38" t="n">
        <v>234</v>
      </c>
      <c r="K353" s="39" t="inlineStr">
        <is>
          <t>СК2</t>
        </is>
      </c>
      <c r="L353" s="38" t="n">
        <v>45</v>
      </c>
      <c r="M353" s="867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N353" s="676" t="n"/>
      <c r="O353" s="676" t="n"/>
      <c r="P353" s="676" t="n"/>
      <c r="Q353" s="642" t="n"/>
      <c r="R353" s="40" t="inlineStr"/>
      <c r="S353" s="40" t="inlineStr"/>
      <c r="T353" s="41" t="inlineStr">
        <is>
          <t>кг</t>
        </is>
      </c>
      <c r="U353" s="677" t="n">
        <v>0</v>
      </c>
      <c r="V353" s="678">
        <f>IFERROR(IF(U353="",0,CEILING((U353/$H353),1)*$H353),"")</f>
        <v/>
      </c>
      <c r="W353" s="42">
        <f>IFERROR(IF(V353=0,"",ROUNDUP(V353/H353,0)*0.00502),"")</f>
        <v/>
      </c>
      <c r="X353" s="69" t="inlineStr"/>
      <c r="Y353" s="70" t="inlineStr"/>
      <c r="AC353" s="257" t="inlineStr">
        <is>
          <t>КИ</t>
        </is>
      </c>
    </row>
    <row r="354" ht="37.5" customHeight="1">
      <c r="A354" s="64" t="inlineStr">
        <is>
          <t>SU003079</t>
        </is>
      </c>
      <c r="B354" s="64" t="inlineStr">
        <is>
          <t>P003643</t>
        </is>
      </c>
      <c r="C354" s="37" t="n">
        <v>4301031254</v>
      </c>
      <c r="D354" s="375" t="n">
        <v>4680115883154</v>
      </c>
      <c r="E354" s="642" t="n"/>
      <c r="F354" s="674" t="n">
        <v>0.28</v>
      </c>
      <c r="G354" s="38" t="n">
        <v>6</v>
      </c>
      <c r="H354" s="674" t="n">
        <v>1.68</v>
      </c>
      <c r="I354" s="674" t="n">
        <v>1.81</v>
      </c>
      <c r="J354" s="38" t="n">
        <v>234</v>
      </c>
      <c r="K354" s="39" t="inlineStr">
        <is>
          <t>СК2</t>
        </is>
      </c>
      <c r="L354" s="38" t="n">
        <v>45</v>
      </c>
      <c r="M354" s="868" t="inlineStr">
        <is>
          <t>В/к колбасы «Сервелат Филейбургский с ароматными пряностями» срез Фикс.вес 0,28 фиброуз ТМ «Баварушка»</t>
        </is>
      </c>
      <c r="N354" s="676" t="n"/>
      <c r="O354" s="676" t="n"/>
      <c r="P354" s="676" t="n"/>
      <c r="Q354" s="642" t="n"/>
      <c r="R354" s="40" t="inlineStr"/>
      <c r="S354" s="40" t="inlineStr"/>
      <c r="T354" s="41" t="inlineStr">
        <is>
          <t>кг</t>
        </is>
      </c>
      <c r="U354" s="677" t="n">
        <v>0</v>
      </c>
      <c r="V354" s="678">
        <f>IFERROR(IF(U354="",0,CEILING((U354/$H354),1)*$H354),"")</f>
        <v/>
      </c>
      <c r="W354" s="42">
        <f>IFERROR(IF(V354=0,"",ROUNDUP(V354/H354,0)*0.00502),"")</f>
        <v/>
      </c>
      <c r="X354" s="69" t="inlineStr"/>
      <c r="Y354" s="70" t="inlineStr"/>
      <c r="AC354" s="258" t="inlineStr">
        <is>
          <t>КИ</t>
        </is>
      </c>
    </row>
    <row r="355" ht="37.5" customHeight="1">
      <c r="A355" s="64" t="inlineStr">
        <is>
          <t>SU002602</t>
        </is>
      </c>
      <c r="B355" s="64" t="inlineStr">
        <is>
          <t>P003132</t>
        </is>
      </c>
      <c r="C355" s="37" t="n">
        <v>4301031171</v>
      </c>
      <c r="D355" s="375" t="n">
        <v>4607091389524</v>
      </c>
      <c r="E355" s="642" t="n"/>
      <c r="F355" s="674" t="n">
        <v>0.35</v>
      </c>
      <c r="G355" s="38" t="n">
        <v>6</v>
      </c>
      <c r="H355" s="674" t="n">
        <v>2.1</v>
      </c>
      <c r="I355" s="674" t="n">
        <v>2.23</v>
      </c>
      <c r="J355" s="38" t="n">
        <v>234</v>
      </c>
      <c r="K355" s="39" t="inlineStr">
        <is>
          <t>СК2</t>
        </is>
      </c>
      <c r="L355" s="38" t="n">
        <v>45</v>
      </c>
      <c r="M355" s="869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N355" s="676" t="n"/>
      <c r="O355" s="676" t="n"/>
      <c r="P355" s="676" t="n"/>
      <c r="Q355" s="642" t="n"/>
      <c r="R355" s="40" t="inlineStr"/>
      <c r="S355" s="40" t="inlineStr"/>
      <c r="T355" s="41" t="inlineStr">
        <is>
          <t>кг</t>
        </is>
      </c>
      <c r="U355" s="677" t="n">
        <v>0</v>
      </c>
      <c r="V355" s="678">
        <f>IFERROR(IF(U355="",0,CEILING((U355/$H355),1)*$H355),"")</f>
        <v/>
      </c>
      <c r="W355" s="42">
        <f>IFERROR(IF(V355=0,"",ROUNDUP(V355/H355,0)*0.00502),"")</f>
        <v/>
      </c>
      <c r="X355" s="69" t="inlineStr"/>
      <c r="Y355" s="70" t="inlineStr"/>
      <c r="AC355" s="259" t="inlineStr">
        <is>
          <t>КИ</t>
        </is>
      </c>
    </row>
    <row r="356" ht="27" customHeight="1">
      <c r="A356" s="64" t="inlineStr">
        <is>
          <t>SU003080</t>
        </is>
      </c>
      <c r="B356" s="64" t="inlineStr">
        <is>
          <t>P003647</t>
        </is>
      </c>
      <c r="C356" s="37" t="n">
        <v>4301031258</v>
      </c>
      <c r="D356" s="375" t="n">
        <v>4680115883161</v>
      </c>
      <c r="E356" s="642" t="n"/>
      <c r="F356" s="674" t="n">
        <v>0.28</v>
      </c>
      <c r="G356" s="38" t="n">
        <v>6</v>
      </c>
      <c r="H356" s="674" t="n">
        <v>1.68</v>
      </c>
      <c r="I356" s="674" t="n">
        <v>1.81</v>
      </c>
      <c r="J356" s="38" t="n">
        <v>234</v>
      </c>
      <c r="K356" s="39" t="inlineStr">
        <is>
          <t>СК2</t>
        </is>
      </c>
      <c r="L356" s="38" t="n">
        <v>45</v>
      </c>
      <c r="M356" s="870" t="inlineStr">
        <is>
          <t>В/к колбасы «Сервелат Филейбургский с копченой грудинкой» срез Филейбургская Фикс.вес 0,28 фиброуз ТМ «Баварушка»</t>
        </is>
      </c>
      <c r="N356" s="676" t="n"/>
      <c r="O356" s="676" t="n"/>
      <c r="P356" s="676" t="n"/>
      <c r="Q356" s="642" t="n"/>
      <c r="R356" s="40" t="inlineStr"/>
      <c r="S356" s="40" t="inlineStr"/>
      <c r="T356" s="41" t="inlineStr">
        <is>
          <t>кг</t>
        </is>
      </c>
      <c r="U356" s="677" t="n">
        <v>0</v>
      </c>
      <c r="V356" s="678">
        <f>IFERROR(IF(U356="",0,CEILING((U356/$H356),1)*$H356),"")</f>
        <v/>
      </c>
      <c r="W356" s="42">
        <f>IFERROR(IF(V356=0,"",ROUNDUP(V356/H356,0)*0.00502),"")</f>
        <v/>
      </c>
      <c r="X356" s="69" t="inlineStr"/>
      <c r="Y356" s="70" t="inlineStr"/>
      <c r="AC356" s="260" t="inlineStr">
        <is>
          <t>КИ</t>
        </is>
      </c>
    </row>
    <row r="357" ht="27" customHeight="1">
      <c r="A357" s="64" t="inlineStr">
        <is>
          <t>SU002603</t>
        </is>
      </c>
      <c r="B357" s="64" t="inlineStr">
        <is>
          <t>P003131</t>
        </is>
      </c>
      <c r="C357" s="37" t="n">
        <v>4301031170</v>
      </c>
      <c r="D357" s="375" t="n">
        <v>4607091384345</v>
      </c>
      <c r="E357" s="642" t="n"/>
      <c r="F357" s="674" t="n">
        <v>0.35</v>
      </c>
      <c r="G357" s="38" t="n">
        <v>6</v>
      </c>
      <c r="H357" s="674" t="n">
        <v>2.1</v>
      </c>
      <c r="I357" s="674" t="n">
        <v>2.23</v>
      </c>
      <c r="J357" s="38" t="n">
        <v>234</v>
      </c>
      <c r="K357" s="39" t="inlineStr">
        <is>
          <t>СК2</t>
        </is>
      </c>
      <c r="L357" s="38" t="n">
        <v>45</v>
      </c>
      <c r="M357" s="871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N357" s="676" t="n"/>
      <c r="O357" s="676" t="n"/>
      <c r="P357" s="676" t="n"/>
      <c r="Q357" s="642" t="n"/>
      <c r="R357" s="40" t="inlineStr"/>
      <c r="S357" s="40" t="inlineStr"/>
      <c r="T357" s="41" t="inlineStr">
        <is>
          <t>кг</t>
        </is>
      </c>
      <c r="U357" s="677" t="n">
        <v>0</v>
      </c>
      <c r="V357" s="678">
        <f>IFERROR(IF(U357="",0,CEILING((U357/$H357),1)*$H357),"")</f>
        <v/>
      </c>
      <c r="W357" s="42">
        <f>IFERROR(IF(V357=0,"",ROUNDUP(V357/H357,0)*0.00502),"")</f>
        <v/>
      </c>
      <c r="X357" s="69" t="inlineStr"/>
      <c r="Y357" s="70" t="inlineStr"/>
      <c r="AC357" s="261" t="inlineStr">
        <is>
          <t>КИ</t>
        </is>
      </c>
    </row>
    <row r="358" ht="27" customHeight="1">
      <c r="A358" s="64" t="inlineStr">
        <is>
          <t>SU003081</t>
        </is>
      </c>
      <c r="B358" s="64" t="inlineStr">
        <is>
          <t>P003645</t>
        </is>
      </c>
      <c r="C358" s="37" t="n">
        <v>4301031256</v>
      </c>
      <c r="D358" s="375" t="n">
        <v>4680115883178</v>
      </c>
      <c r="E358" s="642" t="n"/>
      <c r="F358" s="674" t="n">
        <v>0.28</v>
      </c>
      <c r="G358" s="38" t="n">
        <v>6</v>
      </c>
      <c r="H358" s="674" t="n">
        <v>1.68</v>
      </c>
      <c r="I358" s="674" t="n">
        <v>1.81</v>
      </c>
      <c r="J358" s="38" t="n">
        <v>234</v>
      </c>
      <c r="K358" s="39" t="inlineStr">
        <is>
          <t>СК2</t>
        </is>
      </c>
      <c r="L358" s="38" t="n">
        <v>45</v>
      </c>
      <c r="M358" s="872" t="inlineStr">
        <is>
          <t>В/к колбасы «Сервелат Филейбургский с филе сочного окорока» срез Фикс.вес 0,28 Фиброуз в/у ТМ «Баварушка»</t>
        </is>
      </c>
      <c r="N358" s="676" t="n"/>
      <c r="O358" s="676" t="n"/>
      <c r="P358" s="676" t="n"/>
      <c r="Q358" s="642" t="n"/>
      <c r="R358" s="40" t="inlineStr"/>
      <c r="S358" s="40" t="inlineStr"/>
      <c r="T358" s="41" t="inlineStr">
        <is>
          <t>кг</t>
        </is>
      </c>
      <c r="U358" s="677" t="n">
        <v>0</v>
      </c>
      <c r="V358" s="678">
        <f>IFERROR(IF(U358="",0,CEILING((U358/$H358),1)*$H358),"")</f>
        <v/>
      </c>
      <c r="W358" s="42">
        <f>IFERROR(IF(V358=0,"",ROUNDUP(V358/H358,0)*0.00502),"")</f>
        <v/>
      </c>
      <c r="X358" s="69" t="inlineStr"/>
      <c r="Y358" s="70" t="inlineStr"/>
      <c r="AC358" s="262" t="inlineStr">
        <is>
          <t>КИ</t>
        </is>
      </c>
    </row>
    <row r="359" ht="27" customHeight="1">
      <c r="A359" s="64" t="inlineStr">
        <is>
          <t>SU002606</t>
        </is>
      </c>
      <c r="B359" s="64" t="inlineStr">
        <is>
          <t>P003134</t>
        </is>
      </c>
      <c r="C359" s="37" t="n">
        <v>4301031172</v>
      </c>
      <c r="D359" s="375" t="n">
        <v>4607091389531</v>
      </c>
      <c r="E359" s="642" t="n"/>
      <c r="F359" s="674" t="n">
        <v>0.35</v>
      </c>
      <c r="G359" s="38" t="n">
        <v>6</v>
      </c>
      <c r="H359" s="674" t="n">
        <v>2.1</v>
      </c>
      <c r="I359" s="674" t="n">
        <v>2.23</v>
      </c>
      <c r="J359" s="38" t="n">
        <v>234</v>
      </c>
      <c r="K359" s="39" t="inlineStr">
        <is>
          <t>СК2</t>
        </is>
      </c>
      <c r="L359" s="38" t="n">
        <v>45</v>
      </c>
      <c r="M359" s="873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N359" s="676" t="n"/>
      <c r="O359" s="676" t="n"/>
      <c r="P359" s="676" t="n"/>
      <c r="Q359" s="642" t="n"/>
      <c r="R359" s="40" t="inlineStr"/>
      <c r="S359" s="40" t="inlineStr"/>
      <c r="T359" s="41" t="inlineStr">
        <is>
          <t>кг</t>
        </is>
      </c>
      <c r="U359" s="677" t="n">
        <v>0</v>
      </c>
      <c r="V359" s="678">
        <f>IFERROR(IF(U359="",0,CEILING((U359/$H359),1)*$H359),"")</f>
        <v/>
      </c>
      <c r="W359" s="42">
        <f>IFERROR(IF(V359=0,"",ROUNDUP(V359/H359,0)*0.00502),"")</f>
        <v/>
      </c>
      <c r="X359" s="69" t="inlineStr"/>
      <c r="Y359" s="70" t="inlineStr"/>
      <c r="AC359" s="263" t="inlineStr">
        <is>
          <t>КИ</t>
        </is>
      </c>
    </row>
    <row r="360">
      <c r="A360" s="383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679" t="n"/>
      <c r="M360" s="680" t="inlineStr">
        <is>
          <t>Итого</t>
        </is>
      </c>
      <c r="N360" s="650" t="n"/>
      <c r="O360" s="650" t="n"/>
      <c r="P360" s="650" t="n"/>
      <c r="Q360" s="650" t="n"/>
      <c r="R360" s="650" t="n"/>
      <c r="S360" s="651" t="n"/>
      <c r="T360" s="43" t="inlineStr">
        <is>
          <t>кор</t>
        </is>
      </c>
      <c r="U360" s="681">
        <f>IFERROR(U347/H347,"0")+IFERROR(U348/H348,"0")+IFERROR(U349/H349,"0")+IFERROR(U350/H350,"0")+IFERROR(U351/H351,"0")+IFERROR(U352/H352,"0")+IFERROR(U353/H353,"0")+IFERROR(U354/H354,"0")+IFERROR(U355/H355,"0")+IFERROR(U356/H356,"0")+IFERROR(U357/H357,"0")+IFERROR(U358/H358,"0")+IFERROR(U359/H359,"0")</f>
        <v/>
      </c>
      <c r="V360" s="681">
        <f>IFERROR(V347/H347,"0")+IFERROR(V348/H348,"0")+IFERROR(V349/H349,"0")+IFERROR(V350/H350,"0")+IFERROR(V351/H351,"0")+IFERROR(V352/H352,"0")+IFERROR(V353/H353,"0")+IFERROR(V354/H354,"0")+IFERROR(V355/H355,"0")+IFERROR(V356/H356,"0")+IFERROR(V357/H357,"0")+IFERROR(V358/H358,"0")+IFERROR(V359/H359,"0")</f>
        <v/>
      </c>
      <c r="W360" s="681">
        <f>IFERROR(IF(W347="",0,W347),"0")+IFERROR(IF(W348="",0,W348),"0")+IFERROR(IF(W349="",0,W349),"0")+IFERROR(IF(W350="",0,W350),"0")+IFERROR(IF(W351="",0,W351),"0")+IFERROR(IF(W352="",0,W352),"0")+IFERROR(IF(W353="",0,W353),"0")+IFERROR(IF(W354="",0,W354),"0")+IFERROR(IF(W355="",0,W355),"0")+IFERROR(IF(W356="",0,W356),"0")+IFERROR(IF(W357="",0,W357),"0")+IFERROR(IF(W358="",0,W358),"0")+IFERROR(IF(W359="",0,W359),"0")</f>
        <v/>
      </c>
      <c r="X360" s="682" t="n"/>
      <c r="Y360" s="682" t="n"/>
    </row>
    <row r="361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679" t="n"/>
      <c r="M361" s="680" t="inlineStr">
        <is>
          <t>Итого</t>
        </is>
      </c>
      <c r="N361" s="650" t="n"/>
      <c r="O361" s="650" t="n"/>
      <c r="P361" s="650" t="n"/>
      <c r="Q361" s="650" t="n"/>
      <c r="R361" s="650" t="n"/>
      <c r="S361" s="651" t="n"/>
      <c r="T361" s="43" t="inlineStr">
        <is>
          <t>кг</t>
        </is>
      </c>
      <c r="U361" s="681">
        <f>IFERROR(SUM(U347:U359),"0")</f>
        <v/>
      </c>
      <c r="V361" s="681">
        <f>IFERROR(SUM(V347:V359),"0")</f>
        <v/>
      </c>
      <c r="W361" s="43" t="n"/>
      <c r="X361" s="682" t="n"/>
      <c r="Y361" s="682" t="n"/>
    </row>
    <row r="362" ht="14.25" customHeight="1">
      <c r="A362" s="374" t="inlineStr">
        <is>
          <t>Сосиски</t>
        </is>
      </c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374" t="n"/>
      <c r="Y362" s="374" t="n"/>
    </row>
    <row r="363" ht="27" customHeight="1">
      <c r="A363" s="64" t="inlineStr">
        <is>
          <t>SU002448</t>
        </is>
      </c>
      <c r="B363" s="64" t="inlineStr">
        <is>
          <t>P002914</t>
        </is>
      </c>
      <c r="C363" s="37" t="n">
        <v>4301051258</v>
      </c>
      <c r="D363" s="375" t="n">
        <v>4607091389685</v>
      </c>
      <c r="E363" s="642" t="n"/>
      <c r="F363" s="674" t="n">
        <v>1.3</v>
      </c>
      <c r="G363" s="38" t="n">
        <v>6</v>
      </c>
      <c r="H363" s="674" t="n">
        <v>7.8</v>
      </c>
      <c r="I363" s="674" t="n">
        <v>8.346</v>
      </c>
      <c r="J363" s="38" t="n">
        <v>56</v>
      </c>
      <c r="K363" s="39" t="inlineStr">
        <is>
          <t>СК3</t>
        </is>
      </c>
      <c r="L363" s="38" t="n">
        <v>45</v>
      </c>
      <c r="M363" s="874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N363" s="676" t="n"/>
      <c r="O363" s="676" t="n"/>
      <c r="P363" s="676" t="n"/>
      <c r="Q363" s="642" t="n"/>
      <c r="R363" s="40" t="inlineStr"/>
      <c r="S363" s="40" t="inlineStr"/>
      <c r="T363" s="41" t="inlineStr">
        <is>
          <t>кг</t>
        </is>
      </c>
      <c r="U363" s="677" t="n">
        <v>0</v>
      </c>
      <c r="V363" s="678">
        <f>IFERROR(IF(U363="",0,CEILING((U363/$H363),1)*$H363),"")</f>
        <v/>
      </c>
      <c r="W363" s="42">
        <f>IFERROR(IF(V363=0,"",ROUNDUP(V363/H363,0)*0.02175),"")</f>
        <v/>
      </c>
      <c r="X363" s="69" t="inlineStr"/>
      <c r="Y363" s="70" t="inlineStr"/>
      <c r="AC363" s="264" t="inlineStr">
        <is>
          <t>КИ</t>
        </is>
      </c>
    </row>
    <row r="364" ht="27" customHeight="1">
      <c r="A364" s="64" t="inlineStr">
        <is>
          <t>SU002557</t>
        </is>
      </c>
      <c r="B364" s="64" t="inlineStr">
        <is>
          <t>P003318</t>
        </is>
      </c>
      <c r="C364" s="37" t="n">
        <v>4301051431</v>
      </c>
      <c r="D364" s="375" t="n">
        <v>4607091389654</v>
      </c>
      <c r="E364" s="642" t="n"/>
      <c r="F364" s="674" t="n">
        <v>0.33</v>
      </c>
      <c r="G364" s="38" t="n">
        <v>6</v>
      </c>
      <c r="H364" s="674" t="n">
        <v>1.98</v>
      </c>
      <c r="I364" s="674" t="n">
        <v>2.258</v>
      </c>
      <c r="J364" s="38" t="n">
        <v>156</v>
      </c>
      <c r="K364" s="39" t="inlineStr">
        <is>
          <t>СК3</t>
        </is>
      </c>
      <c r="L364" s="38" t="n">
        <v>45</v>
      </c>
      <c r="M364" s="875">
        <f>HYPERLINK("https:///products/Охлажденные/Баварушка/Филейбургская/Сосиски/P003318/","Сосиски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N364" s="676" t="n"/>
      <c r="O364" s="676" t="n"/>
      <c r="P364" s="676" t="n"/>
      <c r="Q364" s="642" t="n"/>
      <c r="R364" s="40" t="inlineStr"/>
      <c r="S364" s="40" t="inlineStr"/>
      <c r="T364" s="41" t="inlineStr">
        <is>
          <t>кг</t>
        </is>
      </c>
      <c r="U364" s="677" t="n">
        <v>0</v>
      </c>
      <c r="V364" s="678">
        <f>IFERROR(IF(U364="",0,CEILING((U364/$H364),1)*$H364),"")</f>
        <v/>
      </c>
      <c r="W364" s="42">
        <f>IFERROR(IF(V364=0,"",ROUNDUP(V364/H364,0)*0.00753),"")</f>
        <v/>
      </c>
      <c r="X364" s="69" t="inlineStr"/>
      <c r="Y364" s="70" t="inlineStr"/>
      <c r="AC364" s="265" t="inlineStr">
        <is>
          <t>КИ</t>
        </is>
      </c>
    </row>
    <row r="365" ht="27" customHeight="1">
      <c r="A365" s="64" t="inlineStr">
        <is>
          <t>SU002285</t>
        </is>
      </c>
      <c r="B365" s="64" t="inlineStr">
        <is>
          <t>P002969</t>
        </is>
      </c>
      <c r="C365" s="37" t="n">
        <v>4301051284</v>
      </c>
      <c r="D365" s="375" t="n">
        <v>4607091384352</v>
      </c>
      <c r="E365" s="642" t="n"/>
      <c r="F365" s="674" t="n">
        <v>0.6</v>
      </c>
      <c r="G365" s="38" t="n">
        <v>4</v>
      </c>
      <c r="H365" s="674" t="n">
        <v>2.4</v>
      </c>
      <c r="I365" s="674" t="n">
        <v>2.646</v>
      </c>
      <c r="J365" s="38" t="n">
        <v>120</v>
      </c>
      <c r="K365" s="39" t="inlineStr">
        <is>
          <t>СК3</t>
        </is>
      </c>
      <c r="L365" s="38" t="n">
        <v>45</v>
      </c>
      <c r="M365" s="876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N365" s="676" t="n"/>
      <c r="O365" s="676" t="n"/>
      <c r="P365" s="676" t="n"/>
      <c r="Q365" s="642" t="n"/>
      <c r="R365" s="40" t="inlineStr"/>
      <c r="S365" s="40" t="inlineStr"/>
      <c r="T365" s="41" t="inlineStr">
        <is>
          <t>кг</t>
        </is>
      </c>
      <c r="U365" s="677" t="n">
        <v>0</v>
      </c>
      <c r="V365" s="678">
        <f>IFERROR(IF(U365="",0,CEILING((U365/$H365),1)*$H365),"")</f>
        <v/>
      </c>
      <c r="W365" s="42">
        <f>IFERROR(IF(V365=0,"",ROUNDUP(V365/H365,0)*0.00937),"")</f>
        <v/>
      </c>
      <c r="X365" s="69" t="inlineStr"/>
      <c r="Y365" s="70" t="inlineStr"/>
      <c r="AC365" s="266" t="inlineStr">
        <is>
          <t>КИ</t>
        </is>
      </c>
    </row>
    <row r="366" ht="27" customHeight="1">
      <c r="A366" s="64" t="inlineStr">
        <is>
          <t>SU002419</t>
        </is>
      </c>
      <c r="B366" s="64" t="inlineStr">
        <is>
          <t>P002913</t>
        </is>
      </c>
      <c r="C366" s="37" t="n">
        <v>4301051257</v>
      </c>
      <c r="D366" s="375" t="n">
        <v>4607091389661</v>
      </c>
      <c r="E366" s="642" t="n"/>
      <c r="F366" s="674" t="n">
        <v>0.55</v>
      </c>
      <c r="G366" s="38" t="n">
        <v>4</v>
      </c>
      <c r="H366" s="674" t="n">
        <v>2.2</v>
      </c>
      <c r="I366" s="674" t="n">
        <v>2.492</v>
      </c>
      <c r="J366" s="38" t="n">
        <v>120</v>
      </c>
      <c r="K366" s="39" t="inlineStr">
        <is>
          <t>СК3</t>
        </is>
      </c>
      <c r="L366" s="38" t="n">
        <v>45</v>
      </c>
      <c r="M366" s="877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N366" s="676" t="n"/>
      <c r="O366" s="676" t="n"/>
      <c r="P366" s="676" t="n"/>
      <c r="Q366" s="642" t="n"/>
      <c r="R366" s="40" t="inlineStr"/>
      <c r="S366" s="40" t="inlineStr"/>
      <c r="T366" s="41" t="inlineStr">
        <is>
          <t>кг</t>
        </is>
      </c>
      <c r="U366" s="677" t="n">
        <v>0</v>
      </c>
      <c r="V366" s="678">
        <f>IFERROR(IF(U366="",0,CEILING((U366/$H366),1)*$H366),"")</f>
        <v/>
      </c>
      <c r="W366" s="42">
        <f>IFERROR(IF(V366=0,"",ROUNDUP(V366/H366,0)*0.00937),"")</f>
        <v/>
      </c>
      <c r="X366" s="69" t="inlineStr"/>
      <c r="Y366" s="70" t="inlineStr"/>
      <c r="AC366" s="267" t="inlineStr">
        <is>
          <t>КИ</t>
        </is>
      </c>
    </row>
    <row r="367">
      <c r="A367" s="383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679" t="n"/>
      <c r="M367" s="680" t="inlineStr">
        <is>
          <t>Итого</t>
        </is>
      </c>
      <c r="N367" s="650" t="n"/>
      <c r="O367" s="650" t="n"/>
      <c r="P367" s="650" t="n"/>
      <c r="Q367" s="650" t="n"/>
      <c r="R367" s="650" t="n"/>
      <c r="S367" s="651" t="n"/>
      <c r="T367" s="43" t="inlineStr">
        <is>
          <t>кор</t>
        </is>
      </c>
      <c r="U367" s="681">
        <f>IFERROR(U363/H363,"0")+IFERROR(U364/H364,"0")+IFERROR(U365/H365,"0")+IFERROR(U366/H366,"0")</f>
        <v/>
      </c>
      <c r="V367" s="681">
        <f>IFERROR(V363/H363,"0")+IFERROR(V364/H364,"0")+IFERROR(V365/H365,"0")+IFERROR(V366/H366,"0")</f>
        <v/>
      </c>
      <c r="W367" s="681">
        <f>IFERROR(IF(W363="",0,W363),"0")+IFERROR(IF(W364="",0,W364),"0")+IFERROR(IF(W365="",0,W365),"0")+IFERROR(IF(W366="",0,W366),"0")</f>
        <v/>
      </c>
      <c r="X367" s="682" t="n"/>
      <c r="Y367" s="682" t="n"/>
    </row>
    <row r="36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679" t="n"/>
      <c r="M368" s="680" t="inlineStr">
        <is>
          <t>Итого</t>
        </is>
      </c>
      <c r="N368" s="650" t="n"/>
      <c r="O368" s="650" t="n"/>
      <c r="P368" s="650" t="n"/>
      <c r="Q368" s="650" t="n"/>
      <c r="R368" s="650" t="n"/>
      <c r="S368" s="651" t="n"/>
      <c r="T368" s="43" t="inlineStr">
        <is>
          <t>кг</t>
        </is>
      </c>
      <c r="U368" s="681">
        <f>IFERROR(SUM(U363:U366),"0")</f>
        <v/>
      </c>
      <c r="V368" s="681">
        <f>IFERROR(SUM(V363:V366),"0")</f>
        <v/>
      </c>
      <c r="W368" s="43" t="n"/>
      <c r="X368" s="682" t="n"/>
      <c r="Y368" s="682" t="n"/>
    </row>
    <row r="369" ht="14.25" customHeight="1">
      <c r="A369" s="374" t="inlineStr">
        <is>
          <t>Сардельки</t>
        </is>
      </c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374" t="n"/>
      <c r="Y369" s="374" t="n"/>
    </row>
    <row r="370" ht="27" customHeight="1">
      <c r="A370" s="64" t="inlineStr">
        <is>
          <t>SU002846</t>
        </is>
      </c>
      <c r="B370" s="64" t="inlineStr">
        <is>
          <t>P003254</t>
        </is>
      </c>
      <c r="C370" s="37" t="n">
        <v>4301060352</v>
      </c>
      <c r="D370" s="375" t="n">
        <v>4680115881648</v>
      </c>
      <c r="E370" s="642" t="n"/>
      <c r="F370" s="674" t="n">
        <v>1</v>
      </c>
      <c r="G370" s="38" t="n">
        <v>4</v>
      </c>
      <c r="H370" s="674" t="n">
        <v>4</v>
      </c>
      <c r="I370" s="674" t="n">
        <v>4.404</v>
      </c>
      <c r="J370" s="38" t="n">
        <v>104</v>
      </c>
      <c r="K370" s="39" t="inlineStr">
        <is>
          <t>СК2</t>
        </is>
      </c>
      <c r="L370" s="38" t="n">
        <v>35</v>
      </c>
      <c r="M370" s="878">
        <f>HYPERLINK("https:///products/Охлажденные/Баварушка/Филейбургская/Сардельки/P003254/","Сардельки «Шпикачки Филейбургские» весовые н/о ТМ «Баварушка»")</f>
        <v/>
      </c>
      <c r="N370" s="676" t="n"/>
      <c r="O370" s="676" t="n"/>
      <c r="P370" s="676" t="n"/>
      <c r="Q370" s="642" t="n"/>
      <c r="R370" s="40" t="inlineStr"/>
      <c r="S370" s="40" t="inlineStr"/>
      <c r="T370" s="41" t="inlineStr">
        <is>
          <t>кг</t>
        </is>
      </c>
      <c r="U370" s="677" t="n">
        <v>0</v>
      </c>
      <c r="V370" s="678">
        <f>IFERROR(IF(U370="",0,CEILING((U370/$H370),1)*$H370),"")</f>
        <v/>
      </c>
      <c r="W370" s="42">
        <f>IFERROR(IF(V370=0,"",ROUNDUP(V370/H370,0)*0.01196),"")</f>
        <v/>
      </c>
      <c r="X370" s="69" t="inlineStr"/>
      <c r="Y370" s="70" t="inlineStr"/>
      <c r="AC370" s="268" t="inlineStr">
        <is>
          <t>КИ</t>
        </is>
      </c>
    </row>
    <row r="371">
      <c r="A371" s="383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679" t="n"/>
      <c r="M371" s="680" t="inlineStr">
        <is>
          <t>Итого</t>
        </is>
      </c>
      <c r="N371" s="650" t="n"/>
      <c r="O371" s="650" t="n"/>
      <c r="P371" s="650" t="n"/>
      <c r="Q371" s="650" t="n"/>
      <c r="R371" s="650" t="n"/>
      <c r="S371" s="651" t="n"/>
      <c r="T371" s="43" t="inlineStr">
        <is>
          <t>кор</t>
        </is>
      </c>
      <c r="U371" s="681">
        <f>IFERROR(U370/H370,"0")</f>
        <v/>
      </c>
      <c r="V371" s="681">
        <f>IFERROR(V370/H370,"0")</f>
        <v/>
      </c>
      <c r="W371" s="681">
        <f>IFERROR(IF(W370="",0,W370),"0")</f>
        <v/>
      </c>
      <c r="X371" s="682" t="n"/>
      <c r="Y371" s="682" t="n"/>
    </row>
    <row r="372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679" t="n"/>
      <c r="M372" s="680" t="inlineStr">
        <is>
          <t>Итого</t>
        </is>
      </c>
      <c r="N372" s="650" t="n"/>
      <c r="O372" s="650" t="n"/>
      <c r="P372" s="650" t="n"/>
      <c r="Q372" s="650" t="n"/>
      <c r="R372" s="650" t="n"/>
      <c r="S372" s="651" t="n"/>
      <c r="T372" s="43" t="inlineStr">
        <is>
          <t>кг</t>
        </is>
      </c>
      <c r="U372" s="681">
        <f>IFERROR(SUM(U370:U370),"0")</f>
        <v/>
      </c>
      <c r="V372" s="681">
        <f>IFERROR(SUM(V370:V370),"0")</f>
        <v/>
      </c>
      <c r="W372" s="43" t="n"/>
      <c r="X372" s="682" t="n"/>
      <c r="Y372" s="682" t="n"/>
    </row>
    <row r="373" ht="14.25" customHeight="1">
      <c r="A373" s="374" t="inlineStr">
        <is>
          <t>Сырокопченые колбасы</t>
        </is>
      </c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374" t="n"/>
      <c r="Y373" s="374" t="n"/>
    </row>
    <row r="374" ht="27" customHeight="1">
      <c r="A374" s="64" t="inlineStr">
        <is>
          <t>SU003058</t>
        </is>
      </c>
      <c r="B374" s="64" t="inlineStr">
        <is>
          <t>P003620</t>
        </is>
      </c>
      <c r="C374" s="37" t="n">
        <v>4301032042</v>
      </c>
      <c r="D374" s="375" t="n">
        <v>4680115883017</v>
      </c>
      <c r="E374" s="642" t="n"/>
      <c r="F374" s="674" t="n">
        <v>0.03</v>
      </c>
      <c r="G374" s="38" t="n">
        <v>20</v>
      </c>
      <c r="H374" s="674" t="n">
        <v>0.6</v>
      </c>
      <c r="I374" s="674" t="n">
        <v>0.63</v>
      </c>
      <c r="J374" s="38" t="n">
        <v>350</v>
      </c>
      <c r="K374" s="39" t="inlineStr">
        <is>
          <t>ДК</t>
        </is>
      </c>
      <c r="L374" s="38" t="n">
        <v>60</v>
      </c>
      <c r="M374" s="879" t="inlineStr">
        <is>
          <t>с/к колбасы «Филейбургская зернистая» ф/в 0,03 нарезка ТМ «Баварушка»</t>
        </is>
      </c>
      <c r="N374" s="676" t="n"/>
      <c r="O374" s="676" t="n"/>
      <c r="P374" s="676" t="n"/>
      <c r="Q374" s="642" t="n"/>
      <c r="R374" s="40" t="inlineStr"/>
      <c r="S374" s="40" t="inlineStr"/>
      <c r="T374" s="41" t="inlineStr">
        <is>
          <t>кг</t>
        </is>
      </c>
      <c r="U374" s="677" t="n">
        <v>0</v>
      </c>
      <c r="V374" s="678">
        <f>IFERROR(IF(U374="",0,CEILING((U374/$H374),1)*$H374),"")</f>
        <v/>
      </c>
      <c r="W374" s="42">
        <f>IFERROR(IF(V374=0,"",ROUNDUP(V374/H374,0)*0.00349),"")</f>
        <v/>
      </c>
      <c r="X374" s="69" t="inlineStr"/>
      <c r="Y374" s="70" t="inlineStr"/>
      <c r="AC374" s="269" t="inlineStr">
        <is>
          <t>КИ</t>
        </is>
      </c>
    </row>
    <row r="375" ht="27" customHeight="1">
      <c r="A375" s="64" t="inlineStr">
        <is>
          <t>SU003061</t>
        </is>
      </c>
      <c r="B375" s="64" t="inlineStr">
        <is>
          <t>P003621</t>
        </is>
      </c>
      <c r="C375" s="37" t="n">
        <v>4301032043</v>
      </c>
      <c r="D375" s="375" t="n">
        <v>4680115883031</v>
      </c>
      <c r="E375" s="642" t="n"/>
      <c r="F375" s="674" t="n">
        <v>0.03</v>
      </c>
      <c r="G375" s="38" t="n">
        <v>20</v>
      </c>
      <c r="H375" s="674" t="n">
        <v>0.6</v>
      </c>
      <c r="I375" s="674" t="n">
        <v>0.63</v>
      </c>
      <c r="J375" s="38" t="n">
        <v>350</v>
      </c>
      <c r="K375" s="39" t="inlineStr">
        <is>
          <t>ДК</t>
        </is>
      </c>
      <c r="L375" s="38" t="n">
        <v>60</v>
      </c>
      <c r="M375" s="880" t="inlineStr">
        <is>
          <t>с/к колбасы «Филейбургская с ароматными пряностями» ф/в 0,03 нарезка ТМ «Баварушка»</t>
        </is>
      </c>
      <c r="N375" s="676" t="n"/>
      <c r="O375" s="676" t="n"/>
      <c r="P375" s="676" t="n"/>
      <c r="Q375" s="642" t="n"/>
      <c r="R375" s="40" t="inlineStr"/>
      <c r="S375" s="40" t="inlineStr"/>
      <c r="T375" s="41" t="inlineStr">
        <is>
          <t>кг</t>
        </is>
      </c>
      <c r="U375" s="677" t="n">
        <v>0</v>
      </c>
      <c r="V375" s="678">
        <f>IFERROR(IF(U375="",0,CEILING((U375/$H375),1)*$H375),"")</f>
        <v/>
      </c>
      <c r="W375" s="42">
        <f>IFERROR(IF(V375=0,"",ROUNDUP(V375/H375,0)*0.00349),"")</f>
        <v/>
      </c>
      <c r="X375" s="69" t="inlineStr"/>
      <c r="Y375" s="70" t="inlineStr"/>
      <c r="AC375" s="270" t="inlineStr">
        <is>
          <t>КИ</t>
        </is>
      </c>
    </row>
    <row r="376" ht="27" customHeight="1">
      <c r="A376" s="64" t="inlineStr">
        <is>
          <t>SU003057</t>
        </is>
      </c>
      <c r="B376" s="64" t="inlineStr">
        <is>
          <t>P003619</t>
        </is>
      </c>
      <c r="C376" s="37" t="n">
        <v>4301032041</v>
      </c>
      <c r="D376" s="375" t="n">
        <v>4680115883024</v>
      </c>
      <c r="E376" s="642" t="n"/>
      <c r="F376" s="674" t="n">
        <v>0.03</v>
      </c>
      <c r="G376" s="38" t="n">
        <v>20</v>
      </c>
      <c r="H376" s="674" t="n">
        <v>0.6</v>
      </c>
      <c r="I376" s="674" t="n">
        <v>0.63</v>
      </c>
      <c r="J376" s="38" t="n">
        <v>350</v>
      </c>
      <c r="K376" s="39" t="inlineStr">
        <is>
          <t>ДК</t>
        </is>
      </c>
      <c r="L376" s="38" t="n">
        <v>60</v>
      </c>
      <c r="M376" s="881" t="inlineStr">
        <is>
          <t>с/к колбасы «Филейбургская с душистым чесноком» ф/в 0,03 н/о нарезка ТМ «Баварушка»</t>
        </is>
      </c>
      <c r="N376" s="676" t="n"/>
      <c r="O376" s="676" t="n"/>
      <c r="P376" s="676" t="n"/>
      <c r="Q376" s="642" t="n"/>
      <c r="R376" s="40" t="inlineStr"/>
      <c r="S376" s="40" t="inlineStr"/>
      <c r="T376" s="41" t="inlineStr">
        <is>
          <t>кг</t>
        </is>
      </c>
      <c r="U376" s="677" t="n">
        <v>0</v>
      </c>
      <c r="V376" s="678">
        <f>IFERROR(IF(U376="",0,CEILING((U376/$H376),1)*$H376),"")</f>
        <v/>
      </c>
      <c r="W376" s="42">
        <f>IFERROR(IF(V376=0,"",ROUNDUP(V376/H376,0)*0.00349),"")</f>
        <v/>
      </c>
      <c r="X376" s="69" t="inlineStr"/>
      <c r="Y376" s="70" t="inlineStr"/>
      <c r="AC376" s="271" t="inlineStr">
        <is>
          <t>КИ</t>
        </is>
      </c>
    </row>
    <row r="377">
      <c r="A377" s="383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679" t="n"/>
      <c r="M377" s="680" t="inlineStr">
        <is>
          <t>Итого</t>
        </is>
      </c>
      <c r="N377" s="650" t="n"/>
      <c r="O377" s="650" t="n"/>
      <c r="P377" s="650" t="n"/>
      <c r="Q377" s="650" t="n"/>
      <c r="R377" s="650" t="n"/>
      <c r="S377" s="651" t="n"/>
      <c r="T377" s="43" t="inlineStr">
        <is>
          <t>кор</t>
        </is>
      </c>
      <c r="U377" s="681">
        <f>IFERROR(U374/H374,"0")+IFERROR(U375/H375,"0")+IFERROR(U376/H376,"0")</f>
        <v/>
      </c>
      <c r="V377" s="681">
        <f>IFERROR(V374/H374,"0")+IFERROR(V375/H375,"0")+IFERROR(V376/H376,"0")</f>
        <v/>
      </c>
      <c r="W377" s="681">
        <f>IFERROR(IF(W374="",0,W374),"0")+IFERROR(IF(W375="",0,W375),"0")+IFERROR(IF(W376="",0,W376),"0")</f>
        <v/>
      </c>
      <c r="X377" s="682" t="n"/>
      <c r="Y377" s="682" t="n"/>
    </row>
    <row r="37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679" t="n"/>
      <c r="M378" s="680" t="inlineStr">
        <is>
          <t>Итого</t>
        </is>
      </c>
      <c r="N378" s="650" t="n"/>
      <c r="O378" s="650" t="n"/>
      <c r="P378" s="650" t="n"/>
      <c r="Q378" s="650" t="n"/>
      <c r="R378" s="650" t="n"/>
      <c r="S378" s="651" t="n"/>
      <c r="T378" s="43" t="inlineStr">
        <is>
          <t>кг</t>
        </is>
      </c>
      <c r="U378" s="681">
        <f>IFERROR(SUM(U374:U376),"0")</f>
        <v/>
      </c>
      <c r="V378" s="681">
        <f>IFERROR(SUM(V374:V376),"0")</f>
        <v/>
      </c>
      <c r="W378" s="43" t="n"/>
      <c r="X378" s="682" t="n"/>
      <c r="Y378" s="682" t="n"/>
    </row>
    <row r="379" ht="16.5" customHeight="1">
      <c r="A379" s="373" t="inlineStr">
        <is>
          <t>Балыкбургская</t>
        </is>
      </c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373" t="n"/>
      <c r="Y379" s="373" t="n"/>
    </row>
    <row r="380" ht="14.25" customHeight="1">
      <c r="A380" s="374" t="inlineStr">
        <is>
          <t>Ветчины</t>
        </is>
      </c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374" t="n"/>
      <c r="Y380" s="374" t="n"/>
    </row>
    <row r="381" ht="27" customHeight="1">
      <c r="A381" s="64" t="inlineStr">
        <is>
          <t>SU002542</t>
        </is>
      </c>
      <c r="B381" s="64" t="inlineStr">
        <is>
          <t>P002847</t>
        </is>
      </c>
      <c r="C381" s="37" t="n">
        <v>4301020196</v>
      </c>
      <c r="D381" s="375" t="n">
        <v>4607091389388</v>
      </c>
      <c r="E381" s="642" t="n"/>
      <c r="F381" s="674" t="n">
        <v>1.3</v>
      </c>
      <c r="G381" s="38" t="n">
        <v>4</v>
      </c>
      <c r="H381" s="674" t="n">
        <v>5.2</v>
      </c>
      <c r="I381" s="674" t="n">
        <v>5.608</v>
      </c>
      <c r="J381" s="38" t="n">
        <v>104</v>
      </c>
      <c r="K381" s="39" t="inlineStr">
        <is>
          <t>СК3</t>
        </is>
      </c>
      <c r="L381" s="38" t="n">
        <v>35</v>
      </c>
      <c r="M381" s="882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N381" s="676" t="n"/>
      <c r="O381" s="676" t="n"/>
      <c r="P381" s="676" t="n"/>
      <c r="Q381" s="642" t="n"/>
      <c r="R381" s="40" t="inlineStr"/>
      <c r="S381" s="40" t="inlineStr"/>
      <c r="T381" s="41" t="inlineStr">
        <is>
          <t>кг</t>
        </is>
      </c>
      <c r="U381" s="677" t="n">
        <v>0</v>
      </c>
      <c r="V381" s="678">
        <f>IFERROR(IF(U381="",0,CEILING((U381/$H381),1)*$H381),"")</f>
        <v/>
      </c>
      <c r="W381" s="42">
        <f>IFERROR(IF(V381=0,"",ROUNDUP(V381/H381,0)*0.01196),"")</f>
        <v/>
      </c>
      <c r="X381" s="69" t="inlineStr"/>
      <c r="Y381" s="70" t="inlineStr"/>
      <c r="AC381" s="272" t="inlineStr">
        <is>
          <t>КИ</t>
        </is>
      </c>
    </row>
    <row r="382" ht="27" customHeight="1">
      <c r="A382" s="64" t="inlineStr">
        <is>
          <t>SU002319</t>
        </is>
      </c>
      <c r="B382" s="64" t="inlineStr">
        <is>
          <t>P002597</t>
        </is>
      </c>
      <c r="C382" s="37" t="n">
        <v>4301020185</v>
      </c>
      <c r="D382" s="375" t="n">
        <v>4607091389364</v>
      </c>
      <c r="E382" s="642" t="n"/>
      <c r="F382" s="674" t="n">
        <v>0.42</v>
      </c>
      <c r="G382" s="38" t="n">
        <v>6</v>
      </c>
      <c r="H382" s="674" t="n">
        <v>2.52</v>
      </c>
      <c r="I382" s="674" t="n">
        <v>2.75</v>
      </c>
      <c r="J382" s="38" t="n">
        <v>156</v>
      </c>
      <c r="K382" s="39" t="inlineStr">
        <is>
          <t>СК3</t>
        </is>
      </c>
      <c r="L382" s="38" t="n">
        <v>35</v>
      </c>
      <c r="M382" s="883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N382" s="676" t="n"/>
      <c r="O382" s="676" t="n"/>
      <c r="P382" s="676" t="n"/>
      <c r="Q382" s="642" t="n"/>
      <c r="R382" s="40" t="inlineStr"/>
      <c r="S382" s="40" t="inlineStr"/>
      <c r="T382" s="41" t="inlineStr">
        <is>
          <t>кг</t>
        </is>
      </c>
      <c r="U382" s="677" t="n">
        <v>0</v>
      </c>
      <c r="V382" s="678">
        <f>IFERROR(IF(U382="",0,CEILING((U382/$H382),1)*$H382),"")</f>
        <v/>
      </c>
      <c r="W382" s="42">
        <f>IFERROR(IF(V382=0,"",ROUNDUP(V382/H382,0)*0.00753),"")</f>
        <v/>
      </c>
      <c r="X382" s="69" t="inlineStr"/>
      <c r="Y382" s="70" t="inlineStr"/>
      <c r="AC382" s="273" t="inlineStr">
        <is>
          <t>КИ</t>
        </is>
      </c>
    </row>
    <row r="383">
      <c r="A383" s="383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679" t="n"/>
      <c r="M383" s="680" t="inlineStr">
        <is>
          <t>Итого</t>
        </is>
      </c>
      <c r="N383" s="650" t="n"/>
      <c r="O383" s="650" t="n"/>
      <c r="P383" s="650" t="n"/>
      <c r="Q383" s="650" t="n"/>
      <c r="R383" s="650" t="n"/>
      <c r="S383" s="651" t="n"/>
      <c r="T383" s="43" t="inlineStr">
        <is>
          <t>кор</t>
        </is>
      </c>
      <c r="U383" s="681">
        <f>IFERROR(U381/H381,"0")+IFERROR(U382/H382,"0")</f>
        <v/>
      </c>
      <c r="V383" s="681">
        <f>IFERROR(V381/H381,"0")+IFERROR(V382/H382,"0")</f>
        <v/>
      </c>
      <c r="W383" s="681">
        <f>IFERROR(IF(W381="",0,W381),"0")+IFERROR(IF(W382="",0,W382),"0")</f>
        <v/>
      </c>
      <c r="X383" s="682" t="n"/>
      <c r="Y383" s="682" t="n"/>
    </row>
    <row r="384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679" t="n"/>
      <c r="M384" s="680" t="inlineStr">
        <is>
          <t>Итого</t>
        </is>
      </c>
      <c r="N384" s="650" t="n"/>
      <c r="O384" s="650" t="n"/>
      <c r="P384" s="650" t="n"/>
      <c r="Q384" s="650" t="n"/>
      <c r="R384" s="650" t="n"/>
      <c r="S384" s="651" t="n"/>
      <c r="T384" s="43" t="inlineStr">
        <is>
          <t>кг</t>
        </is>
      </c>
      <c r="U384" s="681">
        <f>IFERROR(SUM(U381:U382),"0")</f>
        <v/>
      </c>
      <c r="V384" s="681">
        <f>IFERROR(SUM(V381:V382),"0")</f>
        <v/>
      </c>
      <c r="W384" s="43" t="n"/>
      <c r="X384" s="682" t="n"/>
      <c r="Y384" s="682" t="n"/>
    </row>
    <row r="385" ht="14.25" customHeight="1">
      <c r="A385" s="374" t="inlineStr">
        <is>
          <t>Копченые колбасы</t>
        </is>
      </c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374" t="n"/>
      <c r="Y385" s="374" t="n"/>
    </row>
    <row r="386" ht="27" customHeight="1">
      <c r="A386" s="64" t="inlineStr">
        <is>
          <t>SU002917</t>
        </is>
      </c>
      <c r="B386" s="64" t="inlineStr">
        <is>
          <t>P003343</t>
        </is>
      </c>
      <c r="C386" s="37" t="n">
        <v>4301031215</v>
      </c>
      <c r="D386" s="375" t="n">
        <v>4680115882911</v>
      </c>
      <c r="E386" s="642" t="n"/>
      <c r="F386" s="674" t="n">
        <v>0.4</v>
      </c>
      <c r="G386" s="38" t="n">
        <v>6</v>
      </c>
      <c r="H386" s="674" t="n">
        <v>2.4</v>
      </c>
      <c r="I386" s="674" t="n">
        <v>2.53</v>
      </c>
      <c r="J386" s="38" t="n">
        <v>234</v>
      </c>
      <c r="K386" s="39" t="inlineStr">
        <is>
          <t>СК2</t>
        </is>
      </c>
      <c r="L386" s="38" t="n">
        <v>40</v>
      </c>
      <c r="M386" s="884" t="inlineStr">
        <is>
          <t>П/к колбасы «Балыкбургская по-баварски» Фикс.вес 0,4 н/о мгс ТМ «Баварушка»</t>
        </is>
      </c>
      <c r="N386" s="676" t="n"/>
      <c r="O386" s="676" t="n"/>
      <c r="P386" s="676" t="n"/>
      <c r="Q386" s="642" t="n"/>
      <c r="R386" s="40" t="inlineStr"/>
      <c r="S386" s="40" t="inlineStr"/>
      <c r="T386" s="41" t="inlineStr">
        <is>
          <t>кг</t>
        </is>
      </c>
      <c r="U386" s="677" t="n">
        <v>0</v>
      </c>
      <c r="V386" s="678">
        <f>IFERROR(IF(U386="",0,CEILING((U386/$H386),1)*$H386),"")</f>
        <v/>
      </c>
      <c r="W386" s="42">
        <f>IFERROR(IF(V386=0,"",ROUNDUP(V386/H386,0)*0.00502),"")</f>
        <v/>
      </c>
      <c r="X386" s="69" t="inlineStr"/>
      <c r="Y386" s="70" t="inlineStr">
        <is>
          <t>Новинка</t>
        </is>
      </c>
      <c r="AC386" s="274" t="inlineStr">
        <is>
          <t>КИ</t>
        </is>
      </c>
    </row>
    <row r="387" ht="27" customHeight="1">
      <c r="A387" s="64" t="inlineStr">
        <is>
          <t>SU002612</t>
        </is>
      </c>
      <c r="B387" s="64" t="inlineStr">
        <is>
          <t>P003140</t>
        </is>
      </c>
      <c r="C387" s="37" t="n">
        <v>4301031179</v>
      </c>
      <c r="D387" s="375" t="n">
        <v>4607091389739</v>
      </c>
      <c r="E387" s="642" t="n"/>
      <c r="F387" s="674" t="n">
        <v>0.7</v>
      </c>
      <c r="G387" s="38" t="n">
        <v>6</v>
      </c>
      <c r="H387" s="674" t="n">
        <v>4.2</v>
      </c>
      <c r="I387" s="674" t="n">
        <v>4.43</v>
      </c>
      <c r="J387" s="38" t="n">
        <v>156</v>
      </c>
      <c r="K387" s="39" t="inlineStr">
        <is>
          <t>СК2</t>
        </is>
      </c>
      <c r="L387" s="38" t="n">
        <v>45</v>
      </c>
      <c r="M387" s="885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N387" s="676" t="n"/>
      <c r="O387" s="676" t="n"/>
      <c r="P387" s="676" t="n"/>
      <c r="Q387" s="642" t="n"/>
      <c r="R387" s="40" t="inlineStr"/>
      <c r="S387" s="40" t="inlineStr"/>
      <c r="T387" s="41" t="inlineStr">
        <is>
          <t>кг</t>
        </is>
      </c>
      <c r="U387" s="677" t="n">
        <v>0</v>
      </c>
      <c r="V387" s="678">
        <f>IFERROR(IF(U387="",0,CEILING((U387/$H387),1)*$H387),"")</f>
        <v/>
      </c>
      <c r="W387" s="42">
        <f>IFERROR(IF(V387=0,"",ROUNDUP(V387/H387,0)*0.00753),"")</f>
        <v/>
      </c>
      <c r="X387" s="69" t="inlineStr"/>
      <c r="Y387" s="70" t="inlineStr"/>
      <c r="AC387" s="275" t="inlineStr">
        <is>
          <t>КИ</t>
        </is>
      </c>
    </row>
    <row r="388" ht="27" customHeight="1">
      <c r="A388" s="64" t="inlineStr">
        <is>
          <t>SU003071</t>
        </is>
      </c>
      <c r="B388" s="64" t="inlineStr">
        <is>
          <t>P003612</t>
        </is>
      </c>
      <c r="C388" s="37" t="n">
        <v>4301031247</v>
      </c>
      <c r="D388" s="375" t="n">
        <v>4680115883048</v>
      </c>
      <c r="E388" s="642" t="n"/>
      <c r="F388" s="674" t="n">
        <v>1</v>
      </c>
      <c r="G388" s="38" t="n">
        <v>4</v>
      </c>
      <c r="H388" s="674" t="n">
        <v>4</v>
      </c>
      <c r="I388" s="674" t="n">
        <v>4.21</v>
      </c>
      <c r="J388" s="38" t="n">
        <v>120</v>
      </c>
      <c r="K388" s="39" t="inlineStr">
        <is>
          <t>СК2</t>
        </is>
      </c>
      <c r="L388" s="38" t="n">
        <v>40</v>
      </c>
      <c r="M388" s="886" t="inlineStr">
        <is>
          <t>П/к колбасы «Балыкбургские с сыром» Весовой н/о ТМ «Баварушка»</t>
        </is>
      </c>
      <c r="N388" s="676" t="n"/>
      <c r="O388" s="676" t="n"/>
      <c r="P388" s="676" t="n"/>
      <c r="Q388" s="642" t="n"/>
      <c r="R388" s="40" t="inlineStr"/>
      <c r="S388" s="40" t="inlineStr"/>
      <c r="T388" s="41" t="inlineStr">
        <is>
          <t>кг</t>
        </is>
      </c>
      <c r="U388" s="677" t="n">
        <v>0</v>
      </c>
      <c r="V388" s="678">
        <f>IFERROR(IF(U388="",0,CEILING((U388/$H388),1)*$H388),"")</f>
        <v/>
      </c>
      <c r="W388" s="42">
        <f>IFERROR(IF(V388=0,"",ROUNDUP(V388/H388,0)*0.00937),"")</f>
        <v/>
      </c>
      <c r="X388" s="69" t="inlineStr"/>
      <c r="Y388" s="70" t="inlineStr"/>
      <c r="AC388" s="276" t="inlineStr">
        <is>
          <t>КИ</t>
        </is>
      </c>
    </row>
    <row r="389" ht="27" customHeight="1">
      <c r="A389" s="64" t="inlineStr">
        <is>
          <t>SU002545</t>
        </is>
      </c>
      <c r="B389" s="64" t="inlineStr">
        <is>
          <t>P003137</t>
        </is>
      </c>
      <c r="C389" s="37" t="n">
        <v>4301031176</v>
      </c>
      <c r="D389" s="375" t="n">
        <v>4607091389425</v>
      </c>
      <c r="E389" s="642" t="n"/>
      <c r="F389" s="674" t="n">
        <v>0.35</v>
      </c>
      <c r="G389" s="38" t="n">
        <v>6</v>
      </c>
      <c r="H389" s="674" t="n">
        <v>2.1</v>
      </c>
      <c r="I389" s="674" t="n">
        <v>2.23</v>
      </c>
      <c r="J389" s="38" t="n">
        <v>234</v>
      </c>
      <c r="K389" s="39" t="inlineStr">
        <is>
          <t>СК2</t>
        </is>
      </c>
      <c r="L389" s="38" t="n">
        <v>45</v>
      </c>
      <c r="M389" s="887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N389" s="676" t="n"/>
      <c r="O389" s="676" t="n"/>
      <c r="P389" s="676" t="n"/>
      <c r="Q389" s="642" t="n"/>
      <c r="R389" s="40" t="inlineStr"/>
      <c r="S389" s="40" t="inlineStr"/>
      <c r="T389" s="41" t="inlineStr">
        <is>
          <t>кг</t>
        </is>
      </c>
      <c r="U389" s="677" t="n">
        <v>0</v>
      </c>
      <c r="V389" s="678">
        <f>IFERROR(IF(U389="",0,CEILING((U389/$H389),1)*$H389),"")</f>
        <v/>
      </c>
      <c r="W389" s="42">
        <f>IFERROR(IF(V389=0,"",ROUNDUP(V389/H389,0)*0.00502),"")</f>
        <v/>
      </c>
      <c r="X389" s="69" t="inlineStr"/>
      <c r="Y389" s="70" t="inlineStr"/>
      <c r="AC389" s="277" t="inlineStr">
        <is>
          <t>КИ</t>
        </is>
      </c>
    </row>
    <row r="390" ht="27" customHeight="1">
      <c r="A390" s="64" t="inlineStr">
        <is>
          <t>SU002726</t>
        </is>
      </c>
      <c r="B390" s="64" t="inlineStr">
        <is>
          <t>P003095</t>
        </is>
      </c>
      <c r="C390" s="37" t="n">
        <v>4301031167</v>
      </c>
      <c r="D390" s="375" t="n">
        <v>4680115880771</v>
      </c>
      <c r="E390" s="642" t="n"/>
      <c r="F390" s="674" t="n">
        <v>0.28</v>
      </c>
      <c r="G390" s="38" t="n">
        <v>6</v>
      </c>
      <c r="H390" s="674" t="n">
        <v>1.68</v>
      </c>
      <c r="I390" s="674" t="n">
        <v>1.81</v>
      </c>
      <c r="J390" s="38" t="n">
        <v>234</v>
      </c>
      <c r="K390" s="39" t="inlineStr">
        <is>
          <t>СК2</t>
        </is>
      </c>
      <c r="L390" s="38" t="n">
        <v>45</v>
      </c>
      <c r="M390" s="888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N390" s="676" t="n"/>
      <c r="O390" s="676" t="n"/>
      <c r="P390" s="676" t="n"/>
      <c r="Q390" s="642" t="n"/>
      <c r="R390" s="40" t="inlineStr"/>
      <c r="S390" s="40" t="inlineStr"/>
      <c r="T390" s="41" t="inlineStr">
        <is>
          <t>кг</t>
        </is>
      </c>
      <c r="U390" s="677" t="n">
        <v>0</v>
      </c>
      <c r="V390" s="678">
        <f>IFERROR(IF(U390="",0,CEILING((U390/$H390),1)*$H390),"")</f>
        <v/>
      </c>
      <c r="W390" s="42">
        <f>IFERROR(IF(V390=0,"",ROUNDUP(V390/H390,0)*0.00502),"")</f>
        <v/>
      </c>
      <c r="X390" s="69" t="inlineStr"/>
      <c r="Y390" s="70" t="inlineStr"/>
      <c r="AC390" s="278" t="inlineStr">
        <is>
          <t>КИ</t>
        </is>
      </c>
    </row>
    <row r="391" ht="27" customHeight="1">
      <c r="A391" s="64" t="inlineStr">
        <is>
          <t>SU002604</t>
        </is>
      </c>
      <c r="B391" s="64" t="inlineStr">
        <is>
          <t>P003135</t>
        </is>
      </c>
      <c r="C391" s="37" t="n">
        <v>4301031173</v>
      </c>
      <c r="D391" s="375" t="n">
        <v>4607091389500</v>
      </c>
      <c r="E391" s="642" t="n"/>
      <c r="F391" s="674" t="n">
        <v>0.35</v>
      </c>
      <c r="G391" s="38" t="n">
        <v>6</v>
      </c>
      <c r="H391" s="674" t="n">
        <v>2.1</v>
      </c>
      <c r="I391" s="674" t="n">
        <v>2.23</v>
      </c>
      <c r="J391" s="38" t="n">
        <v>234</v>
      </c>
      <c r="K391" s="39" t="inlineStr">
        <is>
          <t>СК2</t>
        </is>
      </c>
      <c r="L391" s="38" t="n">
        <v>45</v>
      </c>
      <c r="M391" s="889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N391" s="676" t="n"/>
      <c r="O391" s="676" t="n"/>
      <c r="P391" s="676" t="n"/>
      <c r="Q391" s="642" t="n"/>
      <c r="R391" s="40" t="inlineStr"/>
      <c r="S391" s="40" t="inlineStr"/>
      <c r="T391" s="41" t="inlineStr">
        <is>
          <t>кг</t>
        </is>
      </c>
      <c r="U391" s="677" t="n">
        <v>0</v>
      </c>
      <c r="V391" s="678">
        <f>IFERROR(IF(U391="",0,CEILING((U391/$H391),1)*$H391),"")</f>
        <v/>
      </c>
      <c r="W391" s="42">
        <f>IFERROR(IF(V391=0,"",ROUNDUP(V391/H391,0)*0.00502),"")</f>
        <v/>
      </c>
      <c r="X391" s="69" t="inlineStr"/>
      <c r="Y391" s="70" t="inlineStr"/>
      <c r="AC391" s="279" t="inlineStr">
        <is>
          <t>КИ</t>
        </is>
      </c>
    </row>
    <row r="392" ht="27" customHeight="1">
      <c r="A392" s="64" t="inlineStr">
        <is>
          <t>SU002358</t>
        </is>
      </c>
      <c r="B392" s="64" t="inlineStr">
        <is>
          <t>P002642</t>
        </is>
      </c>
      <c r="C392" s="37" t="n">
        <v>4301031103</v>
      </c>
      <c r="D392" s="375" t="n">
        <v>4680115881983</v>
      </c>
      <c r="E392" s="642" t="n"/>
      <c r="F392" s="674" t="n">
        <v>0.28</v>
      </c>
      <c r="G392" s="38" t="n">
        <v>4</v>
      </c>
      <c r="H392" s="674" t="n">
        <v>1.12</v>
      </c>
      <c r="I392" s="674" t="n">
        <v>1.252</v>
      </c>
      <c r="J392" s="38" t="n">
        <v>234</v>
      </c>
      <c r="K392" s="39" t="inlineStr">
        <is>
          <t>СК2</t>
        </is>
      </c>
      <c r="L392" s="38" t="n">
        <v>40</v>
      </c>
      <c r="M392" s="890">
        <f>HYPERLINK("https:///products/Охлажденные/Баварушка/Балыкбургская/Копченые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N392" s="676" t="n"/>
      <c r="O392" s="676" t="n"/>
      <c r="P392" s="676" t="n"/>
      <c r="Q392" s="642" t="n"/>
      <c r="R392" s="40" t="inlineStr"/>
      <c r="S392" s="40" t="inlineStr"/>
      <c r="T392" s="41" t="inlineStr">
        <is>
          <t>кг</t>
        </is>
      </c>
      <c r="U392" s="677" t="n">
        <v>0</v>
      </c>
      <c r="V392" s="678">
        <f>IFERROR(IF(U392="",0,CEILING((U392/$H392),1)*$H392),"")</f>
        <v/>
      </c>
      <c r="W392" s="42">
        <f>IFERROR(IF(V392=0,"",ROUNDUP(V392/H392,0)*0.00502),"")</f>
        <v/>
      </c>
      <c r="X392" s="69" t="inlineStr"/>
      <c r="Y392" s="70" t="inlineStr"/>
      <c r="AC392" s="280" t="inlineStr">
        <is>
          <t>КИ</t>
        </is>
      </c>
    </row>
    <row r="393">
      <c r="A393" s="383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679" t="n"/>
      <c r="M393" s="680" t="inlineStr">
        <is>
          <t>Итого</t>
        </is>
      </c>
      <c r="N393" s="650" t="n"/>
      <c r="O393" s="650" t="n"/>
      <c r="P393" s="650" t="n"/>
      <c r="Q393" s="650" t="n"/>
      <c r="R393" s="650" t="n"/>
      <c r="S393" s="651" t="n"/>
      <c r="T393" s="43" t="inlineStr">
        <is>
          <t>кор</t>
        </is>
      </c>
      <c r="U393" s="681">
        <f>IFERROR(U386/H386,"0")+IFERROR(U387/H387,"0")+IFERROR(U388/H388,"0")+IFERROR(U389/H389,"0")+IFERROR(U390/H390,"0")+IFERROR(U391/H391,"0")+IFERROR(U392/H392,"0")</f>
        <v/>
      </c>
      <c r="V393" s="681">
        <f>IFERROR(V386/H386,"0")+IFERROR(V387/H387,"0")+IFERROR(V388/H388,"0")+IFERROR(V389/H389,"0")+IFERROR(V390/H390,"0")+IFERROR(V391/H391,"0")+IFERROR(V392/H392,"0")</f>
        <v/>
      </c>
      <c r="W393" s="681">
        <f>IFERROR(IF(W386="",0,W386),"0")+IFERROR(IF(W387="",0,W387),"0")+IFERROR(IF(W388="",0,W388),"0")+IFERROR(IF(W389="",0,W389),"0")+IFERROR(IF(W390="",0,W390),"0")+IFERROR(IF(W391="",0,W391),"0")+IFERROR(IF(W392="",0,W392),"0")</f>
        <v/>
      </c>
      <c r="X393" s="682" t="n"/>
      <c r="Y393" s="682" t="n"/>
    </row>
    <row r="394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679" t="n"/>
      <c r="M394" s="680" t="inlineStr">
        <is>
          <t>Итого</t>
        </is>
      </c>
      <c r="N394" s="650" t="n"/>
      <c r="O394" s="650" t="n"/>
      <c r="P394" s="650" t="n"/>
      <c r="Q394" s="650" t="n"/>
      <c r="R394" s="650" t="n"/>
      <c r="S394" s="651" t="n"/>
      <c r="T394" s="43" t="inlineStr">
        <is>
          <t>кг</t>
        </is>
      </c>
      <c r="U394" s="681">
        <f>IFERROR(SUM(U386:U392),"0")</f>
        <v/>
      </c>
      <c r="V394" s="681">
        <f>IFERROR(SUM(V386:V392),"0")</f>
        <v/>
      </c>
      <c r="W394" s="43" t="n"/>
      <c r="X394" s="682" t="n"/>
      <c r="Y394" s="682" t="n"/>
    </row>
    <row r="395" ht="14.25" customHeight="1">
      <c r="A395" s="374" t="inlineStr">
        <is>
          <t>Сырокопченые колбасы</t>
        </is>
      </c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374" t="n"/>
      <c r="Y395" s="374" t="n"/>
    </row>
    <row r="396" ht="27" customHeight="1">
      <c r="A396" s="64" t="inlineStr">
        <is>
          <t>SU003059</t>
        </is>
      </c>
      <c r="B396" s="64" t="inlineStr">
        <is>
          <t>P003623</t>
        </is>
      </c>
      <c r="C396" s="37" t="n">
        <v>4301032044</v>
      </c>
      <c r="D396" s="375" t="n">
        <v>4680115883000</v>
      </c>
      <c r="E396" s="642" t="n"/>
      <c r="F396" s="674" t="n">
        <v>0.03</v>
      </c>
      <c r="G396" s="38" t="n">
        <v>20</v>
      </c>
      <c r="H396" s="674" t="n">
        <v>0.6</v>
      </c>
      <c r="I396" s="674" t="n">
        <v>0.63</v>
      </c>
      <c r="J396" s="38" t="n">
        <v>350</v>
      </c>
      <c r="K396" s="39" t="inlineStr">
        <is>
          <t>ДК</t>
        </is>
      </c>
      <c r="L396" s="38" t="n">
        <v>60</v>
      </c>
      <c r="M396" s="891" t="inlineStr">
        <is>
          <t>с/к колбасы «Балыкбургская с мраморным балыком и нотками кориандра» ф/в 0,03 нарезка ТМ «Баварушка»</t>
        </is>
      </c>
      <c r="N396" s="676" t="n"/>
      <c r="O396" s="676" t="n"/>
      <c r="P396" s="676" t="n"/>
      <c r="Q396" s="642" t="n"/>
      <c r="R396" s="40" t="inlineStr"/>
      <c r="S396" s="40" t="inlineStr"/>
      <c r="T396" s="41" t="inlineStr">
        <is>
          <t>кг</t>
        </is>
      </c>
      <c r="U396" s="677" t="n">
        <v>0</v>
      </c>
      <c r="V396" s="678">
        <f>IFERROR(IF(U396="",0,CEILING((U396/$H396),1)*$H396),"")</f>
        <v/>
      </c>
      <c r="W396" s="42">
        <f>IFERROR(IF(V396=0,"",ROUNDUP(V396/H396,0)*0.00349),"")</f>
        <v/>
      </c>
      <c r="X396" s="69" t="inlineStr"/>
      <c r="Y396" s="70" t="inlineStr"/>
      <c r="AC396" s="281" t="inlineStr">
        <is>
          <t>КИ</t>
        </is>
      </c>
    </row>
    <row r="397">
      <c r="A397" s="383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679" t="n"/>
      <c r="M397" s="680" t="inlineStr">
        <is>
          <t>Итого</t>
        </is>
      </c>
      <c r="N397" s="650" t="n"/>
      <c r="O397" s="650" t="n"/>
      <c r="P397" s="650" t="n"/>
      <c r="Q397" s="650" t="n"/>
      <c r="R397" s="650" t="n"/>
      <c r="S397" s="651" t="n"/>
      <c r="T397" s="43" t="inlineStr">
        <is>
          <t>кор</t>
        </is>
      </c>
      <c r="U397" s="681">
        <f>IFERROR(U396/H396,"0")</f>
        <v/>
      </c>
      <c r="V397" s="681">
        <f>IFERROR(V396/H396,"0")</f>
        <v/>
      </c>
      <c r="W397" s="681">
        <f>IFERROR(IF(W396="",0,W396),"0")</f>
        <v/>
      </c>
      <c r="X397" s="682" t="n"/>
      <c r="Y397" s="682" t="n"/>
    </row>
    <row r="39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679" t="n"/>
      <c r="M398" s="680" t="inlineStr">
        <is>
          <t>Итого</t>
        </is>
      </c>
      <c r="N398" s="650" t="n"/>
      <c r="O398" s="650" t="n"/>
      <c r="P398" s="650" t="n"/>
      <c r="Q398" s="650" t="n"/>
      <c r="R398" s="650" t="n"/>
      <c r="S398" s="651" t="n"/>
      <c r="T398" s="43" t="inlineStr">
        <is>
          <t>кг</t>
        </is>
      </c>
      <c r="U398" s="681">
        <f>IFERROR(SUM(U396:U396),"0")</f>
        <v/>
      </c>
      <c r="V398" s="681">
        <f>IFERROR(SUM(V396:V396),"0")</f>
        <v/>
      </c>
      <c r="W398" s="43" t="n"/>
      <c r="X398" s="682" t="n"/>
      <c r="Y398" s="682" t="n"/>
    </row>
    <row r="399" ht="14.25" customHeight="1">
      <c r="A399" s="374" t="inlineStr">
        <is>
          <t>Сыровяленые колбасы</t>
        </is>
      </c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374" t="n"/>
      <c r="Y399" s="374" t="n"/>
    </row>
    <row r="400" ht="27" customHeight="1">
      <c r="A400" s="64" t="inlineStr">
        <is>
          <t>SU003056</t>
        </is>
      </c>
      <c r="B400" s="64" t="inlineStr">
        <is>
          <t>P003622</t>
        </is>
      </c>
      <c r="C400" s="37" t="n">
        <v>4301170008</v>
      </c>
      <c r="D400" s="375" t="n">
        <v>4680115882980</v>
      </c>
      <c r="E400" s="642" t="n"/>
      <c r="F400" s="674" t="n">
        <v>0.13</v>
      </c>
      <c r="G400" s="38" t="n">
        <v>10</v>
      </c>
      <c r="H400" s="674" t="n">
        <v>1.3</v>
      </c>
      <c r="I400" s="674" t="n">
        <v>1.46</v>
      </c>
      <c r="J400" s="38" t="n">
        <v>200</v>
      </c>
      <c r="K400" s="39" t="inlineStr">
        <is>
          <t>ДК</t>
        </is>
      </c>
      <c r="L400" s="38" t="n">
        <v>150</v>
      </c>
      <c r="M400" s="892" t="inlineStr">
        <is>
          <t>с/в колбасы «Балыкбургская с мраморным балыком» ф/в 0,13 н/о ТМ «Баварушка»</t>
        </is>
      </c>
      <c r="N400" s="676" t="n"/>
      <c r="O400" s="676" t="n"/>
      <c r="P400" s="676" t="n"/>
      <c r="Q400" s="642" t="n"/>
      <c r="R400" s="40" t="inlineStr"/>
      <c r="S400" s="40" t="inlineStr"/>
      <c r="T400" s="41" t="inlineStr">
        <is>
          <t>кг</t>
        </is>
      </c>
      <c r="U400" s="677" t="n">
        <v>0</v>
      </c>
      <c r="V400" s="678">
        <f>IFERROR(IF(U400="",0,CEILING((U400/$H400),1)*$H400),"")</f>
        <v/>
      </c>
      <c r="W400" s="42">
        <f>IFERROR(IF(V400=0,"",ROUNDUP(V400/H400,0)*0.00673),"")</f>
        <v/>
      </c>
      <c r="X400" s="69" t="inlineStr"/>
      <c r="Y400" s="70" t="inlineStr"/>
      <c r="AC400" s="282" t="inlineStr">
        <is>
          <t>КИ</t>
        </is>
      </c>
    </row>
    <row r="401">
      <c r="A401" s="383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679" t="n"/>
      <c r="M401" s="680" t="inlineStr">
        <is>
          <t>Итого</t>
        </is>
      </c>
      <c r="N401" s="650" t="n"/>
      <c r="O401" s="650" t="n"/>
      <c r="P401" s="650" t="n"/>
      <c r="Q401" s="650" t="n"/>
      <c r="R401" s="650" t="n"/>
      <c r="S401" s="651" t="n"/>
      <c r="T401" s="43" t="inlineStr">
        <is>
          <t>кор</t>
        </is>
      </c>
      <c r="U401" s="681">
        <f>IFERROR(U400/H400,"0")</f>
        <v/>
      </c>
      <c r="V401" s="681">
        <f>IFERROR(V400/H400,"0")</f>
        <v/>
      </c>
      <c r="W401" s="681">
        <f>IFERROR(IF(W400="",0,W400),"0")</f>
        <v/>
      </c>
      <c r="X401" s="682" t="n"/>
      <c r="Y401" s="682" t="n"/>
    </row>
    <row r="402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679" t="n"/>
      <c r="M402" s="680" t="inlineStr">
        <is>
          <t>Итого</t>
        </is>
      </c>
      <c r="N402" s="650" t="n"/>
      <c r="O402" s="650" t="n"/>
      <c r="P402" s="650" t="n"/>
      <c r="Q402" s="650" t="n"/>
      <c r="R402" s="650" t="n"/>
      <c r="S402" s="651" t="n"/>
      <c r="T402" s="43" t="inlineStr">
        <is>
          <t>кг</t>
        </is>
      </c>
      <c r="U402" s="681">
        <f>IFERROR(SUM(U400:U400),"0")</f>
        <v/>
      </c>
      <c r="V402" s="681">
        <f>IFERROR(SUM(V400:V400),"0")</f>
        <v/>
      </c>
      <c r="W402" s="43" t="n"/>
      <c r="X402" s="682" t="n"/>
      <c r="Y402" s="682" t="n"/>
    </row>
    <row r="403" ht="27.75" customHeight="1">
      <c r="A403" s="372" t="inlineStr">
        <is>
          <t>Дугушка</t>
        </is>
      </c>
      <c r="B403" s="673" t="n"/>
      <c r="C403" s="673" t="n"/>
      <c r="D403" s="673" t="n"/>
      <c r="E403" s="673" t="n"/>
      <c r="F403" s="673" t="n"/>
      <c r="G403" s="673" t="n"/>
      <c r="H403" s="673" t="n"/>
      <c r="I403" s="673" t="n"/>
      <c r="J403" s="673" t="n"/>
      <c r="K403" s="673" t="n"/>
      <c r="L403" s="673" t="n"/>
      <c r="M403" s="673" t="n"/>
      <c r="N403" s="673" t="n"/>
      <c r="O403" s="673" t="n"/>
      <c r="P403" s="673" t="n"/>
      <c r="Q403" s="673" t="n"/>
      <c r="R403" s="673" t="n"/>
      <c r="S403" s="673" t="n"/>
      <c r="T403" s="673" t="n"/>
      <c r="U403" s="673" t="n"/>
      <c r="V403" s="673" t="n"/>
      <c r="W403" s="673" t="n"/>
      <c r="X403" s="55" t="n"/>
      <c r="Y403" s="55" t="n"/>
    </row>
    <row r="404" ht="16.5" customHeight="1">
      <c r="A404" s="373" t="inlineStr">
        <is>
          <t>Дугушка</t>
        </is>
      </c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373" t="n"/>
      <c r="Y404" s="373" t="n"/>
    </row>
    <row r="405" ht="14.25" customHeight="1">
      <c r="A405" s="374" t="inlineStr">
        <is>
          <t>Вареные колбасы</t>
        </is>
      </c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374" t="n"/>
      <c r="Y405" s="374" t="n"/>
    </row>
    <row r="406" ht="27" customHeight="1">
      <c r="A406" s="64" t="inlineStr">
        <is>
          <t>SU002011</t>
        </is>
      </c>
      <c r="B406" s="64" t="inlineStr">
        <is>
          <t>P002991</t>
        </is>
      </c>
      <c r="C406" s="37" t="n">
        <v>4301011371</v>
      </c>
      <c r="D406" s="375" t="n">
        <v>4607091389067</v>
      </c>
      <c r="E406" s="642" t="n"/>
      <c r="F406" s="674" t="n">
        <v>0.88</v>
      </c>
      <c r="G406" s="38" t="n">
        <v>6</v>
      </c>
      <c r="H406" s="674" t="n">
        <v>5.28</v>
      </c>
      <c r="I406" s="674" t="n">
        <v>5.64</v>
      </c>
      <c r="J406" s="38" t="n">
        <v>104</v>
      </c>
      <c r="K406" s="39" t="inlineStr">
        <is>
          <t>СК3</t>
        </is>
      </c>
      <c r="L406" s="38" t="n">
        <v>55</v>
      </c>
      <c r="M406" s="893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N406" s="676" t="n"/>
      <c r="O406" s="676" t="n"/>
      <c r="P406" s="676" t="n"/>
      <c r="Q406" s="642" t="n"/>
      <c r="R406" s="40" t="inlineStr"/>
      <c r="S406" s="40" t="inlineStr"/>
      <c r="T406" s="41" t="inlineStr">
        <is>
          <t>кг</t>
        </is>
      </c>
      <c r="U406" s="677" t="n">
        <v>500</v>
      </c>
      <c r="V406" s="678">
        <f>IFERROR(IF(U406="",0,CEILING((U406/$H406),1)*$H406),"")</f>
        <v/>
      </c>
      <c r="W406" s="42">
        <f>IFERROR(IF(V406=0,"",ROUNDUP(V406/H406,0)*0.01196),"")</f>
        <v/>
      </c>
      <c r="X406" s="69" t="inlineStr"/>
      <c r="Y406" s="70" t="inlineStr"/>
      <c r="AC406" s="283" t="inlineStr">
        <is>
          <t>КИ</t>
        </is>
      </c>
    </row>
    <row r="407" ht="27" customHeight="1">
      <c r="A407" s="64" t="inlineStr">
        <is>
          <t>SU002094</t>
        </is>
      </c>
      <c r="B407" s="64" t="inlineStr">
        <is>
          <t>P002975</t>
        </is>
      </c>
      <c r="C407" s="37" t="n">
        <v>4301011363</v>
      </c>
      <c r="D407" s="375" t="n">
        <v>4607091383522</v>
      </c>
      <c r="E407" s="642" t="n"/>
      <c r="F407" s="674" t="n">
        <v>0.88</v>
      </c>
      <c r="G407" s="38" t="n">
        <v>6</v>
      </c>
      <c r="H407" s="674" t="n">
        <v>5.28</v>
      </c>
      <c r="I407" s="674" t="n">
        <v>5.64</v>
      </c>
      <c r="J407" s="38" t="n">
        <v>104</v>
      </c>
      <c r="K407" s="39" t="inlineStr">
        <is>
          <t>СК1</t>
        </is>
      </c>
      <c r="L407" s="38" t="n">
        <v>55</v>
      </c>
      <c r="M407" s="894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N407" s="676" t="n"/>
      <c r="O407" s="676" t="n"/>
      <c r="P407" s="676" t="n"/>
      <c r="Q407" s="642" t="n"/>
      <c r="R407" s="40" t="inlineStr"/>
      <c r="S407" s="40" t="inlineStr"/>
      <c r="T407" s="41" t="inlineStr">
        <is>
          <t>кг</t>
        </is>
      </c>
      <c r="U407" s="677" t="n">
        <v>0</v>
      </c>
      <c r="V407" s="678">
        <f>IFERROR(IF(U407="",0,CEILING((U407/$H407),1)*$H407),"")</f>
        <v/>
      </c>
      <c r="W407" s="42">
        <f>IFERROR(IF(V407=0,"",ROUNDUP(V407/H407,0)*0.01196),"")</f>
        <v/>
      </c>
      <c r="X407" s="69" t="inlineStr"/>
      <c r="Y407" s="70" t="inlineStr"/>
      <c r="AC407" s="284" t="inlineStr">
        <is>
          <t>КИ</t>
        </is>
      </c>
    </row>
    <row r="408" ht="27" customHeight="1">
      <c r="A408" s="64" t="inlineStr">
        <is>
          <t>SU002182</t>
        </is>
      </c>
      <c r="B408" s="64" t="inlineStr">
        <is>
          <t>P002990</t>
        </is>
      </c>
      <c r="C408" s="37" t="n">
        <v>4301011431</v>
      </c>
      <c r="D408" s="375" t="n">
        <v>4607091384437</v>
      </c>
      <c r="E408" s="642" t="n"/>
      <c r="F408" s="674" t="n">
        <v>0.88</v>
      </c>
      <c r="G408" s="38" t="n">
        <v>6</v>
      </c>
      <c r="H408" s="674" t="n">
        <v>5.28</v>
      </c>
      <c r="I408" s="674" t="n">
        <v>5.64</v>
      </c>
      <c r="J408" s="38" t="n">
        <v>104</v>
      </c>
      <c r="K408" s="39" t="inlineStr">
        <is>
          <t>СК1</t>
        </is>
      </c>
      <c r="L408" s="38" t="n">
        <v>50</v>
      </c>
      <c r="M408" s="895">
        <f>HYPERLINK("https:///products/Охлажденные/Дугушка/Дугушка/Вареные колбасы/P002990/","Вареные колбасы Дугушка со шпиком Дугушка Весовые Вектор Дугушка")</f>
        <v/>
      </c>
      <c r="N408" s="676" t="n"/>
      <c r="O408" s="676" t="n"/>
      <c r="P408" s="676" t="n"/>
      <c r="Q408" s="642" t="n"/>
      <c r="R408" s="40" t="inlineStr"/>
      <c r="S408" s="40" t="inlineStr"/>
      <c r="T408" s="41" t="inlineStr">
        <is>
          <t>кг</t>
        </is>
      </c>
      <c r="U408" s="677" t="n">
        <v>100</v>
      </c>
      <c r="V408" s="678">
        <f>IFERROR(IF(U408="",0,CEILING((U408/$H408),1)*$H408),"")</f>
        <v/>
      </c>
      <c r="W408" s="42">
        <f>IFERROR(IF(V408=0,"",ROUNDUP(V408/H408,0)*0.01196),"")</f>
        <v/>
      </c>
      <c r="X408" s="69" t="inlineStr"/>
      <c r="Y408" s="70" t="inlineStr"/>
      <c r="AC408" s="285" t="inlineStr">
        <is>
          <t>КИ</t>
        </is>
      </c>
    </row>
    <row r="409" ht="27" customHeight="1">
      <c r="A409" s="64" t="inlineStr">
        <is>
          <t>SU002010</t>
        </is>
      </c>
      <c r="B409" s="64" t="inlineStr">
        <is>
          <t>P002979</t>
        </is>
      </c>
      <c r="C409" s="37" t="n">
        <v>4301011365</v>
      </c>
      <c r="D409" s="375" t="n">
        <v>4607091389104</v>
      </c>
      <c r="E409" s="642" t="n"/>
      <c r="F409" s="674" t="n">
        <v>0.88</v>
      </c>
      <c r="G409" s="38" t="n">
        <v>6</v>
      </c>
      <c r="H409" s="674" t="n">
        <v>5.28</v>
      </c>
      <c r="I409" s="674" t="n">
        <v>5.64</v>
      </c>
      <c r="J409" s="38" t="n">
        <v>104</v>
      </c>
      <c r="K409" s="39" t="inlineStr">
        <is>
          <t>СК1</t>
        </is>
      </c>
      <c r="L409" s="38" t="n">
        <v>55</v>
      </c>
      <c r="M409" s="896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N409" s="676" t="n"/>
      <c r="O409" s="676" t="n"/>
      <c r="P409" s="676" t="n"/>
      <c r="Q409" s="642" t="n"/>
      <c r="R409" s="40" t="inlineStr"/>
      <c r="S409" s="40" t="inlineStr"/>
      <c r="T409" s="41" t="inlineStr">
        <is>
          <t>кг</t>
        </is>
      </c>
      <c r="U409" s="677" t="n">
        <v>350</v>
      </c>
      <c r="V409" s="678">
        <f>IFERROR(IF(U409="",0,CEILING((U409/$H409),1)*$H409),"")</f>
        <v/>
      </c>
      <c r="W409" s="42">
        <f>IFERROR(IF(V409=0,"",ROUNDUP(V409/H409,0)*0.01196),"")</f>
        <v/>
      </c>
      <c r="X409" s="69" t="inlineStr"/>
      <c r="Y409" s="70" t="inlineStr"/>
      <c r="AC409" s="286" t="inlineStr">
        <is>
          <t>КИ</t>
        </is>
      </c>
    </row>
    <row r="410" ht="27" customHeight="1">
      <c r="A410" s="64" t="inlineStr">
        <is>
          <t>SU002019</t>
        </is>
      </c>
      <c r="B410" s="64" t="inlineStr">
        <is>
          <t>P002306</t>
        </is>
      </c>
      <c r="C410" s="37" t="n">
        <v>4301011142</v>
      </c>
      <c r="D410" s="375" t="n">
        <v>4607091389036</v>
      </c>
      <c r="E410" s="642" t="n"/>
      <c r="F410" s="674" t="n">
        <v>0.4</v>
      </c>
      <c r="G410" s="38" t="n">
        <v>6</v>
      </c>
      <c r="H410" s="674" t="n">
        <v>2.4</v>
      </c>
      <c r="I410" s="674" t="n">
        <v>2.6</v>
      </c>
      <c r="J410" s="38" t="n">
        <v>156</v>
      </c>
      <c r="K410" s="39" t="inlineStr">
        <is>
          <t>СК3</t>
        </is>
      </c>
      <c r="L410" s="38" t="n">
        <v>50</v>
      </c>
      <c r="M410" s="897">
        <f>HYPERLINK("https://abi.ru/products/Охлажденные/Дугушка/Дугушка/Вареные колбасы/P002306/","Вареные колбасы Докторская ГОСТ Дугушка Фикс.вес 0,4 Вектор Дугушка")</f>
        <v/>
      </c>
      <c r="N410" s="676" t="n"/>
      <c r="O410" s="676" t="n"/>
      <c r="P410" s="676" t="n"/>
      <c r="Q410" s="642" t="n"/>
      <c r="R410" s="40" t="inlineStr"/>
      <c r="S410" s="40" t="inlineStr"/>
      <c r="T410" s="41" t="inlineStr">
        <is>
          <t>кг</t>
        </is>
      </c>
      <c r="U410" s="677" t="n">
        <v>0</v>
      </c>
      <c r="V410" s="678">
        <f>IFERROR(IF(U410="",0,CEILING((U410/$H410),1)*$H410),"")</f>
        <v/>
      </c>
      <c r="W410" s="42">
        <f>IFERROR(IF(V410=0,"",ROUNDUP(V410/H410,0)*0.00753),"")</f>
        <v/>
      </c>
      <c r="X410" s="69" t="inlineStr"/>
      <c r="Y410" s="70" t="inlineStr"/>
      <c r="AC410" s="287" t="inlineStr">
        <is>
          <t>КИ</t>
        </is>
      </c>
    </row>
    <row r="411" ht="27" customHeight="1">
      <c r="A411" s="64" t="inlineStr">
        <is>
          <t>SU002632</t>
        </is>
      </c>
      <c r="B411" s="64" t="inlineStr">
        <is>
          <t>P002982</t>
        </is>
      </c>
      <c r="C411" s="37" t="n">
        <v>4301011367</v>
      </c>
      <c r="D411" s="375" t="n">
        <v>4680115880603</v>
      </c>
      <c r="E411" s="642" t="n"/>
      <c r="F411" s="674" t="n">
        <v>0.6</v>
      </c>
      <c r="G411" s="38" t="n">
        <v>6</v>
      </c>
      <c r="H411" s="674" t="n">
        <v>3.6</v>
      </c>
      <c r="I411" s="674" t="n">
        <v>3.84</v>
      </c>
      <c r="J411" s="38" t="n">
        <v>120</v>
      </c>
      <c r="K411" s="39" t="inlineStr">
        <is>
          <t>СК1</t>
        </is>
      </c>
      <c r="L411" s="38" t="n">
        <v>55</v>
      </c>
      <c r="M411" s="898">
        <f>HYPERLINK("https:///products/Охлажденные/Дугушка/Дугушка/Вареные колбасы/P002982/","Вареные колбасы «Докторская ГОСТ» Фикс.вес 0,6 Вектор ТМ «Дугушка»")</f>
        <v/>
      </c>
      <c r="N411" s="676" t="n"/>
      <c r="O411" s="676" t="n"/>
      <c r="P411" s="676" t="n"/>
      <c r="Q411" s="642" t="n"/>
      <c r="R411" s="40" t="inlineStr"/>
      <c r="S411" s="40" t="inlineStr"/>
      <c r="T411" s="41" t="inlineStr">
        <is>
          <t>кг</t>
        </is>
      </c>
      <c r="U411" s="677" t="n">
        <v>0</v>
      </c>
      <c r="V411" s="678">
        <f>IFERROR(IF(U411="",0,CEILING((U411/$H411),1)*$H411),"")</f>
        <v/>
      </c>
      <c r="W411" s="42">
        <f>IFERROR(IF(V411=0,"",ROUNDUP(V411/H411,0)*0.00937),"")</f>
        <v/>
      </c>
      <c r="X411" s="69" t="inlineStr"/>
      <c r="Y411" s="70" t="inlineStr"/>
      <c r="AC411" s="288" t="inlineStr">
        <is>
          <t>КИ</t>
        </is>
      </c>
    </row>
    <row r="412" ht="27" customHeight="1">
      <c r="A412" s="64" t="inlineStr">
        <is>
          <t>SU002220</t>
        </is>
      </c>
      <c r="B412" s="64" t="inlineStr">
        <is>
          <t>P002404</t>
        </is>
      </c>
      <c r="C412" s="37" t="n">
        <v>4301011168</v>
      </c>
      <c r="D412" s="375" t="n">
        <v>4607091389999</v>
      </c>
      <c r="E412" s="642" t="n"/>
      <c r="F412" s="674" t="n">
        <v>0.6</v>
      </c>
      <c r="G412" s="38" t="n">
        <v>6</v>
      </c>
      <c r="H412" s="674" t="n">
        <v>3.6</v>
      </c>
      <c r="I412" s="674" t="n">
        <v>3.84</v>
      </c>
      <c r="J412" s="38" t="n">
        <v>120</v>
      </c>
      <c r="K412" s="39" t="inlineStr">
        <is>
          <t>СК1</t>
        </is>
      </c>
      <c r="L412" s="38" t="n">
        <v>55</v>
      </c>
      <c r="M412" s="899">
        <f>HYPERLINK("https:///products/Охлажденные/Дугушка/Дугушка/Вареные колбасы/P002404/","Вареные колбасы «Докторская Дугушка» Фикс.вес 0,6 П/а ТМ «Дугушка»")</f>
        <v/>
      </c>
      <c r="N412" s="676" t="n"/>
      <c r="O412" s="676" t="n"/>
      <c r="P412" s="676" t="n"/>
      <c r="Q412" s="642" t="n"/>
      <c r="R412" s="40" t="inlineStr"/>
      <c r="S412" s="40" t="inlineStr"/>
      <c r="T412" s="41" t="inlineStr">
        <is>
          <t>кг</t>
        </is>
      </c>
      <c r="U412" s="677" t="n">
        <v>0</v>
      </c>
      <c r="V412" s="678">
        <f>IFERROR(IF(U412="",0,CEILING((U412/$H412),1)*$H412),"")</f>
        <v/>
      </c>
      <c r="W412" s="42">
        <f>IFERROR(IF(V412=0,"",ROUNDUP(V412/H412,0)*0.00937),"")</f>
        <v/>
      </c>
      <c r="X412" s="69" t="inlineStr"/>
      <c r="Y412" s="70" t="inlineStr"/>
      <c r="AC412" s="289" t="inlineStr">
        <is>
          <t>КИ</t>
        </is>
      </c>
    </row>
    <row r="413" ht="27" customHeight="1">
      <c r="A413" s="64" t="inlineStr">
        <is>
          <t>SU002635</t>
        </is>
      </c>
      <c r="B413" s="64" t="inlineStr">
        <is>
          <t>P002992</t>
        </is>
      </c>
      <c r="C413" s="37" t="n">
        <v>4301011372</v>
      </c>
      <c r="D413" s="375" t="n">
        <v>4680115882782</v>
      </c>
      <c r="E413" s="642" t="n"/>
      <c r="F413" s="674" t="n">
        <v>0.6</v>
      </c>
      <c r="G413" s="38" t="n">
        <v>6</v>
      </c>
      <c r="H413" s="674" t="n">
        <v>3.6</v>
      </c>
      <c r="I413" s="674" t="n">
        <v>3.84</v>
      </c>
      <c r="J413" s="38" t="n">
        <v>120</v>
      </c>
      <c r="K413" s="39" t="inlineStr">
        <is>
          <t>СК1</t>
        </is>
      </c>
      <c r="L413" s="38" t="n">
        <v>50</v>
      </c>
      <c r="M413" s="900">
        <f>HYPERLINK("https:///products/Охлажденные/Дугушка/Дугушка/Вареные колбасы/P002992/","Вареные колбасы «Дугушка со шпиком» Фикс.вес 0,6 П/а ТМ «Дугушка»")</f>
        <v/>
      </c>
      <c r="N413" s="676" t="n"/>
      <c r="O413" s="676" t="n"/>
      <c r="P413" s="676" t="n"/>
      <c r="Q413" s="642" t="n"/>
      <c r="R413" s="40" t="inlineStr"/>
      <c r="S413" s="40" t="inlineStr"/>
      <c r="T413" s="41" t="inlineStr">
        <is>
          <t>кг</t>
        </is>
      </c>
      <c r="U413" s="677" t="n">
        <v>0</v>
      </c>
      <c r="V413" s="678">
        <f>IFERROR(IF(U413="",0,CEILING((U413/$H413),1)*$H413),"")</f>
        <v/>
      </c>
      <c r="W413" s="42">
        <f>IFERROR(IF(V413=0,"",ROUNDUP(V413/H413,0)*0.00937),"")</f>
        <v/>
      </c>
      <c r="X413" s="69" t="inlineStr"/>
      <c r="Y413" s="70" t="inlineStr"/>
      <c r="AC413" s="290" t="inlineStr">
        <is>
          <t>КИ</t>
        </is>
      </c>
    </row>
    <row r="414" ht="27" customHeight="1">
      <c r="A414" s="64" t="inlineStr">
        <is>
          <t>SU002020</t>
        </is>
      </c>
      <c r="B414" s="64" t="inlineStr">
        <is>
          <t>P002308</t>
        </is>
      </c>
      <c r="C414" s="37" t="n">
        <v>4301011190</v>
      </c>
      <c r="D414" s="375" t="n">
        <v>4607091389098</v>
      </c>
      <c r="E414" s="642" t="n"/>
      <c r="F414" s="674" t="n">
        <v>0.4</v>
      </c>
      <c r="G414" s="38" t="n">
        <v>6</v>
      </c>
      <c r="H414" s="674" t="n">
        <v>2.4</v>
      </c>
      <c r="I414" s="674" t="n">
        <v>2.6</v>
      </c>
      <c r="J414" s="38" t="n">
        <v>156</v>
      </c>
      <c r="K414" s="39" t="inlineStr">
        <is>
          <t>СК3</t>
        </is>
      </c>
      <c r="L414" s="38" t="n">
        <v>50</v>
      </c>
      <c r="M414" s="901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N414" s="676" t="n"/>
      <c r="O414" s="676" t="n"/>
      <c r="P414" s="676" t="n"/>
      <c r="Q414" s="642" t="n"/>
      <c r="R414" s="40" t="inlineStr"/>
      <c r="S414" s="40" t="inlineStr"/>
      <c r="T414" s="41" t="inlineStr">
        <is>
          <t>кг</t>
        </is>
      </c>
      <c r="U414" s="677" t="n">
        <v>0</v>
      </c>
      <c r="V414" s="678">
        <f>IFERROR(IF(U414="",0,CEILING((U414/$H414),1)*$H414),"")</f>
        <v/>
      </c>
      <c r="W414" s="42">
        <f>IFERROR(IF(V414=0,"",ROUNDUP(V414/H414,0)*0.00753),"")</f>
        <v/>
      </c>
      <c r="X414" s="69" t="inlineStr"/>
      <c r="Y414" s="70" t="inlineStr"/>
      <c r="AC414" s="291" t="inlineStr">
        <is>
          <t>КИ</t>
        </is>
      </c>
    </row>
    <row r="415" ht="27" customHeight="1">
      <c r="A415" s="64" t="inlineStr">
        <is>
          <t>SU002631</t>
        </is>
      </c>
      <c r="B415" s="64" t="inlineStr">
        <is>
          <t>P002981</t>
        </is>
      </c>
      <c r="C415" s="37" t="n">
        <v>4301011366</v>
      </c>
      <c r="D415" s="375" t="n">
        <v>4607091389982</v>
      </c>
      <c r="E415" s="642" t="n"/>
      <c r="F415" s="674" t="n">
        <v>0.6</v>
      </c>
      <c r="G415" s="38" t="n">
        <v>6</v>
      </c>
      <c r="H415" s="674" t="n">
        <v>3.6</v>
      </c>
      <c r="I415" s="674" t="n">
        <v>3.84</v>
      </c>
      <c r="J415" s="38" t="n">
        <v>120</v>
      </c>
      <c r="K415" s="39" t="inlineStr">
        <is>
          <t>СК1</t>
        </is>
      </c>
      <c r="L415" s="38" t="n">
        <v>55</v>
      </c>
      <c r="M415" s="902">
        <f>HYPERLINK("https:///products/Охлажденные/Дугушка/Дугушка/Вареные колбасы/P002981/","Вареные колбасы «Молочная Дугушка» Фикс.вес 0,6 П/а ТМ «Дугушка»")</f>
        <v/>
      </c>
      <c r="N415" s="676" t="n"/>
      <c r="O415" s="676" t="n"/>
      <c r="P415" s="676" t="n"/>
      <c r="Q415" s="642" t="n"/>
      <c r="R415" s="40" t="inlineStr"/>
      <c r="S415" s="40" t="inlineStr"/>
      <c r="T415" s="41" t="inlineStr">
        <is>
          <t>кг</t>
        </is>
      </c>
      <c r="U415" s="677" t="n">
        <v>0</v>
      </c>
      <c r="V415" s="678">
        <f>IFERROR(IF(U415="",0,CEILING((U415/$H415),1)*$H415),"")</f>
        <v/>
      </c>
      <c r="W415" s="42">
        <f>IFERROR(IF(V415=0,"",ROUNDUP(V415/H415,0)*0.00937),"")</f>
        <v/>
      </c>
      <c r="X415" s="69" t="inlineStr"/>
      <c r="Y415" s="70" t="inlineStr"/>
      <c r="AC415" s="292" t="inlineStr">
        <is>
          <t>КИ</t>
        </is>
      </c>
    </row>
    <row r="416">
      <c r="A416" s="383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679" t="n"/>
      <c r="M416" s="680" t="inlineStr">
        <is>
          <t>Итого</t>
        </is>
      </c>
      <c r="N416" s="650" t="n"/>
      <c r="O416" s="650" t="n"/>
      <c r="P416" s="650" t="n"/>
      <c r="Q416" s="650" t="n"/>
      <c r="R416" s="650" t="n"/>
      <c r="S416" s="651" t="n"/>
      <c r="T416" s="43" t="inlineStr">
        <is>
          <t>кор</t>
        </is>
      </c>
      <c r="U416" s="681">
        <f>IFERROR(U406/H406,"0")+IFERROR(U407/H407,"0")+IFERROR(U408/H408,"0")+IFERROR(U409/H409,"0")+IFERROR(U410/H410,"0")+IFERROR(U411/H411,"0")+IFERROR(U412/H412,"0")+IFERROR(U413/H413,"0")+IFERROR(U414/H414,"0")+IFERROR(U415/H415,"0")</f>
        <v/>
      </c>
      <c r="V416" s="681">
        <f>IFERROR(V406/H406,"0")+IFERROR(V407/H407,"0")+IFERROR(V408/H408,"0")+IFERROR(V409/H409,"0")+IFERROR(V410/H410,"0")+IFERROR(V411/H411,"0")+IFERROR(V412/H412,"0")+IFERROR(V413/H413,"0")+IFERROR(V414/H414,"0")+IFERROR(V415/H415,"0")</f>
        <v/>
      </c>
      <c r="W416" s="681">
        <f>IFERROR(IF(W406="",0,W406),"0")+IFERROR(IF(W407="",0,W407),"0")+IFERROR(IF(W408="",0,W408),"0")+IFERROR(IF(W409="",0,W409),"0")+IFERROR(IF(W410="",0,W410),"0")+IFERROR(IF(W411="",0,W411),"0")+IFERROR(IF(W412="",0,W412),"0")+IFERROR(IF(W413="",0,W413),"0")+IFERROR(IF(W414="",0,W414),"0")+IFERROR(IF(W415="",0,W415),"0")</f>
        <v/>
      </c>
      <c r="X416" s="682" t="n"/>
      <c r="Y416" s="682" t="n"/>
    </row>
    <row r="417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679" t="n"/>
      <c r="M417" s="680" t="inlineStr">
        <is>
          <t>Итого</t>
        </is>
      </c>
      <c r="N417" s="650" t="n"/>
      <c r="O417" s="650" t="n"/>
      <c r="P417" s="650" t="n"/>
      <c r="Q417" s="650" t="n"/>
      <c r="R417" s="650" t="n"/>
      <c r="S417" s="651" t="n"/>
      <c r="T417" s="43" t="inlineStr">
        <is>
          <t>кг</t>
        </is>
      </c>
      <c r="U417" s="681">
        <f>IFERROR(SUM(U406:U415),"0")</f>
        <v/>
      </c>
      <c r="V417" s="681">
        <f>IFERROR(SUM(V406:V415),"0")</f>
        <v/>
      </c>
      <c r="W417" s="43" t="n"/>
      <c r="X417" s="682" t="n"/>
      <c r="Y417" s="682" t="n"/>
    </row>
    <row r="418" ht="14.25" customHeight="1">
      <c r="A418" s="374" t="inlineStr">
        <is>
          <t>Ветчины</t>
        </is>
      </c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374" t="n"/>
      <c r="Y418" s="374" t="n"/>
    </row>
    <row r="419" ht="16.5" customHeight="1">
      <c r="A419" s="64" t="inlineStr">
        <is>
          <t>SU002035</t>
        </is>
      </c>
      <c r="B419" s="64" t="inlineStr">
        <is>
          <t>P003146</t>
        </is>
      </c>
      <c r="C419" s="37" t="n">
        <v>4301020222</v>
      </c>
      <c r="D419" s="375" t="n">
        <v>4607091388930</v>
      </c>
      <c r="E419" s="642" t="n"/>
      <c r="F419" s="674" t="n">
        <v>0.88</v>
      </c>
      <c r="G419" s="38" t="n">
        <v>6</v>
      </c>
      <c r="H419" s="674" t="n">
        <v>5.28</v>
      </c>
      <c r="I419" s="674" t="n">
        <v>5.64</v>
      </c>
      <c r="J419" s="38" t="n">
        <v>104</v>
      </c>
      <c r="K419" s="39" t="inlineStr">
        <is>
          <t>СК1</t>
        </is>
      </c>
      <c r="L419" s="38" t="n">
        <v>55</v>
      </c>
      <c r="M419" s="903">
        <f>HYPERLINK("https://abi.ru/products/Охлажденные/Дугушка/Дугушка/Ветчины/P003146/","Ветчины Дугушка Дугушка Вес б/о Дугушка")</f>
        <v/>
      </c>
      <c r="N419" s="676" t="n"/>
      <c r="O419" s="676" t="n"/>
      <c r="P419" s="676" t="n"/>
      <c r="Q419" s="642" t="n"/>
      <c r="R419" s="40" t="inlineStr"/>
      <c r="S419" s="40" t="inlineStr"/>
      <c r="T419" s="41" t="inlineStr">
        <is>
          <t>кг</t>
        </is>
      </c>
      <c r="U419" s="677" t="n">
        <v>0</v>
      </c>
      <c r="V419" s="678">
        <f>IFERROR(IF(U419="",0,CEILING((U419/$H419),1)*$H419),"")</f>
        <v/>
      </c>
      <c r="W419" s="42">
        <f>IFERROR(IF(V419=0,"",ROUNDUP(V419/H419,0)*0.01196),"")</f>
        <v/>
      </c>
      <c r="X419" s="69" t="inlineStr"/>
      <c r="Y419" s="70" t="inlineStr"/>
      <c r="AC419" s="293" t="inlineStr">
        <is>
          <t>КИ</t>
        </is>
      </c>
    </row>
    <row r="420" ht="16.5" customHeight="1">
      <c r="A420" s="64" t="inlineStr">
        <is>
          <t>SU002643</t>
        </is>
      </c>
      <c r="B420" s="64" t="inlineStr">
        <is>
          <t>P002993</t>
        </is>
      </c>
      <c r="C420" s="37" t="n">
        <v>4301020206</v>
      </c>
      <c r="D420" s="375" t="n">
        <v>4680115880054</v>
      </c>
      <c r="E420" s="642" t="n"/>
      <c r="F420" s="674" t="n">
        <v>0.6</v>
      </c>
      <c r="G420" s="38" t="n">
        <v>6</v>
      </c>
      <c r="H420" s="674" t="n">
        <v>3.6</v>
      </c>
      <c r="I420" s="674" t="n">
        <v>3.84</v>
      </c>
      <c r="J420" s="38" t="n">
        <v>120</v>
      </c>
      <c r="K420" s="39" t="inlineStr">
        <is>
          <t>СК1</t>
        </is>
      </c>
      <c r="L420" s="38" t="n">
        <v>55</v>
      </c>
      <c r="M420" s="904">
        <f>HYPERLINK("https:///products/Охлажденные/Дугушка/Дугушка/Ветчины/P002993/","Ветчины «Дугушка» Фикс.вес 0,6 П/а ТМ «Дугушка»")</f>
        <v/>
      </c>
      <c r="N420" s="676" t="n"/>
      <c r="O420" s="676" t="n"/>
      <c r="P420" s="676" t="n"/>
      <c r="Q420" s="642" t="n"/>
      <c r="R420" s="40" t="inlineStr"/>
      <c r="S420" s="40" t="inlineStr"/>
      <c r="T420" s="41" t="inlineStr">
        <is>
          <t>кг</t>
        </is>
      </c>
      <c r="U420" s="677" t="n">
        <v>0</v>
      </c>
      <c r="V420" s="678">
        <f>IFERROR(IF(U420="",0,CEILING((U420/$H420),1)*$H420),"")</f>
        <v/>
      </c>
      <c r="W420" s="42">
        <f>IFERROR(IF(V420=0,"",ROUNDUP(V420/H420,0)*0.00937),"")</f>
        <v/>
      </c>
      <c r="X420" s="69" t="inlineStr"/>
      <c r="Y420" s="70" t="inlineStr"/>
      <c r="AC420" s="294" t="inlineStr">
        <is>
          <t>КИ</t>
        </is>
      </c>
    </row>
    <row r="421">
      <c r="A421" s="383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679" t="n"/>
      <c r="M421" s="680" t="inlineStr">
        <is>
          <t>Итого</t>
        </is>
      </c>
      <c r="N421" s="650" t="n"/>
      <c r="O421" s="650" t="n"/>
      <c r="P421" s="650" t="n"/>
      <c r="Q421" s="650" t="n"/>
      <c r="R421" s="650" t="n"/>
      <c r="S421" s="651" t="n"/>
      <c r="T421" s="43" t="inlineStr">
        <is>
          <t>кор</t>
        </is>
      </c>
      <c r="U421" s="681">
        <f>IFERROR(U419/H419,"0")+IFERROR(U420/H420,"0")</f>
        <v/>
      </c>
      <c r="V421" s="681">
        <f>IFERROR(V419/H419,"0")+IFERROR(V420/H420,"0")</f>
        <v/>
      </c>
      <c r="W421" s="681">
        <f>IFERROR(IF(W419="",0,W419),"0")+IFERROR(IF(W420="",0,W420),"0")</f>
        <v/>
      </c>
      <c r="X421" s="682" t="n"/>
      <c r="Y421" s="682" t="n"/>
    </row>
    <row r="422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679" t="n"/>
      <c r="M422" s="680" t="inlineStr">
        <is>
          <t>Итого</t>
        </is>
      </c>
      <c r="N422" s="650" t="n"/>
      <c r="O422" s="650" t="n"/>
      <c r="P422" s="650" t="n"/>
      <c r="Q422" s="650" t="n"/>
      <c r="R422" s="650" t="n"/>
      <c r="S422" s="651" t="n"/>
      <c r="T422" s="43" t="inlineStr">
        <is>
          <t>кг</t>
        </is>
      </c>
      <c r="U422" s="681">
        <f>IFERROR(SUM(U419:U420),"0")</f>
        <v/>
      </c>
      <c r="V422" s="681">
        <f>IFERROR(SUM(V419:V420),"0")</f>
        <v/>
      </c>
      <c r="W422" s="43" t="n"/>
      <c r="X422" s="682" t="n"/>
      <c r="Y422" s="682" t="n"/>
    </row>
    <row r="423" ht="14.25" customHeight="1">
      <c r="A423" s="374" t="inlineStr">
        <is>
          <t>Копченые колбасы</t>
        </is>
      </c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374" t="n"/>
      <c r="Y423" s="374" t="n"/>
    </row>
    <row r="424" ht="27" customHeight="1">
      <c r="A424" s="64" t="inlineStr">
        <is>
          <t>SU002150</t>
        </is>
      </c>
      <c r="B424" s="64" t="inlineStr">
        <is>
          <t>P003636</t>
        </is>
      </c>
      <c r="C424" s="37" t="n">
        <v>4301031252</v>
      </c>
      <c r="D424" s="375" t="n">
        <v>4680115883116</v>
      </c>
      <c r="E424" s="642" t="n"/>
      <c r="F424" s="674" t="n">
        <v>0.88</v>
      </c>
      <c r="G424" s="38" t="n">
        <v>6</v>
      </c>
      <c r="H424" s="674" t="n">
        <v>5.28</v>
      </c>
      <c r="I424" s="674" t="n">
        <v>5.64</v>
      </c>
      <c r="J424" s="38" t="n">
        <v>104</v>
      </c>
      <c r="K424" s="39" t="inlineStr">
        <is>
          <t>СК1</t>
        </is>
      </c>
      <c r="L424" s="38" t="n">
        <v>60</v>
      </c>
      <c r="M424" s="905" t="inlineStr">
        <is>
          <t>В/к колбасы «Рубленая Запеченная» Весовые Вектор ТМ «Дугушка»</t>
        </is>
      </c>
      <c r="N424" s="676" t="n"/>
      <c r="O424" s="676" t="n"/>
      <c r="P424" s="676" t="n"/>
      <c r="Q424" s="642" t="n"/>
      <c r="R424" s="40" t="inlineStr"/>
      <c r="S424" s="40" t="inlineStr"/>
      <c r="T424" s="41" t="inlineStr">
        <is>
          <t>кг</t>
        </is>
      </c>
      <c r="U424" s="677" t="n">
        <v>500</v>
      </c>
      <c r="V424" s="678">
        <f>IFERROR(IF(U424="",0,CEILING((U424/$H424),1)*$H424),"")</f>
        <v/>
      </c>
      <c r="W424" s="42">
        <f>IFERROR(IF(V424=0,"",ROUNDUP(V424/H424,0)*0.01196),"")</f>
        <v/>
      </c>
      <c r="X424" s="69" t="inlineStr"/>
      <c r="Y424" s="70" t="inlineStr"/>
      <c r="AC424" s="295" t="inlineStr">
        <is>
          <t>КИ</t>
        </is>
      </c>
    </row>
    <row r="425" ht="27" customHeight="1">
      <c r="A425" s="64" t="inlineStr">
        <is>
          <t>SU002158</t>
        </is>
      </c>
      <c r="B425" s="64" t="inlineStr">
        <is>
          <t>P003632</t>
        </is>
      </c>
      <c r="C425" s="37" t="n">
        <v>4301031248</v>
      </c>
      <c r="D425" s="375" t="n">
        <v>4680115883093</v>
      </c>
      <c r="E425" s="642" t="n"/>
      <c r="F425" s="674" t="n">
        <v>0.88</v>
      </c>
      <c r="G425" s="38" t="n">
        <v>6</v>
      </c>
      <c r="H425" s="674" t="n">
        <v>5.28</v>
      </c>
      <c r="I425" s="674" t="n">
        <v>5.64</v>
      </c>
      <c r="J425" s="38" t="n">
        <v>104</v>
      </c>
      <c r="K425" s="39" t="inlineStr">
        <is>
          <t>СК2</t>
        </is>
      </c>
      <c r="L425" s="38" t="n">
        <v>60</v>
      </c>
      <c r="M425" s="906" t="inlineStr">
        <is>
          <t>В/к колбасы «Салями Запеченая» Весовые ТМ «Дугушка»</t>
        </is>
      </c>
      <c r="N425" s="676" t="n"/>
      <c r="O425" s="676" t="n"/>
      <c r="P425" s="676" t="n"/>
      <c r="Q425" s="642" t="n"/>
      <c r="R425" s="40" t="inlineStr"/>
      <c r="S425" s="40" t="inlineStr"/>
      <c r="T425" s="41" t="inlineStr">
        <is>
          <t>кг</t>
        </is>
      </c>
      <c r="U425" s="677" t="n">
        <v>320</v>
      </c>
      <c r="V425" s="678">
        <f>IFERROR(IF(U425="",0,CEILING((U425/$H425),1)*$H425),"")</f>
        <v/>
      </c>
      <c r="W425" s="42">
        <f>IFERROR(IF(V425=0,"",ROUNDUP(V425/H425,0)*0.01196),"")</f>
        <v/>
      </c>
      <c r="X425" s="69" t="inlineStr"/>
      <c r="Y425" s="70" t="inlineStr"/>
      <c r="AC425" s="296" t="inlineStr">
        <is>
          <t>КИ</t>
        </is>
      </c>
    </row>
    <row r="426" ht="27" customHeight="1">
      <c r="A426" s="64" t="inlineStr">
        <is>
          <t>SU002151</t>
        </is>
      </c>
      <c r="B426" s="64" t="inlineStr">
        <is>
          <t>P003634</t>
        </is>
      </c>
      <c r="C426" s="37" t="n">
        <v>4301031250</v>
      </c>
      <c r="D426" s="375" t="n">
        <v>4680115883109</v>
      </c>
      <c r="E426" s="642" t="n"/>
      <c r="F426" s="674" t="n">
        <v>0.88</v>
      </c>
      <c r="G426" s="38" t="n">
        <v>6</v>
      </c>
      <c r="H426" s="674" t="n">
        <v>5.28</v>
      </c>
      <c r="I426" s="674" t="n">
        <v>5.64</v>
      </c>
      <c r="J426" s="38" t="n">
        <v>104</v>
      </c>
      <c r="K426" s="39" t="inlineStr">
        <is>
          <t>СК2</t>
        </is>
      </c>
      <c r="L426" s="38" t="n">
        <v>60</v>
      </c>
      <c r="M426" s="907" t="inlineStr">
        <is>
          <t>В/к колбасы «Сервелат Запеченный» Весовые Вектор ТМ «Дугушка»</t>
        </is>
      </c>
      <c r="N426" s="676" t="n"/>
      <c r="O426" s="676" t="n"/>
      <c r="P426" s="676" t="n"/>
      <c r="Q426" s="642" t="n"/>
      <c r="R426" s="40" t="inlineStr"/>
      <c r="S426" s="40" t="inlineStr"/>
      <c r="T426" s="41" t="inlineStr">
        <is>
          <t>кг</t>
        </is>
      </c>
      <c r="U426" s="677" t="n">
        <v>410</v>
      </c>
      <c r="V426" s="678">
        <f>IFERROR(IF(U426="",0,CEILING((U426/$H426),1)*$H426),"")</f>
        <v/>
      </c>
      <c r="W426" s="42">
        <f>IFERROR(IF(V426=0,"",ROUNDUP(V426/H426,0)*0.01196),"")</f>
        <v/>
      </c>
      <c r="X426" s="69" t="inlineStr"/>
      <c r="Y426" s="70" t="inlineStr"/>
      <c r="AC426" s="297" t="inlineStr">
        <is>
          <t>КИ</t>
        </is>
      </c>
    </row>
    <row r="427" ht="27" customHeight="1">
      <c r="A427" s="64" t="inlineStr">
        <is>
          <t>SU002916</t>
        </is>
      </c>
      <c r="B427" s="64" t="inlineStr">
        <is>
          <t>P003633</t>
        </is>
      </c>
      <c r="C427" s="37" t="n">
        <v>4301031249</v>
      </c>
      <c r="D427" s="375" t="n">
        <v>4680115882072</v>
      </c>
      <c r="E427" s="642" t="n"/>
      <c r="F427" s="674" t="n">
        <v>0.6</v>
      </c>
      <c r="G427" s="38" t="n">
        <v>6</v>
      </c>
      <c r="H427" s="674" t="n">
        <v>3.6</v>
      </c>
      <c r="I427" s="674" t="n">
        <v>3.81</v>
      </c>
      <c r="J427" s="38" t="n">
        <v>120</v>
      </c>
      <c r="K427" s="39" t="inlineStr">
        <is>
          <t>СК1</t>
        </is>
      </c>
      <c r="L427" s="38" t="n">
        <v>60</v>
      </c>
      <c r="M427" s="908" t="inlineStr">
        <is>
          <t>В/к колбасы «Рубленая Запеченная» Фикс.вес 0,6 Вектор ТМ «Дугушка»</t>
        </is>
      </c>
      <c r="N427" s="676" t="n"/>
      <c r="O427" s="676" t="n"/>
      <c r="P427" s="676" t="n"/>
      <c r="Q427" s="642" t="n"/>
      <c r="R427" s="40" t="inlineStr"/>
      <c r="S427" s="40" t="inlineStr"/>
      <c r="T427" s="41" t="inlineStr">
        <is>
          <t>кг</t>
        </is>
      </c>
      <c r="U427" s="677" t="n">
        <v>0</v>
      </c>
      <c r="V427" s="678">
        <f>IFERROR(IF(U427="",0,CEILING((U427/$H427),1)*$H427),"")</f>
        <v/>
      </c>
      <c r="W427" s="42">
        <f>IFERROR(IF(V427=0,"",ROUNDUP(V427/H427,0)*0.00937),"")</f>
        <v/>
      </c>
      <c r="X427" s="69" t="inlineStr"/>
      <c r="Y427" s="70" t="inlineStr"/>
      <c r="AC427" s="298" t="inlineStr">
        <is>
          <t>КИ</t>
        </is>
      </c>
    </row>
    <row r="428" ht="27" customHeight="1">
      <c r="A428" s="64" t="inlineStr">
        <is>
          <t>SU002916</t>
        </is>
      </c>
      <c r="B428" s="64" t="inlineStr">
        <is>
          <t>P003342</t>
        </is>
      </c>
      <c r="C428" s="37" t="n">
        <v>4301031214</v>
      </c>
      <c r="D428" s="375" t="n">
        <v>4680115882072</v>
      </c>
      <c r="E428" s="642" t="n"/>
      <c r="F428" s="674" t="n">
        <v>0.6</v>
      </c>
      <c r="G428" s="38" t="n">
        <v>6</v>
      </c>
      <c r="H428" s="674" t="n">
        <v>3.6</v>
      </c>
      <c r="I428" s="674" t="n">
        <v>3.84</v>
      </c>
      <c r="J428" s="38" t="n">
        <v>120</v>
      </c>
      <c r="K428" s="39" t="inlineStr">
        <is>
          <t>СК1</t>
        </is>
      </c>
      <c r="L428" s="38" t="n">
        <v>55</v>
      </c>
      <c r="M428" s="909" t="inlineStr">
        <is>
          <t>В/к колбасы «Рубленая Запеченная» Фикс.вес 0,6 Вектор ТМ «Дугушка»</t>
        </is>
      </c>
      <c r="N428" s="676" t="n"/>
      <c r="O428" s="676" t="n"/>
      <c r="P428" s="676" t="n"/>
      <c r="Q428" s="642" t="n"/>
      <c r="R428" s="40" t="inlineStr"/>
      <c r="S428" s="40" t="inlineStr"/>
      <c r="T428" s="41" t="inlineStr">
        <is>
          <t>кг</t>
        </is>
      </c>
      <c r="U428" s="677" t="n">
        <v>0</v>
      </c>
      <c r="V428" s="678">
        <f>IFERROR(IF(U428="",0,CEILING((U428/$H428),1)*$H428),"")</f>
        <v/>
      </c>
      <c r="W428" s="42">
        <f>IFERROR(IF(V428=0,"",ROUNDUP(V428/H428,0)*0.00937),"")</f>
        <v/>
      </c>
      <c r="X428" s="69" t="inlineStr"/>
      <c r="Y428" s="70" t="inlineStr"/>
      <c r="AC428" s="299" t="inlineStr">
        <is>
          <t>КИ</t>
        </is>
      </c>
    </row>
    <row r="429" ht="27" customHeight="1">
      <c r="A429" s="64" t="inlineStr">
        <is>
          <t>SU002919</t>
        </is>
      </c>
      <c r="B429" s="64" t="inlineStr">
        <is>
          <t>P003635</t>
        </is>
      </c>
      <c r="C429" s="37" t="n">
        <v>4301031251</v>
      </c>
      <c r="D429" s="375" t="n">
        <v>4680115882102</v>
      </c>
      <c r="E429" s="642" t="n"/>
      <c r="F429" s="674" t="n">
        <v>0.6</v>
      </c>
      <c r="G429" s="38" t="n">
        <v>6</v>
      </c>
      <c r="H429" s="674" t="n">
        <v>3.6</v>
      </c>
      <c r="I429" s="674" t="n">
        <v>3.81</v>
      </c>
      <c r="J429" s="38" t="n">
        <v>120</v>
      </c>
      <c r="K429" s="39" t="inlineStr">
        <is>
          <t>СК2</t>
        </is>
      </c>
      <c r="L429" s="38" t="n">
        <v>60</v>
      </c>
      <c r="M429" s="910" t="inlineStr">
        <is>
          <t>В/к колбасы «Салями Запеченая» Фикс.вес 0,6 Вектор ТМ «Дугушка»</t>
        </is>
      </c>
      <c r="N429" s="676" t="n"/>
      <c r="O429" s="676" t="n"/>
      <c r="P429" s="676" t="n"/>
      <c r="Q429" s="642" t="n"/>
      <c r="R429" s="40" t="inlineStr"/>
      <c r="S429" s="40" t="inlineStr"/>
      <c r="T429" s="41" t="inlineStr">
        <is>
          <t>кг</t>
        </is>
      </c>
      <c r="U429" s="677" t="n">
        <v>0</v>
      </c>
      <c r="V429" s="678">
        <f>IFERROR(IF(U429="",0,CEILING((U429/$H429),1)*$H429),"")</f>
        <v/>
      </c>
      <c r="W429" s="42">
        <f>IFERROR(IF(V429=0,"",ROUNDUP(V429/H429,0)*0.00937),"")</f>
        <v/>
      </c>
      <c r="X429" s="69" t="inlineStr"/>
      <c r="Y429" s="70" t="inlineStr"/>
      <c r="AC429" s="300" t="inlineStr">
        <is>
          <t>КИ</t>
        </is>
      </c>
    </row>
    <row r="430" ht="27" customHeight="1">
      <c r="A430" s="64" t="inlineStr">
        <is>
          <t>SU002919</t>
        </is>
      </c>
      <c r="B430" s="64" t="inlineStr">
        <is>
          <t>P003345</t>
        </is>
      </c>
      <c r="C430" s="37" t="n">
        <v>4301031217</v>
      </c>
      <c r="D430" s="375" t="n">
        <v>4680115882102</v>
      </c>
      <c r="E430" s="642" t="n"/>
      <c r="F430" s="674" t="n">
        <v>0.6</v>
      </c>
      <c r="G430" s="38" t="n">
        <v>6</v>
      </c>
      <c r="H430" s="674" t="n">
        <v>3.6</v>
      </c>
      <c r="I430" s="674" t="n">
        <v>3.81</v>
      </c>
      <c r="J430" s="38" t="n">
        <v>120</v>
      </c>
      <c r="K430" s="39" t="inlineStr">
        <is>
          <t>СК2</t>
        </is>
      </c>
      <c r="L430" s="38" t="n">
        <v>55</v>
      </c>
      <c r="M430" s="911" t="inlineStr">
        <is>
          <t>В/к колбасы «Салями Запеченая» Фикс.вес 0,6 Вектор ТМ «Дугушка»</t>
        </is>
      </c>
      <c r="N430" s="676" t="n"/>
      <c r="O430" s="676" t="n"/>
      <c r="P430" s="676" t="n"/>
      <c r="Q430" s="642" t="n"/>
      <c r="R430" s="40" t="inlineStr"/>
      <c r="S430" s="40" t="inlineStr"/>
      <c r="T430" s="41" t="inlineStr">
        <is>
          <t>кг</t>
        </is>
      </c>
      <c r="U430" s="677" t="n">
        <v>0</v>
      </c>
      <c r="V430" s="678">
        <f>IFERROR(IF(U430="",0,CEILING((U430/$H430),1)*$H430),"")</f>
        <v/>
      </c>
      <c r="W430" s="42">
        <f>IFERROR(IF(V430=0,"",ROUNDUP(V430/H430,0)*0.00937),"")</f>
        <v/>
      </c>
      <c r="X430" s="69" t="inlineStr"/>
      <c r="Y430" s="70" t="inlineStr"/>
      <c r="AC430" s="301" t="inlineStr">
        <is>
          <t>КИ</t>
        </is>
      </c>
    </row>
    <row r="431" ht="27" customHeight="1">
      <c r="A431" s="64" t="inlineStr">
        <is>
          <t>SU002918</t>
        </is>
      </c>
      <c r="B431" s="64" t="inlineStr">
        <is>
          <t>P003637</t>
        </is>
      </c>
      <c r="C431" s="37" t="n">
        <v>4301031253</v>
      </c>
      <c r="D431" s="375" t="n">
        <v>4680115882096</v>
      </c>
      <c r="E431" s="642" t="n"/>
      <c r="F431" s="674" t="n">
        <v>0.6</v>
      </c>
      <c r="G431" s="38" t="n">
        <v>6</v>
      </c>
      <c r="H431" s="674" t="n">
        <v>3.6</v>
      </c>
      <c r="I431" s="674" t="n">
        <v>3.81</v>
      </c>
      <c r="J431" s="38" t="n">
        <v>120</v>
      </c>
      <c r="K431" s="39" t="inlineStr">
        <is>
          <t>СК2</t>
        </is>
      </c>
      <c r="L431" s="38" t="n">
        <v>60</v>
      </c>
      <c r="M431" s="912" t="inlineStr">
        <is>
          <t>В/к колбасы «Сервелат Запеченный» Фикс.вес 0,6 Вектор ТМ «Дугушка»</t>
        </is>
      </c>
      <c r="N431" s="676" t="n"/>
      <c r="O431" s="676" t="n"/>
      <c r="P431" s="676" t="n"/>
      <c r="Q431" s="642" t="n"/>
      <c r="R431" s="40" t="inlineStr"/>
      <c r="S431" s="40" t="inlineStr"/>
      <c r="T431" s="41" t="inlineStr">
        <is>
          <t>кг</t>
        </is>
      </c>
      <c r="U431" s="677" t="n">
        <v>0</v>
      </c>
      <c r="V431" s="678">
        <f>IFERROR(IF(U431="",0,CEILING((U431/$H431),1)*$H431),"")</f>
        <v/>
      </c>
      <c r="W431" s="42">
        <f>IFERROR(IF(V431=0,"",ROUNDUP(V431/H431,0)*0.00937),"")</f>
        <v/>
      </c>
      <c r="X431" s="69" t="inlineStr"/>
      <c r="Y431" s="70" t="inlineStr"/>
      <c r="AC431" s="302" t="inlineStr">
        <is>
          <t>КИ</t>
        </is>
      </c>
    </row>
    <row r="432" ht="27" customHeight="1">
      <c r="A432" s="64" t="inlineStr">
        <is>
          <t>SU002918</t>
        </is>
      </c>
      <c r="B432" s="64" t="inlineStr">
        <is>
          <t>P003344</t>
        </is>
      </c>
      <c r="C432" s="37" t="n">
        <v>4301031216</v>
      </c>
      <c r="D432" s="375" t="n">
        <v>4680115882096</v>
      </c>
      <c r="E432" s="642" t="n"/>
      <c r="F432" s="674" t="n">
        <v>0.6</v>
      </c>
      <c r="G432" s="38" t="n">
        <v>6</v>
      </c>
      <c r="H432" s="674" t="n">
        <v>3.6</v>
      </c>
      <c r="I432" s="674" t="n">
        <v>3.81</v>
      </c>
      <c r="J432" s="38" t="n">
        <v>120</v>
      </c>
      <c r="K432" s="39" t="inlineStr">
        <is>
          <t>СК2</t>
        </is>
      </c>
      <c r="L432" s="38" t="n">
        <v>55</v>
      </c>
      <c r="M432" s="913" t="inlineStr">
        <is>
          <t>В/к колбасы «Сервелат Запеченный» Фикс.вес 0,6 Вектор ТМ «Дугушка»</t>
        </is>
      </c>
      <c r="N432" s="676" t="n"/>
      <c r="O432" s="676" t="n"/>
      <c r="P432" s="676" t="n"/>
      <c r="Q432" s="642" t="n"/>
      <c r="R432" s="40" t="inlineStr"/>
      <c r="S432" s="40" t="inlineStr"/>
      <c r="T432" s="41" t="inlineStr">
        <is>
          <t>кг</t>
        </is>
      </c>
      <c r="U432" s="677" t="n">
        <v>0</v>
      </c>
      <c r="V432" s="678">
        <f>IFERROR(IF(U432="",0,CEILING((U432/$H432),1)*$H432),"")</f>
        <v/>
      </c>
      <c r="W432" s="42">
        <f>IFERROR(IF(V432=0,"",ROUNDUP(V432/H432,0)*0.00937),"")</f>
        <v/>
      </c>
      <c r="X432" s="69" t="inlineStr"/>
      <c r="Y432" s="70" t="inlineStr"/>
      <c r="AC432" s="303" t="inlineStr">
        <is>
          <t>КИ</t>
        </is>
      </c>
    </row>
    <row r="433">
      <c r="A433" s="383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679" t="n"/>
      <c r="M433" s="680" t="inlineStr">
        <is>
          <t>Итого</t>
        </is>
      </c>
      <c r="N433" s="650" t="n"/>
      <c r="O433" s="650" t="n"/>
      <c r="P433" s="650" t="n"/>
      <c r="Q433" s="650" t="n"/>
      <c r="R433" s="650" t="n"/>
      <c r="S433" s="651" t="n"/>
      <c r="T433" s="43" t="inlineStr">
        <is>
          <t>кор</t>
        </is>
      </c>
      <c r="U433" s="681">
        <f>IFERROR(U424/H424,"0")+IFERROR(U425/H425,"0")+IFERROR(U426/H426,"0")+IFERROR(U427/H427,"0")+IFERROR(U428/H428,"0")+IFERROR(U429/H429,"0")+IFERROR(U430/H430,"0")+IFERROR(U431/H431,"0")+IFERROR(U432/H432,"0")</f>
        <v/>
      </c>
      <c r="V433" s="681">
        <f>IFERROR(V424/H424,"0")+IFERROR(V425/H425,"0")+IFERROR(V426/H426,"0")+IFERROR(V427/H427,"0")+IFERROR(V428/H428,"0")+IFERROR(V429/H429,"0")+IFERROR(V430/H430,"0")+IFERROR(V431/H431,"0")+IFERROR(V432/H432,"0")</f>
        <v/>
      </c>
      <c r="W433" s="681">
        <f>IFERROR(IF(W424="",0,W424),"0")+IFERROR(IF(W425="",0,W425),"0")+IFERROR(IF(W426="",0,W426),"0")+IFERROR(IF(W427="",0,W427),"0")+IFERROR(IF(W428="",0,W428),"0")+IFERROR(IF(W429="",0,W429),"0")+IFERROR(IF(W430="",0,W430),"0")+IFERROR(IF(W431="",0,W431),"0")+IFERROR(IF(W432="",0,W432),"0")</f>
        <v/>
      </c>
      <c r="X433" s="682" t="n"/>
      <c r="Y433" s="682" t="n"/>
    </row>
    <row r="434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679" t="n"/>
      <c r="M434" s="680" t="inlineStr">
        <is>
          <t>Итого</t>
        </is>
      </c>
      <c r="N434" s="650" t="n"/>
      <c r="O434" s="650" t="n"/>
      <c r="P434" s="650" t="n"/>
      <c r="Q434" s="650" t="n"/>
      <c r="R434" s="650" t="n"/>
      <c r="S434" s="651" t="n"/>
      <c r="T434" s="43" t="inlineStr">
        <is>
          <t>кг</t>
        </is>
      </c>
      <c r="U434" s="681">
        <f>IFERROR(SUM(U424:U432),"0")</f>
        <v/>
      </c>
      <c r="V434" s="681">
        <f>IFERROR(SUM(V424:V432),"0")</f>
        <v/>
      </c>
      <c r="W434" s="43" t="n"/>
      <c r="X434" s="682" t="n"/>
      <c r="Y434" s="682" t="n"/>
    </row>
    <row r="435" ht="14.25" customHeight="1">
      <c r="A435" s="374" t="inlineStr">
        <is>
          <t>Сосиски</t>
        </is>
      </c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374" t="n"/>
      <c r="Y435" s="374" t="n"/>
    </row>
    <row r="436" ht="16.5" customHeight="1">
      <c r="A436" s="64" t="inlineStr">
        <is>
          <t>SU002218</t>
        </is>
      </c>
      <c r="B436" s="64" t="inlineStr">
        <is>
          <t>P002854</t>
        </is>
      </c>
      <c r="C436" s="37" t="n">
        <v>4301051230</v>
      </c>
      <c r="D436" s="375" t="n">
        <v>4607091383409</v>
      </c>
      <c r="E436" s="642" t="n"/>
      <c r="F436" s="674" t="n">
        <v>1.3</v>
      </c>
      <c r="G436" s="38" t="n">
        <v>6</v>
      </c>
      <c r="H436" s="674" t="n">
        <v>7.8</v>
      </c>
      <c r="I436" s="674" t="n">
        <v>8.346</v>
      </c>
      <c r="J436" s="38" t="n">
        <v>56</v>
      </c>
      <c r="K436" s="39" t="inlineStr">
        <is>
          <t>СК2</t>
        </is>
      </c>
      <c r="L436" s="38" t="n">
        <v>45</v>
      </c>
      <c r="M436" s="914">
        <f>HYPERLINK("https://abi.ru/products/Охлажденные/Дугушка/Дугушка/Сосиски/P002854/","Сосиски Молочные Дугушки Дугушка Весовые П/а мгс Дугушка")</f>
        <v/>
      </c>
      <c r="N436" s="676" t="n"/>
      <c r="O436" s="676" t="n"/>
      <c r="P436" s="676" t="n"/>
      <c r="Q436" s="642" t="n"/>
      <c r="R436" s="40" t="inlineStr"/>
      <c r="S436" s="40" t="inlineStr"/>
      <c r="T436" s="41" t="inlineStr">
        <is>
          <t>кг</t>
        </is>
      </c>
      <c r="U436" s="677" t="n">
        <v>0</v>
      </c>
      <c r="V436" s="678">
        <f>IFERROR(IF(U436="",0,CEILING((U436/$H436),1)*$H436),"")</f>
        <v/>
      </c>
      <c r="W436" s="42">
        <f>IFERROR(IF(V436=0,"",ROUNDUP(V436/H436,0)*0.02175),"")</f>
        <v/>
      </c>
      <c r="X436" s="69" t="inlineStr"/>
      <c r="Y436" s="70" t="inlineStr"/>
      <c r="AC436" s="304" t="inlineStr">
        <is>
          <t>КИ</t>
        </is>
      </c>
    </row>
    <row r="437" ht="16.5" customHeight="1">
      <c r="A437" s="64" t="inlineStr">
        <is>
          <t>SU002219</t>
        </is>
      </c>
      <c r="B437" s="64" t="inlineStr">
        <is>
          <t>P002855</t>
        </is>
      </c>
      <c r="C437" s="37" t="n">
        <v>4301051231</v>
      </c>
      <c r="D437" s="375" t="n">
        <v>4607091383416</v>
      </c>
      <c r="E437" s="642" t="n"/>
      <c r="F437" s="674" t="n">
        <v>1.3</v>
      </c>
      <c r="G437" s="38" t="n">
        <v>6</v>
      </c>
      <c r="H437" s="674" t="n">
        <v>7.8</v>
      </c>
      <c r="I437" s="674" t="n">
        <v>8.346</v>
      </c>
      <c r="J437" s="38" t="n">
        <v>56</v>
      </c>
      <c r="K437" s="39" t="inlineStr">
        <is>
          <t>СК2</t>
        </is>
      </c>
      <c r="L437" s="38" t="n">
        <v>45</v>
      </c>
      <c r="M437" s="915">
        <f>HYPERLINK("https://abi.ru/products/Охлажденные/Дугушка/Дугушка/Сосиски/P002855/","Сосиски Сливочные Дугушки Дугушка Весовые П/а мгс Дугушка")</f>
        <v/>
      </c>
      <c r="N437" s="676" t="n"/>
      <c r="O437" s="676" t="n"/>
      <c r="P437" s="676" t="n"/>
      <c r="Q437" s="642" t="n"/>
      <c r="R437" s="40" t="inlineStr"/>
      <c r="S437" s="40" t="inlineStr"/>
      <c r="T437" s="41" t="inlineStr">
        <is>
          <t>кг</t>
        </is>
      </c>
      <c r="U437" s="677" t="n">
        <v>0</v>
      </c>
      <c r="V437" s="678">
        <f>IFERROR(IF(U437="",0,CEILING((U437/$H437),1)*$H437),"")</f>
        <v/>
      </c>
      <c r="W437" s="42">
        <f>IFERROR(IF(V437=0,"",ROUNDUP(V437/H437,0)*0.02175),"")</f>
        <v/>
      </c>
      <c r="X437" s="69" t="inlineStr"/>
      <c r="Y437" s="70" t="inlineStr"/>
      <c r="AC437" s="305" t="inlineStr">
        <is>
          <t>КИ</t>
        </is>
      </c>
    </row>
    <row r="438">
      <c r="A438" s="383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679" t="n"/>
      <c r="M438" s="680" t="inlineStr">
        <is>
          <t>Итого</t>
        </is>
      </c>
      <c r="N438" s="650" t="n"/>
      <c r="O438" s="650" t="n"/>
      <c r="P438" s="650" t="n"/>
      <c r="Q438" s="650" t="n"/>
      <c r="R438" s="650" t="n"/>
      <c r="S438" s="651" t="n"/>
      <c r="T438" s="43" t="inlineStr">
        <is>
          <t>кор</t>
        </is>
      </c>
      <c r="U438" s="681">
        <f>IFERROR(U436/H436,"0")+IFERROR(U437/H437,"0")</f>
        <v/>
      </c>
      <c r="V438" s="681">
        <f>IFERROR(V436/H436,"0")+IFERROR(V437/H437,"0")</f>
        <v/>
      </c>
      <c r="W438" s="681">
        <f>IFERROR(IF(W436="",0,W436),"0")+IFERROR(IF(W437="",0,W437),"0")</f>
        <v/>
      </c>
      <c r="X438" s="682" t="n"/>
      <c r="Y438" s="682" t="n"/>
    </row>
    <row r="439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679" t="n"/>
      <c r="M439" s="680" t="inlineStr">
        <is>
          <t>Итого</t>
        </is>
      </c>
      <c r="N439" s="650" t="n"/>
      <c r="O439" s="650" t="n"/>
      <c r="P439" s="650" t="n"/>
      <c r="Q439" s="650" t="n"/>
      <c r="R439" s="650" t="n"/>
      <c r="S439" s="651" t="n"/>
      <c r="T439" s="43" t="inlineStr">
        <is>
          <t>кг</t>
        </is>
      </c>
      <c r="U439" s="681">
        <f>IFERROR(SUM(U436:U437),"0")</f>
        <v/>
      </c>
      <c r="V439" s="681">
        <f>IFERROR(SUM(V436:V437),"0")</f>
        <v/>
      </c>
      <c r="W439" s="43" t="n"/>
      <c r="X439" s="682" t="n"/>
      <c r="Y439" s="682" t="n"/>
    </row>
    <row r="440" ht="27.75" customHeight="1">
      <c r="A440" s="372" t="inlineStr">
        <is>
          <t>Зареченские</t>
        </is>
      </c>
      <c r="B440" s="673" t="n"/>
      <c r="C440" s="673" t="n"/>
      <c r="D440" s="673" t="n"/>
      <c r="E440" s="673" t="n"/>
      <c r="F440" s="673" t="n"/>
      <c r="G440" s="673" t="n"/>
      <c r="H440" s="673" t="n"/>
      <c r="I440" s="673" t="n"/>
      <c r="J440" s="673" t="n"/>
      <c r="K440" s="673" t="n"/>
      <c r="L440" s="673" t="n"/>
      <c r="M440" s="673" t="n"/>
      <c r="N440" s="673" t="n"/>
      <c r="O440" s="673" t="n"/>
      <c r="P440" s="673" t="n"/>
      <c r="Q440" s="673" t="n"/>
      <c r="R440" s="673" t="n"/>
      <c r="S440" s="673" t="n"/>
      <c r="T440" s="673" t="n"/>
      <c r="U440" s="673" t="n"/>
      <c r="V440" s="673" t="n"/>
      <c r="W440" s="673" t="n"/>
      <c r="X440" s="55" t="n"/>
      <c r="Y440" s="55" t="n"/>
    </row>
    <row r="441" ht="16.5" customHeight="1">
      <c r="A441" s="373" t="inlineStr">
        <is>
          <t>Зареченские продукты</t>
        </is>
      </c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373" t="n"/>
      <c r="Y441" s="373" t="n"/>
    </row>
    <row r="442" ht="14.25" customHeight="1">
      <c r="A442" s="374" t="inlineStr">
        <is>
          <t>Вареные колбасы</t>
        </is>
      </c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374" t="n"/>
      <c r="Y442" s="374" t="n"/>
    </row>
    <row r="443" ht="27" customHeight="1">
      <c r="A443" s="64" t="inlineStr">
        <is>
          <t>SU002807</t>
        </is>
      </c>
      <c r="B443" s="64" t="inlineStr">
        <is>
          <t>P003210</t>
        </is>
      </c>
      <c r="C443" s="37" t="n">
        <v>4301011434</v>
      </c>
      <c r="D443" s="375" t="n">
        <v>4680115881099</v>
      </c>
      <c r="E443" s="642" t="n"/>
      <c r="F443" s="674" t="n">
        <v>1.5</v>
      </c>
      <c r="G443" s="38" t="n">
        <v>8</v>
      </c>
      <c r="H443" s="674" t="n">
        <v>12</v>
      </c>
      <c r="I443" s="674" t="n">
        <v>12.48</v>
      </c>
      <c r="J443" s="38" t="n">
        <v>56</v>
      </c>
      <c r="K443" s="39" t="inlineStr">
        <is>
          <t>СК1</t>
        </is>
      </c>
      <c r="L443" s="38" t="n">
        <v>50</v>
      </c>
      <c r="M443" s="916">
        <f>HYPERLINK("https:///products/Охлажденные/Зареченские/Зареченские продукты/Вареные колбасы/P003210/","Вареные колбасы «Муромская» Весовой п/а ТМ «Зареченские»")</f>
        <v/>
      </c>
      <c r="N443" s="676" t="n"/>
      <c r="O443" s="676" t="n"/>
      <c r="P443" s="676" t="n"/>
      <c r="Q443" s="642" t="n"/>
      <c r="R443" s="40" t="inlineStr"/>
      <c r="S443" s="40" t="inlineStr"/>
      <c r="T443" s="41" t="inlineStr">
        <is>
          <t>кг</t>
        </is>
      </c>
      <c r="U443" s="677" t="n">
        <v>0</v>
      </c>
      <c r="V443" s="678">
        <f>IFERROR(IF(U443="",0,CEILING((U443/$H443),1)*$H443),"")</f>
        <v/>
      </c>
      <c r="W443" s="42">
        <f>IFERROR(IF(V443=0,"",ROUNDUP(V443/H443,0)*0.02175),"")</f>
        <v/>
      </c>
      <c r="X443" s="69" t="inlineStr"/>
      <c r="Y443" s="70" t="inlineStr"/>
      <c r="AC443" s="306" t="inlineStr">
        <is>
          <t>КИ</t>
        </is>
      </c>
    </row>
    <row r="444" ht="27" customHeight="1">
      <c r="A444" s="64" t="inlineStr">
        <is>
          <t>SU002808</t>
        </is>
      </c>
      <c r="B444" s="64" t="inlineStr">
        <is>
          <t>P003214</t>
        </is>
      </c>
      <c r="C444" s="37" t="n">
        <v>4301011435</v>
      </c>
      <c r="D444" s="375" t="n">
        <v>4680115881150</v>
      </c>
      <c r="E444" s="642" t="n"/>
      <c r="F444" s="674" t="n">
        <v>1.5</v>
      </c>
      <c r="G444" s="38" t="n">
        <v>8</v>
      </c>
      <c r="H444" s="674" t="n">
        <v>12</v>
      </c>
      <c r="I444" s="674" t="n">
        <v>12.48</v>
      </c>
      <c r="J444" s="38" t="n">
        <v>56</v>
      </c>
      <c r="K444" s="39" t="inlineStr">
        <is>
          <t>СК1</t>
        </is>
      </c>
      <c r="L444" s="38" t="n">
        <v>50</v>
      </c>
      <c r="M444" s="917">
        <f>HYPERLINK("https:///products/Охлажденные/Зареченские/Зареченские продукты/Вареные колбасы/P003214/","Вареные колбасы «Нежная» НТУ Весовые П/а ТМ «Зареченские»")</f>
        <v/>
      </c>
      <c r="N444" s="676" t="n"/>
      <c r="O444" s="676" t="n"/>
      <c r="P444" s="676" t="n"/>
      <c r="Q444" s="642" t="n"/>
      <c r="R444" s="40" t="inlineStr"/>
      <c r="S444" s="40" t="inlineStr"/>
      <c r="T444" s="41" t="inlineStr">
        <is>
          <t>кг</t>
        </is>
      </c>
      <c r="U444" s="677" t="n">
        <v>0</v>
      </c>
      <c r="V444" s="678">
        <f>IFERROR(IF(U444="",0,CEILING((U444/$H444),1)*$H444),"")</f>
        <v/>
      </c>
      <c r="W444" s="42">
        <f>IFERROR(IF(V444=0,"",ROUNDUP(V444/H444,0)*0.02175),"")</f>
        <v/>
      </c>
      <c r="X444" s="69" t="inlineStr"/>
      <c r="Y444" s="70" t="inlineStr"/>
      <c r="AC444" s="307" t="inlineStr">
        <is>
          <t>КИ</t>
        </is>
      </c>
    </row>
    <row r="445">
      <c r="A445" s="383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679" t="n"/>
      <c r="M445" s="680" t="inlineStr">
        <is>
          <t>Итого</t>
        </is>
      </c>
      <c r="N445" s="650" t="n"/>
      <c r="O445" s="650" t="n"/>
      <c r="P445" s="650" t="n"/>
      <c r="Q445" s="650" t="n"/>
      <c r="R445" s="650" t="n"/>
      <c r="S445" s="651" t="n"/>
      <c r="T445" s="43" t="inlineStr">
        <is>
          <t>кор</t>
        </is>
      </c>
      <c r="U445" s="681">
        <f>IFERROR(U443/H443,"0")+IFERROR(U444/H444,"0")</f>
        <v/>
      </c>
      <c r="V445" s="681">
        <f>IFERROR(V443/H443,"0")+IFERROR(V444/H444,"0")</f>
        <v/>
      </c>
      <c r="W445" s="681">
        <f>IFERROR(IF(W443="",0,W443),"0")+IFERROR(IF(W444="",0,W444),"0")</f>
        <v/>
      </c>
      <c r="X445" s="682" t="n"/>
      <c r="Y445" s="682" t="n"/>
    </row>
    <row r="446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679" t="n"/>
      <c r="M446" s="680" t="inlineStr">
        <is>
          <t>Итого</t>
        </is>
      </c>
      <c r="N446" s="650" t="n"/>
      <c r="O446" s="650" t="n"/>
      <c r="P446" s="650" t="n"/>
      <c r="Q446" s="650" t="n"/>
      <c r="R446" s="650" t="n"/>
      <c r="S446" s="651" t="n"/>
      <c r="T446" s="43" t="inlineStr">
        <is>
          <t>кг</t>
        </is>
      </c>
      <c r="U446" s="681">
        <f>IFERROR(SUM(U443:U444),"0")</f>
        <v/>
      </c>
      <c r="V446" s="681">
        <f>IFERROR(SUM(V443:V444),"0")</f>
        <v/>
      </c>
      <c r="W446" s="43" t="n"/>
      <c r="X446" s="682" t="n"/>
      <c r="Y446" s="682" t="n"/>
    </row>
    <row r="447" ht="14.25" customHeight="1">
      <c r="A447" s="374" t="inlineStr">
        <is>
          <t>Ветчины</t>
        </is>
      </c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374" t="n"/>
      <c r="Y447" s="374" t="n"/>
    </row>
    <row r="448" ht="16.5" customHeight="1">
      <c r="A448" s="64" t="inlineStr">
        <is>
          <t>SU002806</t>
        </is>
      </c>
      <c r="B448" s="64" t="inlineStr">
        <is>
          <t>P003207</t>
        </is>
      </c>
      <c r="C448" s="37" t="n">
        <v>4301020230</v>
      </c>
      <c r="D448" s="375" t="n">
        <v>4680115881112</v>
      </c>
      <c r="E448" s="642" t="n"/>
      <c r="F448" s="674" t="n">
        <v>1.35</v>
      </c>
      <c r="G448" s="38" t="n">
        <v>8</v>
      </c>
      <c r="H448" s="674" t="n">
        <v>10.8</v>
      </c>
      <c r="I448" s="674" t="n">
        <v>11.28</v>
      </c>
      <c r="J448" s="38" t="n">
        <v>56</v>
      </c>
      <c r="K448" s="39" t="inlineStr">
        <is>
          <t>СК1</t>
        </is>
      </c>
      <c r="L448" s="38" t="n">
        <v>50</v>
      </c>
      <c r="M448" s="918">
        <f>HYPERLINK("https:///products/Охлажденные/Зареченские/Зареченские продукты/Ветчины/P003207/","Ветчины «Нежная» Весовой п/а ТМ «Зареченские»")</f>
        <v/>
      </c>
      <c r="N448" s="676" t="n"/>
      <c r="O448" s="676" t="n"/>
      <c r="P448" s="676" t="n"/>
      <c r="Q448" s="642" t="n"/>
      <c r="R448" s="40" t="inlineStr"/>
      <c r="S448" s="40" t="inlineStr"/>
      <c r="T448" s="41" t="inlineStr">
        <is>
          <t>кг</t>
        </is>
      </c>
      <c r="U448" s="677" t="n">
        <v>0</v>
      </c>
      <c r="V448" s="678">
        <f>IFERROR(IF(U448="",0,CEILING((U448/$H448),1)*$H448),"")</f>
        <v/>
      </c>
      <c r="W448" s="42">
        <f>IFERROR(IF(V448=0,"",ROUNDUP(V448/H448,0)*0.02175),"")</f>
        <v/>
      </c>
      <c r="X448" s="69" t="inlineStr"/>
      <c r="Y448" s="70" t="inlineStr"/>
      <c r="AC448" s="308" t="inlineStr">
        <is>
          <t>КИ</t>
        </is>
      </c>
    </row>
    <row r="449" ht="27" customHeight="1">
      <c r="A449" s="64" t="inlineStr">
        <is>
          <t>SU002811</t>
        </is>
      </c>
      <c r="B449" s="64" t="inlineStr">
        <is>
          <t>P003208</t>
        </is>
      </c>
      <c r="C449" s="37" t="n">
        <v>4301020231</v>
      </c>
      <c r="D449" s="375" t="n">
        <v>4680115881129</v>
      </c>
      <c r="E449" s="642" t="n"/>
      <c r="F449" s="674" t="n">
        <v>1.8</v>
      </c>
      <c r="G449" s="38" t="n">
        <v>6</v>
      </c>
      <c r="H449" s="674" t="n">
        <v>10.8</v>
      </c>
      <c r="I449" s="674" t="n">
        <v>11.28</v>
      </c>
      <c r="J449" s="38" t="n">
        <v>56</v>
      </c>
      <c r="K449" s="39" t="inlineStr">
        <is>
          <t>СК1</t>
        </is>
      </c>
      <c r="L449" s="38" t="n">
        <v>50</v>
      </c>
      <c r="M449" s="919">
        <f>HYPERLINK("https:///products/Охлажденные/Зареченские/Зареченские продукты/Ветчины/P003208/","Ветчины «Нежная» Весовой п/а ТМ «Зареченские» большой батон")</f>
        <v/>
      </c>
      <c r="N449" s="676" t="n"/>
      <c r="O449" s="676" t="n"/>
      <c r="P449" s="676" t="n"/>
      <c r="Q449" s="642" t="n"/>
      <c r="R449" s="40" t="inlineStr"/>
      <c r="S449" s="40" t="inlineStr"/>
      <c r="T449" s="41" t="inlineStr">
        <is>
          <t>кг</t>
        </is>
      </c>
      <c r="U449" s="677" t="n">
        <v>0</v>
      </c>
      <c r="V449" s="678">
        <f>IFERROR(IF(U449="",0,CEILING((U449/$H449),1)*$H449),"")</f>
        <v/>
      </c>
      <c r="W449" s="42">
        <f>IFERROR(IF(V449=0,"",ROUNDUP(V449/H449,0)*0.02175),"")</f>
        <v/>
      </c>
      <c r="X449" s="69" t="inlineStr"/>
      <c r="Y449" s="70" t="inlineStr"/>
      <c r="AC449" s="309" t="inlineStr">
        <is>
          <t>КИ</t>
        </is>
      </c>
    </row>
    <row r="450">
      <c r="A450" s="383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679" t="n"/>
      <c r="M450" s="680" t="inlineStr">
        <is>
          <t>Итого</t>
        </is>
      </c>
      <c r="N450" s="650" t="n"/>
      <c r="O450" s="650" t="n"/>
      <c r="P450" s="650" t="n"/>
      <c r="Q450" s="650" t="n"/>
      <c r="R450" s="650" t="n"/>
      <c r="S450" s="651" t="n"/>
      <c r="T450" s="43" t="inlineStr">
        <is>
          <t>кор</t>
        </is>
      </c>
      <c r="U450" s="681">
        <f>IFERROR(U448/H448,"0")+IFERROR(U449/H449,"0")</f>
        <v/>
      </c>
      <c r="V450" s="681">
        <f>IFERROR(V448/H448,"0")+IFERROR(V449/H449,"0")</f>
        <v/>
      </c>
      <c r="W450" s="681">
        <f>IFERROR(IF(W448="",0,W448),"0")+IFERROR(IF(W449="",0,W449),"0")</f>
        <v/>
      </c>
      <c r="X450" s="682" t="n"/>
      <c r="Y450" s="682" t="n"/>
    </row>
    <row r="451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679" t="n"/>
      <c r="M451" s="680" t="inlineStr">
        <is>
          <t>Итого</t>
        </is>
      </c>
      <c r="N451" s="650" t="n"/>
      <c r="O451" s="650" t="n"/>
      <c r="P451" s="650" t="n"/>
      <c r="Q451" s="650" t="n"/>
      <c r="R451" s="650" t="n"/>
      <c r="S451" s="651" t="n"/>
      <c r="T451" s="43" t="inlineStr">
        <is>
          <t>кг</t>
        </is>
      </c>
      <c r="U451" s="681">
        <f>IFERROR(SUM(U448:U449),"0")</f>
        <v/>
      </c>
      <c r="V451" s="681">
        <f>IFERROR(SUM(V448:V449),"0")</f>
        <v/>
      </c>
      <c r="W451" s="43" t="n"/>
      <c r="X451" s="682" t="n"/>
      <c r="Y451" s="682" t="n"/>
    </row>
    <row r="452" ht="14.25" customHeight="1">
      <c r="A452" s="374" t="inlineStr">
        <is>
          <t>Копченые колбасы</t>
        </is>
      </c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374" t="n"/>
      <c r="Y452" s="374" t="n"/>
    </row>
    <row r="453" ht="27" customHeight="1">
      <c r="A453" s="64" t="inlineStr">
        <is>
          <t>SU002805</t>
        </is>
      </c>
      <c r="B453" s="64" t="inlineStr">
        <is>
          <t>P003206</t>
        </is>
      </c>
      <c r="C453" s="37" t="n">
        <v>4301031192</v>
      </c>
      <c r="D453" s="375" t="n">
        <v>4680115881167</v>
      </c>
      <c r="E453" s="642" t="n"/>
      <c r="F453" s="674" t="n">
        <v>0.73</v>
      </c>
      <c r="G453" s="38" t="n">
        <v>6</v>
      </c>
      <c r="H453" s="674" t="n">
        <v>4.38</v>
      </c>
      <c r="I453" s="674" t="n">
        <v>4.64</v>
      </c>
      <c r="J453" s="38" t="n">
        <v>156</v>
      </c>
      <c r="K453" s="39" t="inlineStr">
        <is>
          <t>СК2</t>
        </is>
      </c>
      <c r="L453" s="38" t="n">
        <v>40</v>
      </c>
      <c r="M453" s="920">
        <f>HYPERLINK("https:///products/Охлажденные/Зареченские/Зареченские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/>
      </c>
      <c r="N453" s="676" t="n"/>
      <c r="O453" s="676" t="n"/>
      <c r="P453" s="676" t="n"/>
      <c r="Q453" s="642" t="n"/>
      <c r="R453" s="40" t="inlineStr"/>
      <c r="S453" s="40" t="inlineStr"/>
      <c r="T453" s="41" t="inlineStr">
        <is>
          <t>кг</t>
        </is>
      </c>
      <c r="U453" s="677" t="n">
        <v>0</v>
      </c>
      <c r="V453" s="678">
        <f>IFERROR(IF(U453="",0,CEILING((U453/$H453),1)*$H453),"")</f>
        <v/>
      </c>
      <c r="W453" s="42">
        <f>IFERROR(IF(V453=0,"",ROUNDUP(V453/H453,0)*0.00753),"")</f>
        <v/>
      </c>
      <c r="X453" s="69" t="inlineStr"/>
      <c r="Y453" s="70" t="inlineStr"/>
      <c r="AC453" s="310" t="inlineStr">
        <is>
          <t>КИ</t>
        </is>
      </c>
    </row>
    <row r="454" ht="16.5" customHeight="1">
      <c r="A454" s="64" t="inlineStr">
        <is>
          <t>SU002809</t>
        </is>
      </c>
      <c r="B454" s="64" t="inlineStr">
        <is>
          <t>P003216</t>
        </is>
      </c>
      <c r="C454" s="37" t="n">
        <v>4301031193</v>
      </c>
      <c r="D454" s="375" t="n">
        <v>4680115881136</v>
      </c>
      <c r="E454" s="642" t="n"/>
      <c r="F454" s="674" t="n">
        <v>0.73</v>
      </c>
      <c r="G454" s="38" t="n">
        <v>6</v>
      </c>
      <c r="H454" s="674" t="n">
        <v>4.38</v>
      </c>
      <c r="I454" s="674" t="n">
        <v>4.64</v>
      </c>
      <c r="J454" s="38" t="n">
        <v>156</v>
      </c>
      <c r="K454" s="39" t="inlineStr">
        <is>
          <t>СК2</t>
        </is>
      </c>
      <c r="L454" s="38" t="n">
        <v>40</v>
      </c>
      <c r="M454" s="921">
        <f>HYPERLINK("https:///products/Охлажденные/Зареченские/Зареченские продукты/Копченые колбасы/P003216/","В/к колбасы «Рижский» НТУ Весовые Фиброуз в/у ТМ «Зареченские»")</f>
        <v/>
      </c>
      <c r="N454" s="676" t="n"/>
      <c r="O454" s="676" t="n"/>
      <c r="P454" s="676" t="n"/>
      <c r="Q454" s="642" t="n"/>
      <c r="R454" s="40" t="inlineStr"/>
      <c r="S454" s="40" t="inlineStr"/>
      <c r="T454" s="41" t="inlineStr">
        <is>
          <t>кг</t>
        </is>
      </c>
      <c r="U454" s="677" t="n">
        <v>0</v>
      </c>
      <c r="V454" s="678">
        <f>IFERROR(IF(U454="",0,CEILING((U454/$H454),1)*$H454),"")</f>
        <v/>
      </c>
      <c r="W454" s="42">
        <f>IFERROR(IF(V454=0,"",ROUNDUP(V454/H454,0)*0.00753),"")</f>
        <v/>
      </c>
      <c r="X454" s="69" t="inlineStr"/>
      <c r="Y454" s="70" t="inlineStr"/>
      <c r="AC454" s="311" t="inlineStr">
        <is>
          <t>КИ</t>
        </is>
      </c>
    </row>
    <row r="455">
      <c r="A455" s="383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679" t="n"/>
      <c r="M455" s="680" t="inlineStr">
        <is>
          <t>Итого</t>
        </is>
      </c>
      <c r="N455" s="650" t="n"/>
      <c r="O455" s="650" t="n"/>
      <c r="P455" s="650" t="n"/>
      <c r="Q455" s="650" t="n"/>
      <c r="R455" s="650" t="n"/>
      <c r="S455" s="651" t="n"/>
      <c r="T455" s="43" t="inlineStr">
        <is>
          <t>кор</t>
        </is>
      </c>
      <c r="U455" s="681">
        <f>IFERROR(U453/H453,"0")+IFERROR(U454/H454,"0")</f>
        <v/>
      </c>
      <c r="V455" s="681">
        <f>IFERROR(V453/H453,"0")+IFERROR(V454/H454,"0")</f>
        <v/>
      </c>
      <c r="W455" s="681">
        <f>IFERROR(IF(W453="",0,W453),"0")+IFERROR(IF(W454="",0,W454),"0")</f>
        <v/>
      </c>
      <c r="X455" s="682" t="n"/>
      <c r="Y455" s="682" t="n"/>
    </row>
    <row r="456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679" t="n"/>
      <c r="M456" s="680" t="inlineStr">
        <is>
          <t>Итого</t>
        </is>
      </c>
      <c r="N456" s="650" t="n"/>
      <c r="O456" s="650" t="n"/>
      <c r="P456" s="650" t="n"/>
      <c r="Q456" s="650" t="n"/>
      <c r="R456" s="650" t="n"/>
      <c r="S456" s="651" t="n"/>
      <c r="T456" s="43" t="inlineStr">
        <is>
          <t>кг</t>
        </is>
      </c>
      <c r="U456" s="681">
        <f>IFERROR(SUM(U453:U454),"0")</f>
        <v/>
      </c>
      <c r="V456" s="681">
        <f>IFERROR(SUM(V453:V454),"0")</f>
        <v/>
      </c>
      <c r="W456" s="43" t="n"/>
      <c r="X456" s="682" t="n"/>
      <c r="Y456" s="682" t="n"/>
    </row>
    <row r="457" ht="14.25" customHeight="1">
      <c r="A457" s="374" t="inlineStr">
        <is>
          <t>Сосиски</t>
        </is>
      </c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374" t="n"/>
      <c r="Y457" s="374" t="n"/>
    </row>
    <row r="458" ht="27" customHeight="1">
      <c r="A458" s="64" t="inlineStr">
        <is>
          <t>SU002810</t>
        </is>
      </c>
      <c r="B458" s="64" t="inlineStr">
        <is>
          <t>P003215</t>
        </is>
      </c>
      <c r="C458" s="37" t="n">
        <v>4301051383</v>
      </c>
      <c r="D458" s="375" t="n">
        <v>4680115881143</v>
      </c>
      <c r="E458" s="642" t="n"/>
      <c r="F458" s="674" t="n">
        <v>1.3</v>
      </c>
      <c r="G458" s="38" t="n">
        <v>6</v>
      </c>
      <c r="H458" s="674" t="n">
        <v>7.8</v>
      </c>
      <c r="I458" s="674" t="n">
        <v>8.364000000000001</v>
      </c>
      <c r="J458" s="38" t="n">
        <v>56</v>
      </c>
      <c r="K458" s="39" t="inlineStr">
        <is>
          <t>СК2</t>
        </is>
      </c>
      <c r="L458" s="38" t="n">
        <v>40</v>
      </c>
      <c r="M458" s="922">
        <f>HYPERLINK("https:///products/Охлажденные/Зареченские/Зареченские продукты/Сосиски/P003215/","Сосиски «Датские» НТУ Весовые П/а мгс ТМ «Зареченские»")</f>
        <v/>
      </c>
      <c r="N458" s="676" t="n"/>
      <c r="O458" s="676" t="n"/>
      <c r="P458" s="676" t="n"/>
      <c r="Q458" s="642" t="n"/>
      <c r="R458" s="40" t="inlineStr"/>
      <c r="S458" s="40" t="inlineStr"/>
      <c r="T458" s="41" t="inlineStr">
        <is>
          <t>кг</t>
        </is>
      </c>
      <c r="U458" s="677" t="n">
        <v>0</v>
      </c>
      <c r="V458" s="678">
        <f>IFERROR(IF(U458="",0,CEILING((U458/$H458),1)*$H458),"")</f>
        <v/>
      </c>
      <c r="W458" s="42">
        <f>IFERROR(IF(V458=0,"",ROUNDUP(V458/H458,0)*0.02175),"")</f>
        <v/>
      </c>
      <c r="X458" s="69" t="inlineStr"/>
      <c r="Y458" s="70" t="inlineStr"/>
      <c r="AC458" s="312" t="inlineStr">
        <is>
          <t>КИ</t>
        </is>
      </c>
    </row>
    <row r="459" ht="27" customHeight="1">
      <c r="A459" s="64" t="inlineStr">
        <is>
          <t>SU002803</t>
        </is>
      </c>
      <c r="B459" s="64" t="inlineStr">
        <is>
          <t>P003204</t>
        </is>
      </c>
      <c r="C459" s="37" t="n">
        <v>4301051381</v>
      </c>
      <c r="D459" s="375" t="n">
        <v>4680115881068</v>
      </c>
      <c r="E459" s="642" t="n"/>
      <c r="F459" s="674" t="n">
        <v>1.3</v>
      </c>
      <c r="G459" s="38" t="n">
        <v>6</v>
      </c>
      <c r="H459" s="674" t="n">
        <v>7.8</v>
      </c>
      <c r="I459" s="674" t="n">
        <v>8.279999999999999</v>
      </c>
      <c r="J459" s="38" t="n">
        <v>56</v>
      </c>
      <c r="K459" s="39" t="inlineStr">
        <is>
          <t>СК2</t>
        </is>
      </c>
      <c r="L459" s="38" t="n">
        <v>30</v>
      </c>
      <c r="M459" s="923">
        <f>HYPERLINK("https:///products/Охлажденные/Зареченские/Зареченские продукты/Сосиски/P003204/","Сосиски «Сочные» Весовой п/а ТМ «Зареченские»")</f>
        <v/>
      </c>
      <c r="N459" s="676" t="n"/>
      <c r="O459" s="676" t="n"/>
      <c r="P459" s="676" t="n"/>
      <c r="Q459" s="642" t="n"/>
      <c r="R459" s="40" t="inlineStr"/>
      <c r="S459" s="40" t="inlineStr"/>
      <c r="T459" s="41" t="inlineStr">
        <is>
          <t>кг</t>
        </is>
      </c>
      <c r="U459" s="677" t="n">
        <v>0</v>
      </c>
      <c r="V459" s="678">
        <f>IFERROR(IF(U459="",0,CEILING((U459/$H459),1)*$H459),"")</f>
        <v/>
      </c>
      <c r="W459" s="42">
        <f>IFERROR(IF(V459=0,"",ROUNDUP(V459/H459,0)*0.02175),"")</f>
        <v/>
      </c>
      <c r="X459" s="69" t="inlineStr"/>
      <c r="Y459" s="70" t="inlineStr"/>
      <c r="AC459" s="313" t="inlineStr">
        <is>
          <t>КИ</t>
        </is>
      </c>
    </row>
    <row r="460" ht="27" customHeight="1">
      <c r="A460" s="64" t="inlineStr">
        <is>
          <t>SU002804</t>
        </is>
      </c>
      <c r="B460" s="64" t="inlineStr">
        <is>
          <t>P003205</t>
        </is>
      </c>
      <c r="C460" s="37" t="n">
        <v>4301051382</v>
      </c>
      <c r="D460" s="375" t="n">
        <v>4680115881075</v>
      </c>
      <c r="E460" s="642" t="n"/>
      <c r="F460" s="674" t="n">
        <v>0.5</v>
      </c>
      <c r="G460" s="38" t="n">
        <v>6</v>
      </c>
      <c r="H460" s="674" t="n">
        <v>3</v>
      </c>
      <c r="I460" s="674" t="n">
        <v>3.2</v>
      </c>
      <c r="J460" s="38" t="n">
        <v>156</v>
      </c>
      <c r="K460" s="39" t="inlineStr">
        <is>
          <t>СК2</t>
        </is>
      </c>
      <c r="L460" s="38" t="n">
        <v>30</v>
      </c>
      <c r="M460" s="924">
        <f>HYPERLINK("https:///products/Охлажденные/Зареченские/Зареченские продукты/Сосиски/P003205/","Сосиски «Сочные» Фикс.вес 0,5 п/а ТМ «Зареченские»")</f>
        <v/>
      </c>
      <c r="N460" s="676" t="n"/>
      <c r="O460" s="676" t="n"/>
      <c r="P460" s="676" t="n"/>
      <c r="Q460" s="642" t="n"/>
      <c r="R460" s="40" t="inlineStr"/>
      <c r="S460" s="40" t="inlineStr"/>
      <c r="T460" s="41" t="inlineStr">
        <is>
          <t>кг</t>
        </is>
      </c>
      <c r="U460" s="677" t="n">
        <v>0</v>
      </c>
      <c r="V460" s="678">
        <f>IFERROR(IF(U460="",0,CEILING((U460/$H460),1)*$H460),"")</f>
        <v/>
      </c>
      <c r="W460" s="42">
        <f>IFERROR(IF(V460=0,"",ROUNDUP(V460/H460,0)*0.00753),"")</f>
        <v/>
      </c>
      <c r="X460" s="69" t="inlineStr"/>
      <c r="Y460" s="70" t="inlineStr"/>
      <c r="AC460" s="314" t="inlineStr">
        <is>
          <t>КИ</t>
        </is>
      </c>
    </row>
    <row r="461">
      <c r="A461" s="383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679" t="n"/>
      <c r="M461" s="680" t="inlineStr">
        <is>
          <t>Итого</t>
        </is>
      </c>
      <c r="N461" s="650" t="n"/>
      <c r="O461" s="650" t="n"/>
      <c r="P461" s="650" t="n"/>
      <c r="Q461" s="650" t="n"/>
      <c r="R461" s="650" t="n"/>
      <c r="S461" s="651" t="n"/>
      <c r="T461" s="43" t="inlineStr">
        <is>
          <t>кор</t>
        </is>
      </c>
      <c r="U461" s="681">
        <f>IFERROR(U458/H458,"0")+IFERROR(U459/H459,"0")+IFERROR(U460/H460,"0")</f>
        <v/>
      </c>
      <c r="V461" s="681">
        <f>IFERROR(V458/H458,"0")+IFERROR(V459/H459,"0")+IFERROR(V460/H460,"0")</f>
        <v/>
      </c>
      <c r="W461" s="681">
        <f>IFERROR(IF(W458="",0,W458),"0")+IFERROR(IF(W459="",0,W459),"0")+IFERROR(IF(W460="",0,W460),"0")</f>
        <v/>
      </c>
      <c r="X461" s="682" t="n"/>
      <c r="Y461" s="682" t="n"/>
    </row>
    <row r="462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679" t="n"/>
      <c r="M462" s="680" t="inlineStr">
        <is>
          <t>Итого</t>
        </is>
      </c>
      <c r="N462" s="650" t="n"/>
      <c r="O462" s="650" t="n"/>
      <c r="P462" s="650" t="n"/>
      <c r="Q462" s="650" t="n"/>
      <c r="R462" s="650" t="n"/>
      <c r="S462" s="651" t="n"/>
      <c r="T462" s="43" t="inlineStr">
        <is>
          <t>кг</t>
        </is>
      </c>
      <c r="U462" s="681">
        <f>IFERROR(SUM(U458:U460),"0")</f>
        <v/>
      </c>
      <c r="V462" s="681">
        <f>IFERROR(SUM(V458:V460),"0")</f>
        <v/>
      </c>
      <c r="W462" s="43" t="n"/>
      <c r="X462" s="682" t="n"/>
      <c r="Y462" s="682" t="n"/>
    </row>
    <row r="463" ht="15" customHeight="1">
      <c r="A463" s="629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639" t="n"/>
      <c r="M463" s="925" t="inlineStr">
        <is>
          <t>ИТОГО НЕТТО</t>
        </is>
      </c>
      <c r="N463" s="633" t="n"/>
      <c r="O463" s="633" t="n"/>
      <c r="P463" s="633" t="n"/>
      <c r="Q463" s="633" t="n"/>
      <c r="R463" s="633" t="n"/>
      <c r="S463" s="634" t="n"/>
      <c r="T463" s="43" t="inlineStr">
        <is>
          <t>кг</t>
        </is>
      </c>
      <c r="U463" s="681">
        <f>IFERROR(U24+U33+U38+U42+U46+U53+U60+U81+U90+U102+U112+U119+U127+U135+U147+U153+U158+U165+U185+U190+U209+U213+U220+U229+U236+U242+U248+U259+U264+U270+U276+U280+U284+U297+U302+U306+U310+U314+U322+U327+U334+U338+U345+U361+U368+U372+U378+U384+U394+U398+U402+U417+U422+U434+U439+U446+U451+U456+U462,"0")</f>
        <v/>
      </c>
      <c r="V463" s="681">
        <f>IFERROR(V24+V33+V38+V42+V46+V53+V60+V81+V90+V102+V112+V119+V127+V135+V147+V153+V158+V165+V185+V190+V209+V213+V220+V229+V236+V242+V248+V259+V264+V270+V276+V280+V284+V297+V302+V306+V310+V314+V322+V327+V334+V338+V345+V361+V368+V372+V378+V384+V394+V398+V402+V417+V422+V434+V439+V446+V451+V456+V462,"0")</f>
        <v/>
      </c>
      <c r="W463" s="43" t="n"/>
      <c r="X463" s="682" t="n"/>
      <c r="Y463" s="682" t="n"/>
    </row>
    <row r="464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639" t="n"/>
      <c r="M464" s="925" t="inlineStr">
        <is>
          <t>ИТОГО БРУТТО</t>
        </is>
      </c>
      <c r="N464" s="633" t="n"/>
      <c r="O464" s="633" t="n"/>
      <c r="P464" s="633" t="n"/>
      <c r="Q464" s="633" t="n"/>
      <c r="R464" s="633" t="n"/>
      <c r="S464" s="634" t="n"/>
      <c r="T464" s="43" t="inlineStr">
        <is>
          <t>кг</t>
        </is>
      </c>
      <c r="U464" s="681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79*I79/H79,"0")+IFERROR(U83*I83/H83,"0")+IFERROR(U84*I84/H84,"0")+IFERROR(U85*I85/H85,"0")+IFERROR(U86*I86/H86,"0")+IFERROR(U87*I87/H87,"0")+IFERROR(U88*I88/H88,"0")+IFERROR(U92*I92/H92,"0")+IFERROR(U93*I93/H93,"0")+IFERROR(U94*I94/H94,"0")+IFERROR(U95*I95/H95,"0")+IFERROR(U96*I96/H96,"0")+IFERROR(U97*I97/H97,"0")+IFERROR(U98*I98/H98,"0")+IFERROR(U99*I99/H99,"0")+IFERROR(U100*I100/H100,"0")+IFERROR(U104*I104/H104,"0")+IFERROR(U105*I105/H105,"0")+IFERROR(U106*I106/H106,"0")+IFERROR(U107*I107/H107,"0")+IFERROR(U108*I108/H108,"0")+IFERROR(U109*I109/H109,"0")+IFERROR(U110*I110/H110,"0")+IFERROR(U114*I114/H114,"0")+IFERROR(U115*I115/H115,"0")+IFERROR(U116*I116/H116,"0")+IFERROR(U117*I117/H117,"0")+IFERROR(U122*I122/H122,"0")+IFERROR(U123*I123/H123,"0")+IFERROR(U124*I124/H124,"0")+IFERROR(U125*I125/H125,"0")+IFERROR(U131*I131/H131,"0")+IFERROR(U132*I132/H132,"0")+IFERROR(U133*I133/H133,"0")+IFERROR(U138*I138/H138,"0")+IFERROR(U139*I139/H139,"0")+IFERROR(U140*I140/H140,"0")+IFERROR(U141*I141/H141,"0")+IFERROR(U142*I142/H142,"0")+IFERROR(U143*I143/H143,"0")+IFERROR(U144*I144/H144,"0")+IFERROR(U145*I145/H145,"0")+IFERROR(U150*I150/H150,"0")+IFERROR(U151*I151/H151,"0")+IFERROR(U155*I155/H155,"0")+IFERROR(U156*I156/H156,"0")+IFERROR(U160*I160/H160,"0")+IFERROR(U161*I161/H161,"0")+IFERROR(U162*I162/H162,"0")+IFERROR(U163*I163/H163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182*I182/H182,"0")+IFERROR(U183*I183/H183,"0")+IFERROR(U187*I187/H187,"0")+IFERROR(U188*I188/H188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206*I206/H206,"0")+IFERROR(U207*I207/H207,"0")+IFERROR(U211*I211/H211,"0")+IFERROR(U215*I215/H215,"0")+IFERROR(U216*I216/H216,"0")+IFERROR(U217*I217/H217,"0")+IFERROR(U218*I218/H218,"0")+IFERROR(U222*I222/H222,"0")+IFERROR(U223*I223/H223,"0")+IFERROR(U224*I224/H224,"0")+IFERROR(U225*I225/H225,"0")+IFERROR(U226*I226/H226,"0")+IFERROR(U227*I227/H227,"0")+IFERROR(U231*I231/H231,"0")+IFERROR(U232*I232/H232,"0")+IFERROR(U233*I233/H233,"0")+IFERROR(U234*I234/H234,"0")+IFERROR(U238*I238/H238,"0")+IFERROR(U239*I239/H239,"0")+IFERROR(U240*I240/H240,"0")+IFERROR(U244*I244/H244,"0")+IFERROR(U245*I245/H245,"0")+IFERROR(U246*I246/H246,"0")+IFERROR(U251*I251/H251,"0")+IFERROR(U252*I252/H252,"0")+IFERROR(U253*I253/H253,"0")+IFERROR(U254*I254/H254,"0")+IFERROR(U255*I255/H255,"0")+IFERROR(U256*I256/H256,"0")+IFERROR(U257*I257/H257,"0")+IFERROR(U261*I261/H261,"0")+IFERROR(U262*I262/H262,"0")+IFERROR(U267*I267/H267,"0")+IFERROR(U268*I268/H268,"0")+IFERROR(U272*I272/H272,"0")+IFERROR(U273*I273/H273,"0")+IFERROR(U274*I274/H274,"0")+IFERROR(U278*I278/H278,"0")+IFERROR(U282*I282/H282,"0")+IFERROR(U288*I288/H288,"0")+IFERROR(U289*I289/H289,"0")+IFERROR(U290*I290/H290,"0")+IFERROR(U291*I291/H291,"0")+IFERROR(U292*I292/H292,"0")+IFERROR(U293*I293/H293,"0")+IFERROR(U294*I294/H294,"0")+IFERROR(U295*I295/H295,"0")+IFERROR(U299*I299/H299,"0")+IFERROR(U300*I300/H300,"0")+IFERROR(U304*I304/H304,"0")+IFERROR(U308*I308/H308,"0")+IFERROR(U312*I312/H312,"0")+IFERROR(U317*I317/H317,"0")+IFERROR(U318*I318/H318,"0")+IFERROR(U319*I319/H319,"0")+IFERROR(U320*I320/H320,"0")+IFERROR(U324*I324/H324,"0")+IFERROR(U325*I325/H325,"0")+IFERROR(U329*I329/H329,"0")+IFERROR(U330*I330/H330,"0")+IFERROR(U331*I331/H331,"0")+IFERROR(U332*I332/H332,"0")+IFERROR(U336*I336/H336,"0")+IFERROR(U342*I342/H342,"0")+IFERROR(U343*I343/H343,"0")+IFERROR(U347*I347/H347,"0")+IFERROR(U348*I348/H348,"0")+IFERROR(U349*I349/H349,"0")+IFERROR(U350*I350/H350,"0")+IFERROR(U351*I351/H351,"0")+IFERROR(U352*I352/H352,"0")+IFERROR(U353*I353/H353,"0")+IFERROR(U354*I354/H354,"0")+IFERROR(U355*I355/H355,"0")+IFERROR(U356*I356/H356,"0")+IFERROR(U357*I357/H357,"0")+IFERROR(U358*I358/H358,"0")+IFERROR(U359*I359/H359,"0")+IFERROR(U363*I363/H363,"0")+IFERROR(U364*I364/H364,"0")+IFERROR(U365*I365/H365,"0")+IFERROR(U366*I366/H366,"0")+IFERROR(U370*I370/H370,"0")+IFERROR(U374*I374/H374,"0")+IFERROR(U375*I375/H375,"0")+IFERROR(U376*I376/H376,"0")+IFERROR(U381*I381/H381,"0")+IFERROR(U382*I382/H382,"0")+IFERROR(U386*I386/H386,"0")+IFERROR(U387*I387/H387,"0")+IFERROR(U388*I388/H388,"0")+IFERROR(U389*I389/H389,"0")+IFERROR(U390*I390/H390,"0")+IFERROR(U391*I391/H391,"0")+IFERROR(U392*I392/H392,"0")+IFERROR(U396*I396/H396,"0")+IFERROR(U400*I400/H400,"0")+IFERROR(U406*I406/H406,"0")+IFERROR(U407*I407/H407,"0")+IFERROR(U408*I408/H408,"0")+IFERROR(U409*I409/H409,"0")+IFERROR(U410*I410/H410,"0")+IFERROR(U411*I411/H411,"0")+IFERROR(U412*I412/H412,"0")+IFERROR(U413*I413/H413,"0")+IFERROR(U414*I414/H414,"0")+IFERROR(U415*I415/H415,"0")+IFERROR(U419*I419/H419,"0")+IFERROR(U420*I420/H420,"0")+IFERROR(U424*I424/H424,"0")+IFERROR(U425*I425/H425,"0")+IFERROR(U426*I426/H426,"0")+IFERROR(U427*I427/H427,"0")+IFERROR(U428*I428/H428,"0")+IFERROR(U429*I429/H429,"0")+IFERROR(U430*I430/H430,"0")+IFERROR(U431*I431/H431,"0")+IFERROR(U432*I432/H432,"0")+IFERROR(U436*I436/H436,"0")+IFERROR(U437*I437/H437,"0")+IFERROR(U443*I443/H443,"0")+IFERROR(U444*I444/H444,"0")+IFERROR(U448*I448/H448,"0")+IFERROR(U449*I449/H449,"0")+IFERROR(U453*I453/H453,"0")+IFERROR(U454*I454/H454,"0")+IFERROR(U458*I458/H458,"0")+IFERROR(U459*I459/H459,"0")+IFERROR(U460*I460/H460,"0"),"0")</f>
        <v/>
      </c>
      <c r="V464" s="681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104*I104/H104,"0")+IFERROR(V105*I105/H105,"0")+IFERROR(V106*I106/H106,"0")+IFERROR(V107*I107/H107,"0")+IFERROR(V108*I108/H108,"0")+IFERROR(V109*I109/H109,"0")+IFERROR(V110*I110/H110,"0")+IFERROR(V114*I114/H114,"0")+IFERROR(V115*I115/H115,"0")+IFERROR(V116*I116/H116,"0")+IFERROR(V117*I117/H117,"0")+IFERROR(V122*I122/H122,"0")+IFERROR(V123*I123/H123,"0")+IFERROR(V124*I124/H124,"0")+IFERROR(V125*I125/H125,"0")+IFERROR(V131*I131/H131,"0")+IFERROR(V132*I132/H132,"0")+IFERROR(V133*I133/H133,"0")+IFERROR(V138*I138/H138,"0")+IFERROR(V139*I139/H139,"0")+IFERROR(V140*I140/H140,"0")+IFERROR(V141*I141/H141,"0")+IFERROR(V142*I142/H142,"0")+IFERROR(V143*I143/H143,"0")+IFERROR(V144*I144/H144,"0")+IFERROR(V145*I145/H145,"0")+IFERROR(V150*I150/H150,"0")+IFERROR(V151*I151/H151,"0")+IFERROR(V155*I155/H155,"0")+IFERROR(V156*I156/H156,"0")+IFERROR(V160*I160/H160,"0")+IFERROR(V161*I161/H161,"0")+IFERROR(V162*I162/H162,"0")+IFERROR(V163*I163/H163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187*I187/H187,"0")+IFERROR(V188*I188/H188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211*I211/H211,"0")+IFERROR(V215*I215/H215,"0")+IFERROR(V216*I216/H216,"0")+IFERROR(V217*I217/H217,"0")+IFERROR(V218*I218/H218,"0")+IFERROR(V222*I222/H222,"0")+IFERROR(V223*I223/H223,"0")+IFERROR(V224*I224/H224,"0")+IFERROR(V225*I225/H225,"0")+IFERROR(V226*I226/H226,"0")+IFERROR(V227*I227/H227,"0")+IFERROR(V231*I231/H231,"0")+IFERROR(V232*I232/H232,"0")+IFERROR(V233*I233/H233,"0")+IFERROR(V234*I234/H234,"0")+IFERROR(V238*I238/H238,"0")+IFERROR(V239*I239/H239,"0")+IFERROR(V240*I240/H240,"0")+IFERROR(V244*I244/H244,"0")+IFERROR(V245*I245/H245,"0")+IFERROR(V246*I246/H246,"0")+IFERROR(V251*I251/H251,"0")+IFERROR(V252*I252/H252,"0")+IFERROR(V253*I253/H253,"0")+IFERROR(V254*I254/H254,"0")+IFERROR(V255*I255/H255,"0")+IFERROR(V256*I256/H256,"0")+IFERROR(V257*I257/H257,"0")+IFERROR(V261*I261/H261,"0")+IFERROR(V262*I262/H262,"0")+IFERROR(V267*I267/H267,"0")+IFERROR(V268*I268/H268,"0")+IFERROR(V272*I272/H272,"0")+IFERROR(V273*I273/H273,"0")+IFERROR(V274*I274/H274,"0")+IFERROR(V278*I278/H278,"0")+IFERROR(V282*I282/H282,"0")+IFERROR(V288*I288/H288,"0")+IFERROR(V289*I289/H289,"0")+IFERROR(V290*I290/H290,"0")+IFERROR(V291*I291/H291,"0")+IFERROR(V292*I292/H292,"0")+IFERROR(V293*I293/H293,"0")+IFERROR(V294*I294/H294,"0")+IFERROR(V295*I295/H295,"0")+IFERROR(V299*I299/H299,"0")+IFERROR(V300*I300/H300,"0")+IFERROR(V304*I304/H304,"0")+IFERROR(V308*I308/H308,"0")+IFERROR(V312*I312/H312,"0")+IFERROR(V317*I317/H317,"0")+IFERROR(V318*I318/H318,"0")+IFERROR(V319*I319/H319,"0")+IFERROR(V320*I320/H320,"0")+IFERROR(V324*I324/H324,"0")+IFERROR(V325*I325/H325,"0")+IFERROR(V329*I329/H329,"0")+IFERROR(V330*I330/H330,"0")+IFERROR(V331*I331/H331,"0")+IFERROR(V332*I332/H332,"0")+IFERROR(V336*I336/H336,"0")+IFERROR(V342*I342/H342,"0")+IFERROR(V343*I343/H343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363*I363/H363,"0")+IFERROR(V364*I364/H364,"0")+IFERROR(V365*I365/H365,"0")+IFERROR(V366*I366/H366,"0")+IFERROR(V370*I370/H370,"0")+IFERROR(V374*I374/H374,"0")+IFERROR(V375*I375/H375,"0")+IFERROR(V376*I376/H376,"0")+IFERROR(V381*I381/H381,"0")+IFERROR(V382*I382/H382,"0")+IFERROR(V386*I386/H386,"0")+IFERROR(V387*I387/H387,"0")+IFERROR(V388*I388/H388,"0")+IFERROR(V389*I389/H389,"0")+IFERROR(V390*I390/H390,"0")+IFERROR(V391*I391/H391,"0")+IFERROR(V392*I392/H392,"0")+IFERROR(V396*I396/H396,"0")+IFERROR(V400*I400/H400,"0")+IFERROR(V406*I406/H406,"0")+IFERROR(V407*I407/H407,"0")+IFERROR(V408*I408/H408,"0")+IFERROR(V409*I409/H409,"0")+IFERROR(V410*I410/H410,"0")+IFERROR(V411*I411/H411,"0")+IFERROR(V412*I412/H412,"0")+IFERROR(V413*I413/H413,"0")+IFERROR(V414*I414/H414,"0")+IFERROR(V415*I415/H415,"0")+IFERROR(V419*I419/H419,"0")+IFERROR(V420*I420/H420,"0")+IFERROR(V424*I424/H424,"0")+IFERROR(V425*I425/H425,"0")+IFERROR(V426*I426/H426,"0")+IFERROR(V427*I427/H427,"0")+IFERROR(V428*I428/H428,"0")+IFERROR(V429*I429/H429,"0")+IFERROR(V430*I430/H430,"0")+IFERROR(V431*I431/H431,"0")+IFERROR(V432*I432/H432,"0")+IFERROR(V436*I436/H436,"0")+IFERROR(V437*I437/H437,"0")+IFERROR(V443*I443/H443,"0")+IFERROR(V444*I444/H444,"0")+IFERROR(V448*I448/H448,"0")+IFERROR(V449*I449/H449,"0")+IFERROR(V453*I453/H453,"0")+IFERROR(V454*I454/H454,"0")+IFERROR(V458*I458/H458,"0")+IFERROR(V459*I459/H459,"0")+IFERROR(V460*I460/H460,"0"),"0")</f>
        <v/>
      </c>
      <c r="W464" s="43" t="n"/>
      <c r="X464" s="682" t="n"/>
      <c r="Y464" s="682" t="n"/>
    </row>
    <row r="465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639" t="n"/>
      <c r="M465" s="925" t="inlineStr">
        <is>
          <t>Кол-во паллет</t>
        </is>
      </c>
      <c r="N465" s="633" t="n"/>
      <c r="O465" s="633" t="n"/>
      <c r="P465" s="633" t="n"/>
      <c r="Q465" s="633" t="n"/>
      <c r="R465" s="633" t="n"/>
      <c r="S465" s="634" t="n"/>
      <c r="T465" s="43" t="inlineStr">
        <is>
          <t>шт</t>
        </is>
      </c>
      <c r="U465" s="45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79*(U63:U79/H63:H79)),"0")+IFERROR(SUMPRODUCT(1/J83:J88*(U83:U88/H83:H88)),"0")+IFERROR(SUMPRODUCT(1/J92:J100*(U92:U100/H92:H100)),"0")+IFERROR(SUMPRODUCT(1/J104:J110*(U104:U110/H104:H110)),"0")+IFERROR(SUMPRODUCT(1/J114:J117*(U114:U117/H114:H117)),"0")+IFERROR(SUMPRODUCT(1/J122:J125*(U122:U125/H122:H125)),"0")+IFERROR(SUMPRODUCT(1/J131:J133*(U131:U133/H131:H133)),"0")+IFERROR(SUMPRODUCT(1/J138:J145*(U138:U145/H138:H145)),"0")+IFERROR(SUMPRODUCT(1/J150:J151*(U150:U151/H150:H151)),"0")+IFERROR(SUMPRODUCT(1/J155:J156*(U155:U156/H155:H156)),"0")+IFERROR(SUMPRODUCT(1/J160:J163*(U160:U163/H160:H163)),"0")+IFERROR(SUMPRODUCT(1/J167:J183*(U167:U183/H167:H183)),"0")+IFERROR(SUMPRODUCT(1/J187:J188*(U187:U188/H187:H188)),"0")+IFERROR(SUMPRODUCT(1/J193:J207*(U193:U207/H193:H207)),"0")+IFERROR(SUMPRODUCT(1/J211:J211*(U211:U211/H211:H211)),"0")+IFERROR(SUMPRODUCT(1/J215:J218*(U215:U218/H215:H218)),"0")+IFERROR(SUMPRODUCT(1/J222:J227*(U222:U227/H222:H227)),"0")+IFERROR(SUMPRODUCT(1/J231:J234*(U231:U234/H231:H234)),"0")+IFERROR(SUMPRODUCT(1/J238:J240*(U238:U240/H238:H240)),"0")+IFERROR(SUMPRODUCT(1/J244:J246*(U244:U246/H244:H246)),"0")+IFERROR(SUMPRODUCT(1/J251:J257*(U251:U257/H251:H257)),"0")+IFERROR(SUMPRODUCT(1/J261:J262*(U261:U262/H261:H262)),"0")+IFERROR(SUMPRODUCT(1/J267:J268*(U267:U268/H267:H268)),"0")+IFERROR(SUMPRODUCT(1/J272:J274*(U272:U274/H272:H274)),"0")+IFERROR(SUMPRODUCT(1/J278:J278*(U278:U278/H278:H278)),"0")+IFERROR(SUMPRODUCT(1/J282:J282*(U282:U282/H282:H282)),"0")+IFERROR(SUMPRODUCT(1/J288:J295*(U288:U295/H288:H295)),"0")+IFERROR(SUMPRODUCT(1/J299:J300*(U299:U300/H299:H300)),"0")+IFERROR(SUMPRODUCT(1/J304:J304*(U304:U304/H304:H304)),"0")+IFERROR(SUMPRODUCT(1/J308:J308*(U308:U308/H308:H308)),"0")+IFERROR(SUMPRODUCT(1/J312:J312*(U312:U312/H312:H312)),"0")+IFERROR(SUMPRODUCT(1/J317:J320*(U317:U320/H317:H320)),"0")+IFERROR(SUMPRODUCT(1/J324:J325*(U324:U325/H324:H325)),"0")+IFERROR(SUMPRODUCT(1/J329:J332*(U329:U332/H329:H332)),"0")+IFERROR(SUMPRODUCT(1/J336:J336*(U336:U336/H336:H336)),"0")+IFERROR(SUMPRODUCT(1/J342:J343*(U342:U343/H342:H343)),"0")+IFERROR(SUMPRODUCT(1/J347:J359*(U347:U359/H347:H359)),"0")+IFERROR(SUMPRODUCT(1/J363:J366*(U363:U366/H363:H366)),"0")+IFERROR(SUMPRODUCT(1/J370:J370*(U370:U370/H370:H370)),"0")+IFERROR(SUMPRODUCT(1/J374:J376*(U374:U376/H374:H376)),"0")+IFERROR(SUMPRODUCT(1/J381:J382*(U381:U382/H381:H382)),"0")+IFERROR(SUMPRODUCT(1/J386:J392*(U386:U392/H386:H392)),"0")+IFERROR(SUMPRODUCT(1/J396:J396*(U396:U396/H396:H396)),"0")+IFERROR(SUMPRODUCT(1/J400:J400*(U400:U400/H400:H400)),"0")+IFERROR(SUMPRODUCT(1/J406:J415*(U406:U415/H406:H415)),"0")+IFERROR(SUMPRODUCT(1/J419:J420*(U419:U420/H419:H420)),"0")+IFERROR(SUMPRODUCT(1/J424:J432*(U424:U432/H424:H432)),"0")+IFERROR(SUMPRODUCT(1/J436:J437*(U436:U437/H436:H437)),"0")+IFERROR(SUMPRODUCT(1/J443:J444*(U443:U444/H443:H444)),"0")+IFERROR(SUMPRODUCT(1/J448:J449*(U448:U449/H448:H449)),"0")+IFERROR(SUMPRODUCT(1/J453:J454*(U453:U454/H453:H454)),"0")+IFERROR(SUMPRODUCT(1/J458:J460*(U458:U460/H458:H460)),"0"),0)</f>
        <v/>
      </c>
      <c r="V465" s="45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79*(V63:V79/H63:H79)),"0")+IFERROR(SUMPRODUCT(1/J83:J88*(V83:V88/H83:H88)),"0")+IFERROR(SUMPRODUCT(1/J92:J100*(V92:V100/H92:H100)),"0")+IFERROR(SUMPRODUCT(1/J104:J110*(V104:V110/H104:H110)),"0")+IFERROR(SUMPRODUCT(1/J114:J117*(V114:V117/H114:H117)),"0")+IFERROR(SUMPRODUCT(1/J122:J125*(V122:V125/H122:H125)),"0")+IFERROR(SUMPRODUCT(1/J131:J133*(V131:V133/H131:H133)),"0")+IFERROR(SUMPRODUCT(1/J138:J145*(V138:V145/H138:H145)),"0")+IFERROR(SUMPRODUCT(1/J150:J151*(V150:V151/H150:H151)),"0")+IFERROR(SUMPRODUCT(1/J155:J156*(V155:V156/H155:H156)),"0")+IFERROR(SUMPRODUCT(1/J160:J163*(V160:V163/H160:H163)),"0")+IFERROR(SUMPRODUCT(1/J167:J183*(V167:V183/H167:H183)),"0")+IFERROR(SUMPRODUCT(1/J187:J188*(V187:V188/H187:H188)),"0")+IFERROR(SUMPRODUCT(1/J193:J207*(V193:V207/H193:H207)),"0")+IFERROR(SUMPRODUCT(1/J211:J211*(V211:V211/H211:H211)),"0")+IFERROR(SUMPRODUCT(1/J215:J218*(V215:V218/H215:H218)),"0")+IFERROR(SUMPRODUCT(1/J222:J227*(V222:V227/H222:H227)),"0")+IFERROR(SUMPRODUCT(1/J231:J234*(V231:V234/H231:H234)),"0")+IFERROR(SUMPRODUCT(1/J238:J240*(V238:V240/H238:H240)),"0")+IFERROR(SUMPRODUCT(1/J244:J246*(V244:V246/H244:H246)),"0")+IFERROR(SUMPRODUCT(1/J251:J257*(V251:V257/H251:H257)),"0")+IFERROR(SUMPRODUCT(1/J261:J262*(V261:V262/H261:H262)),"0")+IFERROR(SUMPRODUCT(1/J267:J268*(V267:V268/H267:H268)),"0")+IFERROR(SUMPRODUCT(1/J272:J274*(V272:V274/H272:H274)),"0")+IFERROR(SUMPRODUCT(1/J278:J278*(V278:V278/H278:H278)),"0")+IFERROR(SUMPRODUCT(1/J282:J282*(V282:V282/H282:H282)),"0")+IFERROR(SUMPRODUCT(1/J288:J295*(V288:V295/H288:H295)),"0")+IFERROR(SUMPRODUCT(1/J299:J300*(V299:V300/H299:H300)),"0")+IFERROR(SUMPRODUCT(1/J304:J304*(V304:V304/H304:H304)),"0")+IFERROR(SUMPRODUCT(1/J308:J308*(V308:V308/H308:H308)),"0")+IFERROR(SUMPRODUCT(1/J312:J312*(V312:V312/H312:H312)),"0")+IFERROR(SUMPRODUCT(1/J317:J320*(V317:V320/H317:H320)),"0")+IFERROR(SUMPRODUCT(1/J324:J325*(V324:V325/H324:H325)),"0")+IFERROR(SUMPRODUCT(1/J329:J332*(V329:V332/H329:H332)),"0")+IFERROR(SUMPRODUCT(1/J336:J336*(V336:V336/H336:H336)),"0")+IFERROR(SUMPRODUCT(1/J342:J343*(V342:V343/H342:H343)),"0")+IFERROR(SUMPRODUCT(1/J347:J359*(V347:V359/H347:H359)),"0")+IFERROR(SUMPRODUCT(1/J363:J366*(V363:V366/H363:H366)),"0")+IFERROR(SUMPRODUCT(1/J370:J370*(V370:V370/H370:H370)),"0")+IFERROR(SUMPRODUCT(1/J374:J376*(V374:V376/H374:H376)),"0")+IFERROR(SUMPRODUCT(1/J381:J382*(V381:V382/H381:H382)),"0")+IFERROR(SUMPRODUCT(1/J386:J392*(V386:V392/H386:H392)),"0")+IFERROR(SUMPRODUCT(1/J396:J396*(V396:V396/H396:H396)),"0")+IFERROR(SUMPRODUCT(1/J400:J400*(V400:V400/H400:H400)),"0")+IFERROR(SUMPRODUCT(1/J406:J415*(V406:V415/H406:H415)),"0")+IFERROR(SUMPRODUCT(1/J419:J420*(V419:V420/H419:H420)),"0")+IFERROR(SUMPRODUCT(1/J424:J432*(V424:V432/H424:H432)),"0")+IFERROR(SUMPRODUCT(1/J436:J437*(V436:V437/H436:H437)),"0")+IFERROR(SUMPRODUCT(1/J443:J444*(V443:V444/H443:H444)),"0")+IFERROR(SUMPRODUCT(1/J448:J449*(V448:V449/H448:H449)),"0")+IFERROR(SUMPRODUCT(1/J453:J454*(V453:V454/H453:H454)),"0")+IFERROR(SUMPRODUCT(1/J458:J460*(V458:V460/H458:H460)),"0"),0)</f>
        <v/>
      </c>
      <c r="W465" s="43" t="n"/>
      <c r="X465" s="682" t="n"/>
      <c r="Y465" s="682" t="n"/>
    </row>
    <row r="466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639" t="n"/>
      <c r="M466" s="925" t="inlineStr">
        <is>
          <t>Вес брутто  с паллетами</t>
        </is>
      </c>
      <c r="N466" s="633" t="n"/>
      <c r="O466" s="633" t="n"/>
      <c r="P466" s="633" t="n"/>
      <c r="Q466" s="633" t="n"/>
      <c r="R466" s="633" t="n"/>
      <c r="S466" s="634" t="n"/>
      <c r="T466" s="43" t="inlineStr">
        <is>
          <t>кг</t>
        </is>
      </c>
      <c r="U466" s="681">
        <f>GrossWeightTotal+PalletQtyTotal*25</f>
        <v/>
      </c>
      <c r="V466" s="681">
        <f>GrossWeightTotalR+PalletQtyTotalR*25</f>
        <v/>
      </c>
      <c r="W466" s="43" t="n"/>
      <c r="X466" s="682" t="n"/>
      <c r="Y466" s="682" t="n"/>
    </row>
    <row r="467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639" t="n"/>
      <c r="M467" s="925" t="inlineStr">
        <is>
          <t>Кол-во коробок</t>
        </is>
      </c>
      <c r="N467" s="633" t="n"/>
      <c r="O467" s="633" t="n"/>
      <c r="P467" s="633" t="n"/>
      <c r="Q467" s="633" t="n"/>
      <c r="R467" s="633" t="n"/>
      <c r="S467" s="634" t="n"/>
      <c r="T467" s="43" t="inlineStr">
        <is>
          <t>шт</t>
        </is>
      </c>
      <c r="U467" s="681">
        <f>IFERROR(U23+U32+U37+U41+U45+U52+U59+U80+U89+U101+U111+U118+U126+U134+U146+U152+U157+U164+U184+U189+U208+U212+U219+U228+U235+U241+U247+U258+U263+U269+U275+U279+U283+U296+U301+U305+U309+U313+U321+U326+U333+U337+U344+U360+U367+U371+U377+U383+U393+U397+U401+U416+U421+U433+U438+U445+U450+U455+U461,"0")</f>
        <v/>
      </c>
      <c r="V467" s="681">
        <f>IFERROR(V23+V32+V37+V41+V45+V52+V59+V80+V89+V101+V111+V118+V126+V134+V146+V152+V157+V164+V184+V189+V208+V212+V219+V228+V235+V241+V247+V258+V263+V269+V275+V279+V283+V296+V301+V305+V309+V313+V321+V326+V333+V337+V344+V360+V367+V371+V377+V383+V393+V397+V401+V416+V421+V433+V438+V445+V450+V455+V461,"0")</f>
        <v/>
      </c>
      <c r="W467" s="43" t="n"/>
      <c r="X467" s="682" t="n"/>
      <c r="Y467" s="682" t="n"/>
    </row>
    <row r="468" ht="14.25" customHeight="1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639" t="n"/>
      <c r="M468" s="925" t="inlineStr">
        <is>
          <t>Объем заказа</t>
        </is>
      </c>
      <c r="N468" s="633" t="n"/>
      <c r="O468" s="633" t="n"/>
      <c r="P468" s="633" t="n"/>
      <c r="Q468" s="633" t="n"/>
      <c r="R468" s="633" t="n"/>
      <c r="S468" s="634" t="n"/>
      <c r="T468" s="46" t="inlineStr">
        <is>
          <t>м3</t>
        </is>
      </c>
      <c r="U468" s="43" t="n"/>
      <c r="V468" s="43" t="n"/>
      <c r="W468" s="43">
        <f>IFERROR(W23+W32+W37+W41+W45+W52+W59+W80+W89+W101+W111+W118+W126+W134+W146+W152+W157+W164+W184+W189+W208+W212+W219+W228+W235+W241+W247+W258+W263+W269+W275+W279+W283+W296+W301+W305+W309+W313+W321+W326+W333+W337+W344+W360+W367+W371+W377+W383+W393+W397+W401+W416+W421+W433+W438+W445+W450+W455+W461,"0")</f>
        <v/>
      </c>
      <c r="X468" s="682" t="n"/>
      <c r="Y468" s="682" t="n"/>
    </row>
    <row r="469" ht="13.5" customHeight="1" thickBot="1"/>
    <row r="470" ht="27" customHeight="1" thickBot="1" thickTop="1">
      <c r="A470" s="47" t="inlineStr">
        <is>
          <t>ТОРГОВАЯ МАРКА</t>
        </is>
      </c>
      <c r="B470" s="630" t="inlineStr">
        <is>
          <t>Ядрена копоть</t>
        </is>
      </c>
      <c r="C470" s="630" t="inlineStr">
        <is>
          <t>Вязанка</t>
        </is>
      </c>
      <c r="D470" s="926" t="n"/>
      <c r="E470" s="926" t="n"/>
      <c r="F470" s="927" t="n"/>
      <c r="G470" s="630" t="inlineStr">
        <is>
          <t>Стародворье</t>
        </is>
      </c>
      <c r="H470" s="926" t="n"/>
      <c r="I470" s="926" t="n"/>
      <c r="J470" s="926" t="n"/>
      <c r="K470" s="926" t="n"/>
      <c r="L470" s="927" t="n"/>
      <c r="M470" s="630" t="inlineStr">
        <is>
          <t>Особый рецепт</t>
        </is>
      </c>
      <c r="N470" s="927" t="n"/>
      <c r="O470" s="630" t="inlineStr">
        <is>
          <t>Баварушка</t>
        </is>
      </c>
      <c r="P470" s="927" t="n"/>
      <c r="Q470" s="630" t="inlineStr">
        <is>
          <t>Дугушка</t>
        </is>
      </c>
      <c r="R470" s="630" t="inlineStr">
        <is>
          <t>Зареченские</t>
        </is>
      </c>
      <c r="S470" s="1" t="n"/>
      <c r="T470" s="1" t="n"/>
      <c r="Y470" s="61" t="n"/>
      <c r="AB470" s="1" t="n"/>
    </row>
    <row r="471" ht="14.25" customHeight="1" thickTop="1">
      <c r="A471" s="631" t="inlineStr">
        <is>
          <t>СЕРИЯ</t>
        </is>
      </c>
      <c r="B471" s="630" t="inlineStr">
        <is>
          <t>Ядрена копоть</t>
        </is>
      </c>
      <c r="C471" s="630" t="inlineStr">
        <is>
          <t>Столичная</t>
        </is>
      </c>
      <c r="D471" s="630" t="inlineStr">
        <is>
          <t>Классическая</t>
        </is>
      </c>
      <c r="E471" s="630" t="inlineStr">
        <is>
          <t>Вязанка</t>
        </is>
      </c>
      <c r="F471" s="630" t="inlineStr">
        <is>
          <t>Сливушки</t>
        </is>
      </c>
      <c r="G471" s="630" t="inlineStr">
        <is>
          <t>Золоченная в печи</t>
        </is>
      </c>
      <c r="H471" s="630" t="inlineStr">
        <is>
          <t>Мясорубская</t>
        </is>
      </c>
      <c r="I471" s="630" t="inlineStr">
        <is>
          <t>Сочинка</t>
        </is>
      </c>
      <c r="J471" s="630" t="inlineStr">
        <is>
          <t>Бордо</t>
        </is>
      </c>
      <c r="K471" s="630" t="inlineStr">
        <is>
          <t>Фирменная</t>
        </is>
      </c>
      <c r="L471" s="630" t="inlineStr">
        <is>
          <t>Бавария</t>
        </is>
      </c>
      <c r="M471" s="630" t="inlineStr">
        <is>
          <t>Особая</t>
        </is>
      </c>
      <c r="N471" s="630" t="inlineStr">
        <is>
          <t>Особая Без свинины</t>
        </is>
      </c>
      <c r="O471" s="630" t="inlineStr">
        <is>
          <t>Филейбургская</t>
        </is>
      </c>
      <c r="P471" s="630" t="inlineStr">
        <is>
          <t>Балыкбургская</t>
        </is>
      </c>
      <c r="Q471" s="630" t="inlineStr">
        <is>
          <t>Дугушка</t>
        </is>
      </c>
      <c r="R471" s="630" t="inlineStr">
        <is>
          <t>Зареченские продукты</t>
        </is>
      </c>
      <c r="S471" s="1" t="n"/>
      <c r="T471" s="1" t="n"/>
      <c r="Y471" s="61" t="n"/>
      <c r="AB471" s="1" t="n"/>
    </row>
    <row r="472" ht="13.5" customHeight="1" thickBot="1">
      <c r="A472" s="928" t="n"/>
      <c r="B472" s="929" t="n"/>
      <c r="C472" s="929" t="n"/>
      <c r="D472" s="929" t="n"/>
      <c r="E472" s="929" t="n"/>
      <c r="F472" s="929" t="n"/>
      <c r="G472" s="929" t="n"/>
      <c r="H472" s="929" t="n"/>
      <c r="I472" s="929" t="n"/>
      <c r="J472" s="929" t="n"/>
      <c r="K472" s="929" t="n"/>
      <c r="L472" s="929" t="n"/>
      <c r="M472" s="929" t="n"/>
      <c r="N472" s="929" t="n"/>
      <c r="O472" s="929" t="n"/>
      <c r="P472" s="929" t="n"/>
      <c r="Q472" s="929" t="n"/>
      <c r="R472" s="929" t="n"/>
      <c r="S472" s="1" t="n"/>
      <c r="T472" s="1" t="n"/>
      <c r="Y472" s="61" t="n"/>
      <c r="AB472" s="1" t="n"/>
    </row>
    <row r="473" ht="18" customHeight="1" thickBot="1" thickTop="1">
      <c r="A473" s="47" t="inlineStr">
        <is>
          <t>ИТОГО, кг</t>
        </is>
      </c>
      <c r="B473" s="53">
        <f>IFERROR(V22*1,"0")+IFERROR(V26*1,"0")+IFERROR(V27*1,"0")+IFERROR(V28*1,"0")+IFERROR(V29*1,"0")+IFERROR(V30*1,"0")+IFERROR(V31*1,"0")+IFERROR(V35*1,"0")+IFERROR(V36*1,"0")+IFERROR(V40*1,"0")+IFERROR(V44*1,"0")</f>
        <v/>
      </c>
      <c r="C473" s="53">
        <f>IFERROR(V50*1,"0")+IFERROR(V51*1,"0")</f>
        <v/>
      </c>
      <c r="D473" s="53">
        <f>IFERROR(V56*1,"0")+IFERROR(V57*1,"0")+IFERROR(V58*1,"0")</f>
        <v/>
      </c>
      <c r="E473" s="53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79*1,"0")+IFERROR(V83*1,"0")+IFERROR(V84*1,"0")+IFERROR(V85*1,"0")+IFERROR(V86*1,"0")+IFERROR(V87*1,"0")+IFERROR(V88*1,"0")+IFERROR(V92*1,"0")+IFERROR(V93*1,"0")+IFERROR(V94*1,"0")+IFERROR(V95*1,"0")+IFERROR(V96*1,"0")+IFERROR(V97*1,"0")+IFERROR(V98*1,"0")+IFERROR(V99*1,"0")+IFERROR(V100*1,"0")+IFERROR(V104*1,"0")+IFERROR(V105*1,"0")+IFERROR(V106*1,"0")+IFERROR(V107*1,"0")+IFERROR(V108*1,"0")+IFERROR(V109*1,"0")+IFERROR(V110*1,"0")+IFERROR(V114*1,"0")+IFERROR(V115*1,"0")+IFERROR(V116*1,"0")+IFERROR(V117*1,"0")</f>
        <v/>
      </c>
      <c r="F473" s="53">
        <f>IFERROR(V122*1,"0")+IFERROR(V123*1,"0")+IFERROR(V124*1,"0")+IFERROR(V125*1,"0")</f>
        <v/>
      </c>
      <c r="G473" s="53">
        <f>IFERROR(V131*1,"0")+IFERROR(V132*1,"0")+IFERROR(V133*1,"0")</f>
        <v/>
      </c>
      <c r="H473" s="53">
        <f>IFERROR(V138*1,"0")+IFERROR(V139*1,"0")+IFERROR(V140*1,"0")+IFERROR(V141*1,"0")+IFERROR(V142*1,"0")+IFERROR(V143*1,"0")+IFERROR(V144*1,"0")+IFERROR(V145*1,"0")</f>
        <v/>
      </c>
      <c r="I473" s="53">
        <f>IFERROR(V150*1,"0")+IFERROR(V151*1,"0")+IFERROR(V155*1,"0")+IFERROR(V156*1,"0")+IFERROR(V160*1,"0")+IFERROR(V161*1,"0")+IFERROR(V162*1,"0")+IFERROR(V163*1,"0")+IFERROR(V167*1,"0")+IFERROR(V168*1,"0")+IFERROR(V169*1,"0")+IFERROR(V170*1,"0")+IFERROR(V171*1,"0")+IFERROR(V172*1,"0")+IFERROR(V173*1,"0")+IFERROR(V174*1,"0")+IFERROR(V175*1,"0")+IFERROR(V176*1,"0")+IFERROR(V177*1,"0")+IFERROR(V178*1,"0")+IFERROR(V179*1,"0")+IFERROR(V180*1,"0")+IFERROR(V181*1,"0")+IFERROR(V182*1,"0")+IFERROR(V183*1,"0")+IFERROR(V187*1,"0")+IFERROR(V188*1,"0")</f>
        <v/>
      </c>
      <c r="J473" s="53">
        <f>IFERROR(V193*1,"0")+IFERROR(V194*1,"0")+IFERROR(V195*1,"0")+IFERROR(V196*1,"0")+IFERROR(V197*1,"0")+IFERROR(V198*1,"0")+IFERROR(V199*1,"0")+IFERROR(V200*1,"0")+IFERROR(V201*1,"0")+IFERROR(V202*1,"0")+IFERROR(V203*1,"0")+IFERROR(V204*1,"0")+IFERROR(V205*1,"0")+IFERROR(V206*1,"0")+IFERROR(V207*1,"0")+IFERROR(V211*1,"0")+IFERROR(V215*1,"0")+IFERROR(V216*1,"0")+IFERROR(V217*1,"0")+IFERROR(V218*1,"0")+IFERROR(V222*1,"0")+IFERROR(V223*1,"0")+IFERROR(V224*1,"0")+IFERROR(V225*1,"0")+IFERROR(V226*1,"0")+IFERROR(V227*1,"0")+IFERROR(V231*1,"0")+IFERROR(V232*1,"0")+IFERROR(V233*1,"0")+IFERROR(V234*1,"0")+IFERROR(V238*1,"0")+IFERROR(V239*1,"0")+IFERROR(V240*1,"0")+IFERROR(V244*1,"0")+IFERROR(V245*1,"0")+IFERROR(V246*1,"0")</f>
        <v/>
      </c>
      <c r="K473" s="53">
        <f>IFERROR(V251*1,"0")+IFERROR(V252*1,"0")+IFERROR(V253*1,"0")+IFERROR(V254*1,"0")+IFERROR(V255*1,"0")+IFERROR(V256*1,"0")+IFERROR(V257*1,"0")+IFERROR(V261*1,"0")+IFERROR(V262*1,"0")</f>
        <v/>
      </c>
      <c r="L473" s="53">
        <f>IFERROR(V267*1,"0")+IFERROR(V268*1,"0")+IFERROR(V272*1,"0")+IFERROR(V273*1,"0")+IFERROR(V274*1,"0")+IFERROR(V278*1,"0")+IFERROR(V282*1,"0")</f>
        <v/>
      </c>
      <c r="M473" s="53">
        <f>IFERROR(V288*1,"0")+IFERROR(V289*1,"0")+IFERROR(V290*1,"0")+IFERROR(V291*1,"0")+IFERROR(V292*1,"0")+IFERROR(V293*1,"0")+IFERROR(V294*1,"0")+IFERROR(V295*1,"0")+IFERROR(V299*1,"0")+IFERROR(V300*1,"0")+IFERROR(V304*1,"0")+IFERROR(V308*1,"0")+IFERROR(V312*1,"0")</f>
        <v/>
      </c>
      <c r="N473" s="53">
        <f>IFERROR(V317*1,"0")+IFERROR(V318*1,"0")+IFERROR(V319*1,"0")+IFERROR(V320*1,"0")+IFERROR(V324*1,"0")+IFERROR(V325*1,"0")+IFERROR(V329*1,"0")+IFERROR(V330*1,"0")+IFERROR(V331*1,"0")+IFERROR(V332*1,"0")+IFERROR(V336*1,"0")</f>
        <v/>
      </c>
      <c r="O473" s="53">
        <f>IFERROR(V342*1,"0")+IFERROR(V343*1,"0")+IFERROR(V347*1,"0")+IFERROR(V348*1,"0")+IFERROR(V349*1,"0")+IFERROR(V350*1,"0")+IFERROR(V351*1,"0")+IFERROR(V352*1,"0")+IFERROR(V353*1,"0")+IFERROR(V354*1,"0")+IFERROR(V355*1,"0")+IFERROR(V356*1,"0")+IFERROR(V357*1,"0")+IFERROR(V358*1,"0")+IFERROR(V359*1,"0")+IFERROR(V363*1,"0")+IFERROR(V364*1,"0")+IFERROR(V365*1,"0")+IFERROR(V366*1,"0")+IFERROR(V370*1,"0")+IFERROR(V374*1,"0")+IFERROR(V375*1,"0")+IFERROR(V376*1,"0")</f>
        <v/>
      </c>
      <c r="P473" s="53">
        <f>IFERROR(V381*1,"0")+IFERROR(V382*1,"0")+IFERROR(V386*1,"0")+IFERROR(V387*1,"0")+IFERROR(V388*1,"0")+IFERROR(V389*1,"0")+IFERROR(V390*1,"0")+IFERROR(V391*1,"0")+IFERROR(V392*1,"0")+IFERROR(V396*1,"0")+IFERROR(V400*1,"0")</f>
        <v/>
      </c>
      <c r="Q473" s="53">
        <f>IFERROR(V406*1,"0")+IFERROR(V407*1,"0")+IFERROR(V408*1,"0")+IFERROR(V409*1,"0")+IFERROR(V410*1,"0")+IFERROR(V411*1,"0")+IFERROR(V412*1,"0")+IFERROR(V413*1,"0")+IFERROR(V414*1,"0")+IFERROR(V415*1,"0")+IFERROR(V419*1,"0")+IFERROR(V420*1,"0")+IFERROR(V424*1,"0")+IFERROR(V425*1,"0")+IFERROR(V426*1,"0")+IFERROR(V427*1,"0")+IFERROR(V428*1,"0")+IFERROR(V429*1,"0")+IFERROR(V430*1,"0")+IFERROR(V431*1,"0")+IFERROR(V432*1,"0")+IFERROR(V436*1,"0")+IFERROR(V437*1,"0")</f>
        <v/>
      </c>
      <c r="R473" s="53">
        <f>IFERROR(V443*1,"0")+IFERROR(V444*1,"0")+IFERROR(V448*1,"0")+IFERROR(V449*1,"0")+IFERROR(V453*1,"0")+IFERROR(V454*1,"0")+IFERROR(V458*1,"0")+IFERROR(V459*1,"0")+IFERROR(V460*1,"0")</f>
        <v/>
      </c>
      <c r="S473" s="1" t="n"/>
      <c r="T473" s="1" t="n"/>
      <c r="Y473" s="61" t="n"/>
      <c r="AB473" s="1" t="n"/>
    </row>
    <row r="474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KGeiIgpnqHmKVSWyLJ6QPw==" formatRows="1" sort="0" spinCount="100000" hashValue="jG63cJJdlfhuo4ij7PXwPVgutD1w+XbUuMrW2FS2NRGOtjNHL00LySEacJ+269PUv4309b4hiWz1rCEg+eEIhA=="/>
  <autoFilter ref="B18:W468">
    <filterColumn colId="2" showButton="0"/>
    <filterColumn colId="11" showButton="0"/>
    <filterColumn colId="12" showButton="0"/>
    <filterColumn colId="13" showButton="0"/>
    <filterColumn colId="14" showButton="0"/>
  </autoFilter>
  <mergeCells count="838">
    <mergeCell ref="Q471:Q472"/>
    <mergeCell ref="R471:R472"/>
    <mergeCell ref="C470:F470"/>
    <mergeCell ref="G470:L470"/>
    <mergeCell ref="M470:N470"/>
    <mergeCell ref="O470:P470"/>
    <mergeCell ref="A471:A472"/>
    <mergeCell ref="B471:B472"/>
    <mergeCell ref="C471:C472"/>
    <mergeCell ref="D471:D472"/>
    <mergeCell ref="E471:E472"/>
    <mergeCell ref="F471:F472"/>
    <mergeCell ref="G471:G472"/>
    <mergeCell ref="H471:H472"/>
    <mergeCell ref="I471:I472"/>
    <mergeCell ref="J471:J472"/>
    <mergeCell ref="K471:K472"/>
    <mergeCell ref="L471:L472"/>
    <mergeCell ref="M471:M472"/>
    <mergeCell ref="N471:N472"/>
    <mergeCell ref="O471:O472"/>
    <mergeCell ref="P471:P472"/>
    <mergeCell ref="D459:E459"/>
    <mergeCell ref="M459:Q459"/>
    <mergeCell ref="D460:E460"/>
    <mergeCell ref="M460:Q460"/>
    <mergeCell ref="M461:S461"/>
    <mergeCell ref="A461:L462"/>
    <mergeCell ref="M462:S462"/>
    <mergeCell ref="M463:S463"/>
    <mergeCell ref="A463:L468"/>
    <mergeCell ref="M464:S464"/>
    <mergeCell ref="M465:S465"/>
    <mergeCell ref="M466:S466"/>
    <mergeCell ref="M467:S467"/>
    <mergeCell ref="M468:S468"/>
    <mergeCell ref="D453:E453"/>
    <mergeCell ref="M453:Q453"/>
    <mergeCell ref="D454:E454"/>
    <mergeCell ref="M454:Q454"/>
    <mergeCell ref="M455:S455"/>
    <mergeCell ref="A455:L456"/>
    <mergeCell ref="M456:S456"/>
    <mergeCell ref="A457:W457"/>
    <mergeCell ref="D458:E458"/>
    <mergeCell ref="M458:Q458"/>
    <mergeCell ref="A447:W447"/>
    <mergeCell ref="D448:E448"/>
    <mergeCell ref="M448:Q448"/>
    <mergeCell ref="D449:E449"/>
    <mergeCell ref="M449:Q449"/>
    <mergeCell ref="M450:S450"/>
    <mergeCell ref="A450:L451"/>
    <mergeCell ref="M451:S451"/>
    <mergeCell ref="A452:W452"/>
    <mergeCell ref="A441:W441"/>
    <mergeCell ref="A442:W442"/>
    <mergeCell ref="D443:E443"/>
    <mergeCell ref="M443:Q443"/>
    <mergeCell ref="D444:E444"/>
    <mergeCell ref="M444:Q444"/>
    <mergeCell ref="M445:S445"/>
    <mergeCell ref="A445:L446"/>
    <mergeCell ref="M446:S446"/>
    <mergeCell ref="A435:W435"/>
    <mergeCell ref="D436:E436"/>
    <mergeCell ref="M436:Q436"/>
    <mergeCell ref="D437:E437"/>
    <mergeCell ref="M437:Q437"/>
    <mergeCell ref="M438:S438"/>
    <mergeCell ref="A438:L439"/>
    <mergeCell ref="M439:S439"/>
    <mergeCell ref="A440:W440"/>
    <mergeCell ref="D429:E429"/>
    <mergeCell ref="M429:Q429"/>
    <mergeCell ref="D430:E430"/>
    <mergeCell ref="M430:Q430"/>
    <mergeCell ref="D431:E431"/>
    <mergeCell ref="M431:Q431"/>
    <mergeCell ref="D432:E432"/>
    <mergeCell ref="M432:Q432"/>
    <mergeCell ref="M433:S433"/>
    <mergeCell ref="A433:L434"/>
    <mergeCell ref="M434:S434"/>
    <mergeCell ref="D424:E424"/>
    <mergeCell ref="M424:Q424"/>
    <mergeCell ref="D425:E425"/>
    <mergeCell ref="M425:Q425"/>
    <mergeCell ref="D426:E426"/>
    <mergeCell ref="M426:Q426"/>
    <mergeCell ref="D427:E427"/>
    <mergeCell ref="M427:Q427"/>
    <mergeCell ref="D428:E428"/>
    <mergeCell ref="M428:Q428"/>
    <mergeCell ref="A418:W418"/>
    <mergeCell ref="D419:E419"/>
    <mergeCell ref="M419:Q419"/>
    <mergeCell ref="D420:E420"/>
    <mergeCell ref="M420:Q420"/>
    <mergeCell ref="M421:S421"/>
    <mergeCell ref="A421:L422"/>
    <mergeCell ref="M422:S422"/>
    <mergeCell ref="A423:W423"/>
    <mergeCell ref="D413:E413"/>
    <mergeCell ref="M413:Q413"/>
    <mergeCell ref="D414:E414"/>
    <mergeCell ref="M414:Q414"/>
    <mergeCell ref="D415:E415"/>
    <mergeCell ref="M415:Q415"/>
    <mergeCell ref="M416:S416"/>
    <mergeCell ref="A416:L417"/>
    <mergeCell ref="M417:S417"/>
    <mergeCell ref="D408:E408"/>
    <mergeCell ref="M408:Q408"/>
    <mergeCell ref="D409:E409"/>
    <mergeCell ref="M409:Q409"/>
    <mergeCell ref="D410:E410"/>
    <mergeCell ref="M410:Q410"/>
    <mergeCell ref="D411:E411"/>
    <mergeCell ref="M411:Q411"/>
    <mergeCell ref="D412:E412"/>
    <mergeCell ref="M412:Q412"/>
    <mergeCell ref="M401:S401"/>
    <mergeCell ref="A401:L402"/>
    <mergeCell ref="M402:S402"/>
    <mergeCell ref="A403:W403"/>
    <mergeCell ref="A404:W404"/>
    <mergeCell ref="A405:W405"/>
    <mergeCell ref="D406:E406"/>
    <mergeCell ref="M406:Q406"/>
    <mergeCell ref="D407:E407"/>
    <mergeCell ref="M407:Q407"/>
    <mergeCell ref="A395:W395"/>
    <mergeCell ref="D396:E396"/>
    <mergeCell ref="M396:Q396"/>
    <mergeCell ref="M397:S397"/>
    <mergeCell ref="A397:L398"/>
    <mergeCell ref="M398:S398"/>
    <mergeCell ref="A399:W399"/>
    <mergeCell ref="D400:E400"/>
    <mergeCell ref="M400:Q400"/>
    <mergeCell ref="D390:E390"/>
    <mergeCell ref="M390:Q390"/>
    <mergeCell ref="D391:E391"/>
    <mergeCell ref="M391:Q391"/>
    <mergeCell ref="D392:E392"/>
    <mergeCell ref="M392:Q392"/>
    <mergeCell ref="M393:S393"/>
    <mergeCell ref="A393:L394"/>
    <mergeCell ref="M394:S394"/>
    <mergeCell ref="A385:W385"/>
    <mergeCell ref="D386:E386"/>
    <mergeCell ref="M386:Q386"/>
    <mergeCell ref="D387:E387"/>
    <mergeCell ref="M387:Q387"/>
    <mergeCell ref="D388:E388"/>
    <mergeCell ref="M388:Q388"/>
    <mergeCell ref="D389:E389"/>
    <mergeCell ref="M389:Q389"/>
    <mergeCell ref="A379:W379"/>
    <mergeCell ref="A380:W380"/>
    <mergeCell ref="D381:E381"/>
    <mergeCell ref="M381:Q381"/>
    <mergeCell ref="D382:E382"/>
    <mergeCell ref="M382:Q382"/>
    <mergeCell ref="M383:S383"/>
    <mergeCell ref="A383:L384"/>
    <mergeCell ref="M384:S384"/>
    <mergeCell ref="A373:W373"/>
    <mergeCell ref="D374:E374"/>
    <mergeCell ref="M374:Q374"/>
    <mergeCell ref="D375:E375"/>
    <mergeCell ref="M375:Q375"/>
    <mergeCell ref="D376:E376"/>
    <mergeCell ref="M376:Q376"/>
    <mergeCell ref="M377:S377"/>
    <mergeCell ref="A377:L378"/>
    <mergeCell ref="M378:S378"/>
    <mergeCell ref="D366:E366"/>
    <mergeCell ref="M366:Q366"/>
    <mergeCell ref="M367:S367"/>
    <mergeCell ref="A367:L368"/>
    <mergeCell ref="M368:S368"/>
    <mergeCell ref="A369:W369"/>
    <mergeCell ref="D370:E370"/>
    <mergeCell ref="M370:Q370"/>
    <mergeCell ref="M371:S371"/>
    <mergeCell ref="A371:L372"/>
    <mergeCell ref="M372:S372"/>
    <mergeCell ref="M360:S360"/>
    <mergeCell ref="A360:L361"/>
    <mergeCell ref="M361:S361"/>
    <mergeCell ref="A362:W362"/>
    <mergeCell ref="D363:E363"/>
    <mergeCell ref="M363:Q363"/>
    <mergeCell ref="D364:E364"/>
    <mergeCell ref="M364:Q364"/>
    <mergeCell ref="D365:E365"/>
    <mergeCell ref="M365:Q365"/>
    <mergeCell ref="D355:E355"/>
    <mergeCell ref="M355:Q355"/>
    <mergeCell ref="D356:E356"/>
    <mergeCell ref="M356:Q356"/>
    <mergeCell ref="D357:E357"/>
    <mergeCell ref="M357:Q357"/>
    <mergeCell ref="D358:E358"/>
    <mergeCell ref="M358:Q358"/>
    <mergeCell ref="D359:E359"/>
    <mergeCell ref="M359:Q359"/>
    <mergeCell ref="D350:E350"/>
    <mergeCell ref="M350:Q350"/>
    <mergeCell ref="D351:E351"/>
    <mergeCell ref="M351:Q351"/>
    <mergeCell ref="D352:E352"/>
    <mergeCell ref="M352:Q352"/>
    <mergeCell ref="D353:E353"/>
    <mergeCell ref="M353:Q353"/>
    <mergeCell ref="D354:E354"/>
    <mergeCell ref="M354:Q354"/>
    <mergeCell ref="M344:S344"/>
    <mergeCell ref="A344:L345"/>
    <mergeCell ref="M345:S345"/>
    <mergeCell ref="A346:W346"/>
    <mergeCell ref="D347:E347"/>
    <mergeCell ref="M347:Q347"/>
    <mergeCell ref="D348:E348"/>
    <mergeCell ref="M348:Q348"/>
    <mergeCell ref="D349:E349"/>
    <mergeCell ref="M349:Q349"/>
    <mergeCell ref="M337:S337"/>
    <mergeCell ref="A337:L338"/>
    <mergeCell ref="M338:S338"/>
    <mergeCell ref="A339:W339"/>
    <mergeCell ref="A340:W340"/>
    <mergeCell ref="A341:W341"/>
    <mergeCell ref="D342:E342"/>
    <mergeCell ref="M342:Q342"/>
    <mergeCell ref="D343:E343"/>
    <mergeCell ref="M343:Q343"/>
    <mergeCell ref="D331:E331"/>
    <mergeCell ref="M331:Q331"/>
    <mergeCell ref="D332:E332"/>
    <mergeCell ref="M332:Q332"/>
    <mergeCell ref="M333:S333"/>
    <mergeCell ref="A333:L334"/>
    <mergeCell ref="M334:S334"/>
    <mergeCell ref="A335:W335"/>
    <mergeCell ref="D336:E336"/>
    <mergeCell ref="M336:Q336"/>
    <mergeCell ref="D325:E325"/>
    <mergeCell ref="M325:Q325"/>
    <mergeCell ref="M326:S326"/>
    <mergeCell ref="A326:L327"/>
    <mergeCell ref="M327:S327"/>
    <mergeCell ref="A328:W328"/>
    <mergeCell ref="D329:E329"/>
    <mergeCell ref="M329:Q329"/>
    <mergeCell ref="D330:E330"/>
    <mergeCell ref="M330:Q330"/>
    <mergeCell ref="D319:E319"/>
    <mergeCell ref="M319:Q319"/>
    <mergeCell ref="D320:E320"/>
    <mergeCell ref="M320:Q320"/>
    <mergeCell ref="M321:S321"/>
    <mergeCell ref="A321:L322"/>
    <mergeCell ref="M322:S322"/>
    <mergeCell ref="A323:W323"/>
    <mergeCell ref="D324:E324"/>
    <mergeCell ref="M324:Q324"/>
    <mergeCell ref="M313:S313"/>
    <mergeCell ref="A313:L314"/>
    <mergeCell ref="M314:S314"/>
    <mergeCell ref="A315:W315"/>
    <mergeCell ref="A316:W316"/>
    <mergeCell ref="D317:E317"/>
    <mergeCell ref="M317:Q317"/>
    <mergeCell ref="D318:E318"/>
    <mergeCell ref="M318:Q318"/>
    <mergeCell ref="A307:W307"/>
    <mergeCell ref="D308:E308"/>
    <mergeCell ref="M308:Q308"/>
    <mergeCell ref="M309:S309"/>
    <mergeCell ref="A309:L310"/>
    <mergeCell ref="M310:S310"/>
    <mergeCell ref="A311:W311"/>
    <mergeCell ref="D312:E312"/>
    <mergeCell ref="M312:Q312"/>
    <mergeCell ref="M301:S301"/>
    <mergeCell ref="A301:L302"/>
    <mergeCell ref="M302:S302"/>
    <mergeCell ref="A303:W303"/>
    <mergeCell ref="D304:E304"/>
    <mergeCell ref="M304:Q304"/>
    <mergeCell ref="M305:S305"/>
    <mergeCell ref="A305:L306"/>
    <mergeCell ref="M306:S306"/>
    <mergeCell ref="D295:E295"/>
    <mergeCell ref="M295:Q295"/>
    <mergeCell ref="M296:S296"/>
    <mergeCell ref="A296:L297"/>
    <mergeCell ref="M297:S297"/>
    <mergeCell ref="A298:W298"/>
    <mergeCell ref="D299:E299"/>
    <mergeCell ref="M299:Q299"/>
    <mergeCell ref="D300:E300"/>
    <mergeCell ref="M300:Q300"/>
    <mergeCell ref="D290:E290"/>
    <mergeCell ref="M290:Q290"/>
    <mergeCell ref="D291:E291"/>
    <mergeCell ref="M291:Q291"/>
    <mergeCell ref="D292:E292"/>
    <mergeCell ref="M292:Q292"/>
    <mergeCell ref="D293:E293"/>
    <mergeCell ref="M293:Q293"/>
    <mergeCell ref="D294:E294"/>
    <mergeCell ref="M294:Q294"/>
    <mergeCell ref="M283:S283"/>
    <mergeCell ref="A283:L284"/>
    <mergeCell ref="M284:S284"/>
    <mergeCell ref="A285:W285"/>
    <mergeCell ref="A286:W286"/>
    <mergeCell ref="A287:W287"/>
    <mergeCell ref="D288:E288"/>
    <mergeCell ref="M288:Q288"/>
    <mergeCell ref="D289:E289"/>
    <mergeCell ref="M289:Q289"/>
    <mergeCell ref="A277:W277"/>
    <mergeCell ref="D278:E278"/>
    <mergeCell ref="M278:Q278"/>
    <mergeCell ref="M279:S279"/>
    <mergeCell ref="A279:L280"/>
    <mergeCell ref="M280:S280"/>
    <mergeCell ref="A281:W281"/>
    <mergeCell ref="D282:E282"/>
    <mergeCell ref="M282:Q282"/>
    <mergeCell ref="A271:W271"/>
    <mergeCell ref="D272:E272"/>
    <mergeCell ref="M272:Q272"/>
    <mergeCell ref="D273:E273"/>
    <mergeCell ref="M273:Q273"/>
    <mergeCell ref="D274:E274"/>
    <mergeCell ref="M274:Q274"/>
    <mergeCell ref="M275:S275"/>
    <mergeCell ref="A275:L276"/>
    <mergeCell ref="M276:S276"/>
    <mergeCell ref="A265:W265"/>
    <mergeCell ref="A266:W266"/>
    <mergeCell ref="D267:E267"/>
    <mergeCell ref="M267:Q267"/>
    <mergeCell ref="D268:E268"/>
    <mergeCell ref="M268:Q268"/>
    <mergeCell ref="M269:S269"/>
    <mergeCell ref="A269:L270"/>
    <mergeCell ref="M270:S270"/>
    <mergeCell ref="M258:S258"/>
    <mergeCell ref="A258:L259"/>
    <mergeCell ref="M259:S259"/>
    <mergeCell ref="A260:W260"/>
    <mergeCell ref="D261:E261"/>
    <mergeCell ref="M261:Q261"/>
    <mergeCell ref="D262:E262"/>
    <mergeCell ref="M262:Q262"/>
    <mergeCell ref="M263:S263"/>
    <mergeCell ref="A263:L264"/>
    <mergeCell ref="M264:S264"/>
    <mergeCell ref="D253:E253"/>
    <mergeCell ref="M253:Q253"/>
    <mergeCell ref="D254:E254"/>
    <mergeCell ref="M254:Q254"/>
    <mergeCell ref="D255:E255"/>
    <mergeCell ref="M255:Q255"/>
    <mergeCell ref="D256:E256"/>
    <mergeCell ref="M256:Q256"/>
    <mergeCell ref="D257:E257"/>
    <mergeCell ref="M257:Q257"/>
    <mergeCell ref="M247:S247"/>
    <mergeCell ref="A247:L248"/>
    <mergeCell ref="M248:S248"/>
    <mergeCell ref="A249:W249"/>
    <mergeCell ref="A250:W250"/>
    <mergeCell ref="D251:E251"/>
    <mergeCell ref="M251:Q251"/>
    <mergeCell ref="D252:E252"/>
    <mergeCell ref="M252:Q252"/>
    <mergeCell ref="M241:S241"/>
    <mergeCell ref="A241:L242"/>
    <mergeCell ref="M242:S242"/>
    <mergeCell ref="A243:W243"/>
    <mergeCell ref="D244:E244"/>
    <mergeCell ref="M244:Q244"/>
    <mergeCell ref="D245:E245"/>
    <mergeCell ref="M245:Q245"/>
    <mergeCell ref="D246:E246"/>
    <mergeCell ref="M246:Q246"/>
    <mergeCell ref="M235:S235"/>
    <mergeCell ref="A235:L236"/>
    <mergeCell ref="M236:S236"/>
    <mergeCell ref="A237:W237"/>
    <mergeCell ref="D238:E238"/>
    <mergeCell ref="M238:Q238"/>
    <mergeCell ref="D239:E239"/>
    <mergeCell ref="M239:Q239"/>
    <mergeCell ref="D240:E240"/>
    <mergeCell ref="M240:Q240"/>
    <mergeCell ref="A230:W230"/>
    <mergeCell ref="D231:E231"/>
    <mergeCell ref="M231:Q231"/>
    <mergeCell ref="D232:E232"/>
    <mergeCell ref="M232:Q232"/>
    <mergeCell ref="D233:E233"/>
    <mergeCell ref="M233:Q233"/>
    <mergeCell ref="D234:E234"/>
    <mergeCell ref="M234:Q234"/>
    <mergeCell ref="D225:E225"/>
    <mergeCell ref="M225:Q225"/>
    <mergeCell ref="D226:E226"/>
    <mergeCell ref="M226:Q226"/>
    <mergeCell ref="D227:E227"/>
    <mergeCell ref="M227:Q227"/>
    <mergeCell ref="M228:S228"/>
    <mergeCell ref="A228:L229"/>
    <mergeCell ref="M229:S229"/>
    <mergeCell ref="M219:S219"/>
    <mergeCell ref="A219:L220"/>
    <mergeCell ref="M220:S220"/>
    <mergeCell ref="A221:W221"/>
    <mergeCell ref="D222:E222"/>
    <mergeCell ref="M222:Q222"/>
    <mergeCell ref="D223:E223"/>
    <mergeCell ref="M223:Q223"/>
    <mergeCell ref="D224:E224"/>
    <mergeCell ref="M224:Q224"/>
    <mergeCell ref="A214:W214"/>
    <mergeCell ref="D215:E215"/>
    <mergeCell ref="M215:Q215"/>
    <mergeCell ref="D216:E216"/>
    <mergeCell ref="M216:Q216"/>
    <mergeCell ref="D217:E217"/>
    <mergeCell ref="M217:Q217"/>
    <mergeCell ref="D218:E218"/>
    <mergeCell ref="M218:Q218"/>
    <mergeCell ref="D207:E207"/>
    <mergeCell ref="M207:Q207"/>
    <mergeCell ref="M208:S208"/>
    <mergeCell ref="A208:L209"/>
    <mergeCell ref="M209:S209"/>
    <mergeCell ref="A210:W210"/>
    <mergeCell ref="D211:E211"/>
    <mergeCell ref="M211:Q211"/>
    <mergeCell ref="M212:S212"/>
    <mergeCell ref="A212:L213"/>
    <mergeCell ref="M213:S213"/>
    <mergeCell ref="D202:E202"/>
    <mergeCell ref="M202:Q202"/>
    <mergeCell ref="D203:E203"/>
    <mergeCell ref="M203:Q203"/>
    <mergeCell ref="D204:E204"/>
    <mergeCell ref="M204:Q204"/>
    <mergeCell ref="D205:E205"/>
    <mergeCell ref="M205:Q205"/>
    <mergeCell ref="D206:E206"/>
    <mergeCell ref="M206:Q20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A192:W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A186:W186"/>
    <mergeCell ref="D187:E187"/>
    <mergeCell ref="M187:Q187"/>
    <mergeCell ref="D188:E188"/>
    <mergeCell ref="M188:Q188"/>
    <mergeCell ref="M189:S189"/>
    <mergeCell ref="A189:L190"/>
    <mergeCell ref="M190:S190"/>
    <mergeCell ref="A191:W191"/>
    <mergeCell ref="D181:E181"/>
    <mergeCell ref="M181:Q181"/>
    <mergeCell ref="D182:E182"/>
    <mergeCell ref="M182:Q182"/>
    <mergeCell ref="D183:E183"/>
    <mergeCell ref="M183:Q183"/>
    <mergeCell ref="M184:S184"/>
    <mergeCell ref="A184:L185"/>
    <mergeCell ref="M185:S18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80:E180"/>
    <mergeCell ref="M180:Q18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A166:W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60:E160"/>
    <mergeCell ref="M160:Q160"/>
    <mergeCell ref="D161:E161"/>
    <mergeCell ref="M161:Q161"/>
    <mergeCell ref="D162:E162"/>
    <mergeCell ref="M162:Q162"/>
    <mergeCell ref="D163:E163"/>
    <mergeCell ref="M163:Q163"/>
    <mergeCell ref="M164:S164"/>
    <mergeCell ref="A164:L165"/>
    <mergeCell ref="M165:S165"/>
    <mergeCell ref="A154:W154"/>
    <mergeCell ref="D155:E155"/>
    <mergeCell ref="M155:Q155"/>
    <mergeCell ref="D156:E156"/>
    <mergeCell ref="M156:Q156"/>
    <mergeCell ref="M157:S157"/>
    <mergeCell ref="A157:L158"/>
    <mergeCell ref="M158:S158"/>
    <mergeCell ref="A159:W159"/>
    <mergeCell ref="A148:W148"/>
    <mergeCell ref="A149:W149"/>
    <mergeCell ref="D150:E150"/>
    <mergeCell ref="M150:Q150"/>
    <mergeCell ref="D151:E151"/>
    <mergeCell ref="M151:Q151"/>
    <mergeCell ref="M152:S152"/>
    <mergeCell ref="A152:L153"/>
    <mergeCell ref="M153:S153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M146:S146"/>
    <mergeCell ref="A146:L147"/>
    <mergeCell ref="M147:S147"/>
    <mergeCell ref="A136:W136"/>
    <mergeCell ref="A137:W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A130:W130"/>
    <mergeCell ref="D131:E131"/>
    <mergeCell ref="M131:Q131"/>
    <mergeCell ref="D132:E132"/>
    <mergeCell ref="M132:Q132"/>
    <mergeCell ref="D133:E133"/>
    <mergeCell ref="M133:Q133"/>
    <mergeCell ref="M134:S134"/>
    <mergeCell ref="A134:L135"/>
    <mergeCell ref="M135:S135"/>
    <mergeCell ref="D124:E124"/>
    <mergeCell ref="M124:Q124"/>
    <mergeCell ref="D125:E125"/>
    <mergeCell ref="M125:Q125"/>
    <mergeCell ref="M126:S126"/>
    <mergeCell ref="A126:L127"/>
    <mergeCell ref="M127:S127"/>
    <mergeCell ref="A128:W128"/>
    <mergeCell ref="A129:W129"/>
    <mergeCell ref="M118:S118"/>
    <mergeCell ref="A118:L119"/>
    <mergeCell ref="M119:S119"/>
    <mergeCell ref="A120:W120"/>
    <mergeCell ref="A121:W121"/>
    <mergeCell ref="D122:E122"/>
    <mergeCell ref="M122:Q122"/>
    <mergeCell ref="D123:E123"/>
    <mergeCell ref="M123:Q123"/>
    <mergeCell ref="A113:W113"/>
    <mergeCell ref="D114:E114"/>
    <mergeCell ref="M114:Q114"/>
    <mergeCell ref="D115:E115"/>
    <mergeCell ref="M115:Q115"/>
    <mergeCell ref="D116:E116"/>
    <mergeCell ref="M116:Q116"/>
    <mergeCell ref="D117:E117"/>
    <mergeCell ref="M117:Q117"/>
    <mergeCell ref="D107:E107"/>
    <mergeCell ref="M107:Q107"/>
    <mergeCell ref="D108:E108"/>
    <mergeCell ref="M108:Q108"/>
    <mergeCell ref="D109:E109"/>
    <mergeCell ref="M109:Q109"/>
    <mergeCell ref="D110:E110"/>
    <mergeCell ref="M110:Q110"/>
    <mergeCell ref="M111:S111"/>
    <mergeCell ref="A111:L112"/>
    <mergeCell ref="M112:S112"/>
    <mergeCell ref="M101:S101"/>
    <mergeCell ref="A101:L102"/>
    <mergeCell ref="M102:S102"/>
    <mergeCell ref="A103:W103"/>
    <mergeCell ref="D104:E104"/>
    <mergeCell ref="M104:Q104"/>
    <mergeCell ref="D105:E105"/>
    <mergeCell ref="M105:Q105"/>
    <mergeCell ref="D106:E106"/>
    <mergeCell ref="M106:Q106"/>
    <mergeCell ref="D96:E96"/>
    <mergeCell ref="M96:Q96"/>
    <mergeCell ref="D97:E97"/>
    <mergeCell ref="M97:Q97"/>
    <mergeCell ref="D98:E98"/>
    <mergeCell ref="M98:Q98"/>
    <mergeCell ref="D99:E99"/>
    <mergeCell ref="M99:Q99"/>
    <mergeCell ref="D100:E100"/>
    <mergeCell ref="M100:Q100"/>
    <mergeCell ref="A91:W91"/>
    <mergeCell ref="D92:E92"/>
    <mergeCell ref="M92:Q92"/>
    <mergeCell ref="D93:E93"/>
    <mergeCell ref="M93:Q93"/>
    <mergeCell ref="D94:E94"/>
    <mergeCell ref="M94:Q94"/>
    <mergeCell ref="D95:E95"/>
    <mergeCell ref="M95:Q95"/>
    <mergeCell ref="D85:E85"/>
    <mergeCell ref="M85:Q85"/>
    <mergeCell ref="D86:E86"/>
    <mergeCell ref="M86:Q86"/>
    <mergeCell ref="D87:E87"/>
    <mergeCell ref="M87:Q87"/>
    <mergeCell ref="D88:E88"/>
    <mergeCell ref="M88:Q88"/>
    <mergeCell ref="M89:S89"/>
    <mergeCell ref="A89:L90"/>
    <mergeCell ref="M90:S90"/>
    <mergeCell ref="D79:E79"/>
    <mergeCell ref="M79:Q79"/>
    <mergeCell ref="M80:S80"/>
    <mergeCell ref="A80:L81"/>
    <mergeCell ref="M81:S81"/>
    <mergeCell ref="A82:W82"/>
    <mergeCell ref="D83:E83"/>
    <mergeCell ref="M83:Q83"/>
    <mergeCell ref="D84:E84"/>
    <mergeCell ref="M84:Q84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priority="12" dxfId="0" stopIfTrue="1">
      <formula>IF($S$5="самовывоз",1,0)</formula>
    </cfRule>
  </conditionalFormatting>
  <conditionalFormatting sqref="H10:K10">
    <cfRule type="expression" priority="7" dxfId="0" stopIfTrue="1">
      <formula>IF($S$5="самовывоз",1,0)</formula>
    </cfRule>
  </conditionalFormatting>
  <conditionalFormatting sqref="J9:K9">
    <cfRule type="expression" priority="6" dxfId="0" stopIfTrue="1">
      <formula>IF($S$5="самовывоз",1,0)</formula>
    </cfRule>
  </conditionalFormatting>
  <conditionalFormatting sqref="H9:I9">
    <cfRule type="expression" priority="5" dxfId="0" stopIfTrue="1">
      <formula>IF($S$5="самовывоз",1,0)</formula>
    </cfRule>
  </conditionalFormatting>
  <conditionalFormatting sqref="F9:G9">
    <cfRule type="expression" priority="4" dxfId="0" stopIfTrue="1">
      <formula>IF($S$5="самовывоз",1,0)</formula>
    </cfRule>
  </conditionalFormatting>
  <conditionalFormatting sqref="F10:G10">
    <cfRule type="expression" priority="3" dxfId="0" stopIfTrue="1">
      <formula>IF($S$5="самовывоз",1,0)</formula>
    </cfRule>
  </conditionalFormatting>
  <conditionalFormatting sqref="D9:E9">
    <cfRule type="expression" priority="2" dxfId="0" stopIfTrue="1">
      <formula>IF($S$5="самовывоз",1,0)</formula>
    </cfRule>
  </conditionalFormatting>
  <conditionalFormatting sqref="D10:E10">
    <cfRule type="expression" priority="1" dxfId="0" stopIfTrue="1">
      <formula>IF($S$5="самовывоз",1,0)</formula>
    </cfRule>
  </conditionalFormatting>
  <dataValidations xWindow="697" yWindow="616" count="16">
    <dataValidation sqref="N6:N7" showErrorMessage="1" showInputMessage="1" allowBlank="1" prompt="День недели загрузки. Считается сам."/>
    <dataValidation sqref="U16:Y16" showErrorMessage="1" showInputMessage="1" allowBlank="1" type="list">
      <formula1>"80-60,60-40,40-10,70-10"</formula1>
    </dataValidation>
    <dataValidation sqref="N5:O5" showErrorMessage="1" showInputMessage="1" allowBlank="1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S6:S7" showErrorMessage="1" showInputMessage="1" allowBlank="1" prompt="Введите название вашей фирмы."/>
    <dataValidation sqref="S10" showErrorMessage="1" showInputMessage="1" allowBlank="1" prompt="Введите код клиента в системе Axapta"/>
    <dataValidation sqref="S11:T11" showErrorMessage="1" showInputMessage="1" allowBlank="1" prompt="Определите тип Вашего заказа" type="list">
      <formula1>"Основной заказ, Дозаказ, Замена"</formula1>
    </dataValidation>
    <dataValidation sqref="D6:K6" showErrorMessage="1" showInputMessage="1" allowBlank="1" type="list">
      <formula1>DeliveryAdressList</formula1>
    </dataValidation>
    <dataValidation sqref="S5:T5" showErrorMessage="1" showInputMessage="1" allowBlank="1" errorTitle="Внимание!" error="Выберите значение из списка_x000a_" prompt="Выберите значение из списка" type="list">
      <formula1>DeliveryMethodList</formula1>
    </dataValidation>
    <dataValidation sqref="D8:K8" showErrorMessage="1" showInputMessage="1" allowBlank="1" type="list">
      <formula1>CHOOSE($D$7,UnloadAdressList0001,UnloadAdressList0002,UnloadAdressList0003,UnloadAdressList0004,UnloadAdressList0005,UnloadAdressList0006,UnloadAdressList0007,UnloadAdressList0008,UnloadAdressList0009)</formula1>
    </dataValidation>
    <dataValidation sqref="N8:O8" showErrorMessage="1" showInput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N10:O13" showErrorMessage="1" showInputMessage="1" allowBlank="1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N9:O9" showErrorMessage="1" showInputMessage="1" allowBlank="1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ErrorMessage="1" showInputMessage="1" allowBlank="1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ErrorMessage="1" showInputMessage="1" allowBlank="1" type="list">
      <formula1>IF(TypeProxy="Уполномоченное лицо",NumProxySet,null)</formula1>
    </dataValidation>
    <dataValidation sqref="W22:Y22" showErrorMessage="1" showInputMessage="1" allowBlank="1" error="укажите вес, кратный весу коробки" operator="equal"/>
    <dataValidation sqref="S12" showErrorMessage="1" showInputMessage="1" allowBlank="1" type="list">
      <formula1>DeliveryConditionsList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44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Крым Респ, Симферополь г, Данилова ул, 43В, лит В, офис 4,</t>
        </is>
      </c>
      <c r="C6" s="54" t="inlineStr">
        <is>
          <t>590704_1</t>
        </is>
      </c>
      <c r="D6" s="54" t="inlineStr">
        <is>
          <t>1</t>
        </is>
      </c>
      <c r="E6" s="54" t="inlineStr"/>
    </row>
    <row r="7">
      <c r="B7" s="54" t="inlineStr">
        <is>
          <t>ЛП, ООО, Орловская обл, Орёл г, Ливенская ул, д.78,</t>
        </is>
      </c>
      <c r="C7" s="54" t="inlineStr">
        <is>
          <t>590704_2</t>
        </is>
      </c>
      <c r="D7" s="54" t="inlineStr">
        <is>
          <t>2</t>
        </is>
      </c>
      <c r="E7" s="54" t="inlineStr"/>
    </row>
    <row r="8">
      <c r="B8" s="54" t="inlineStr">
        <is>
          <t>ЛП, ООО, (сеть) Крым Респ, Симферополь г, Данилова ул, д. 43В, лит В, офис 4,</t>
        </is>
      </c>
      <c r="C8" s="54" t="inlineStr">
        <is>
          <t>590704_3</t>
        </is>
      </c>
      <c r="D8" s="54" t="inlineStr">
        <is>
          <t>3</t>
        </is>
      </c>
      <c r="E8" s="54" t="inlineStr"/>
    </row>
    <row r="9">
      <c r="B9" s="54" t="inlineStr">
        <is>
          <t>ЛП, ООО, Крым Респ, Симферополь г, Данилова ул, д. 43В, лит В, офис 4</t>
        </is>
      </c>
      <c r="C9" s="54" t="inlineStr">
        <is>
          <t>590704_5</t>
        </is>
      </c>
      <c r="D9" s="54" t="inlineStr">
        <is>
          <t>4</t>
        </is>
      </c>
      <c r="E9" s="54" t="inlineStr"/>
    </row>
    <row r="10">
      <c r="B10" s="54" t="inlineStr">
        <is>
          <t>ЛП, ООО, 73009, Херсон г, Некрасова ул, 2,</t>
        </is>
      </c>
      <c r="C10" s="54" t="inlineStr">
        <is>
          <t>590704_4</t>
        </is>
      </c>
      <c r="D10" s="54" t="inlineStr">
        <is>
          <t>5</t>
        </is>
      </c>
      <c r="E10" s="54" t="inlineStr"/>
    </row>
    <row r="11">
      <c r="B11" s="54" t="inlineStr">
        <is>
          <t>ЛП, ООО, Краснодарский край, Сочи г, Фурманова ул, д. 12Г,</t>
        </is>
      </c>
      <c r="C11" s="54" t="inlineStr">
        <is>
          <t>590704_6</t>
        </is>
      </c>
      <c r="D11" s="54" t="inlineStr">
        <is>
          <t>6</t>
        </is>
      </c>
      <c r="E11" s="54" t="inlineStr"/>
    </row>
    <row r="12">
      <c r="B12" s="54" t="inlineStr">
        <is>
          <t>ЛП, ООО, Краснодарский край, Сочи г, Строительный пер, д. 10А,</t>
        </is>
      </c>
      <c r="C12" s="54" t="inlineStr">
        <is>
          <t>590704_7</t>
        </is>
      </c>
      <c r="D12" s="54" t="inlineStr">
        <is>
          <t>7</t>
        </is>
      </c>
      <c r="E12" s="54" t="inlineStr"/>
    </row>
    <row r="13">
      <c r="B13" s="54" t="inlineStr">
        <is>
          <t>ЛП, ООО, Краснодарский край, Краснодар г, им Вишняковой проезд, д. 1/5,</t>
        </is>
      </c>
      <c r="C13" s="54" t="inlineStr">
        <is>
          <t>590704_8</t>
        </is>
      </c>
      <c r="D13" s="54" t="inlineStr">
        <is>
          <t>8</t>
        </is>
      </c>
      <c r="E13" s="54" t="inlineStr"/>
    </row>
    <row r="14">
      <c r="B14" s="54" t="inlineStr">
        <is>
          <t>ЛП, ООО, Ростовская обл, Ростов-на-Дону г, Фермерский пер, д. 66, литер Д,</t>
        </is>
      </c>
      <c r="C14" s="54" t="inlineStr">
        <is>
          <t>590704_9</t>
        </is>
      </c>
      <c r="D14" s="54" t="inlineStr">
        <is>
          <t>9</t>
        </is>
      </c>
      <c r="E14" s="54" t="inlineStr"/>
    </row>
    <row r="16">
      <c r="B16" s="54" t="inlineStr">
        <is>
          <t>295021Российская Федерация, Крым Респ, Симферополь г, Данилова ул, 43В, лит В, офис 4,</t>
        </is>
      </c>
      <c r="C16" s="54" t="inlineStr">
        <is>
          <t>590704_1</t>
        </is>
      </c>
      <c r="D16" s="54" t="inlineStr"/>
      <c r="E16" s="54" t="inlineStr"/>
    </row>
    <row r="18">
      <c r="B18" s="54" t="inlineStr">
        <is>
          <t>302004Российская Федерация, Орловская обл, Орёл г, Ливенская ул, д.78,</t>
        </is>
      </c>
      <c r="C18" s="54" t="inlineStr">
        <is>
          <t>590704_2</t>
        </is>
      </c>
      <c r="D18" s="54" t="inlineStr"/>
      <c r="E18" s="54" t="inlineStr"/>
    </row>
    <row r="20">
      <c r="B20" s="54" t="inlineStr">
        <is>
          <t>295021Российская Федерация, Крым Респ, Симферополь г, Данилова ул, д. 43В, лит В, офис 4,</t>
        </is>
      </c>
      <c r="C20" s="54" t="inlineStr">
        <is>
          <t>590704_3</t>
        </is>
      </c>
      <c r="D20" s="54" t="inlineStr"/>
      <c r="E20" s="54" t="inlineStr"/>
    </row>
    <row r="22">
      <c r="B22" s="54" t="inlineStr">
        <is>
          <t>295021Российская Федерация, Крым Респ, Симферополь г, Данилова ул, д. 43В, лит В, офис 4</t>
        </is>
      </c>
      <c r="C22" s="54" t="inlineStr">
        <is>
          <t>590704_5</t>
        </is>
      </c>
      <c r="D22" s="54" t="inlineStr"/>
      <c r="E22" s="54" t="inlineStr"/>
    </row>
    <row r="24">
      <c r="B24" s="54" t="inlineStr">
        <is>
          <t>Российская Федерация, Херсонская обл, Херсон г, Некрасова ул, д. 2,</t>
        </is>
      </c>
      <c r="C24" s="54" t="inlineStr">
        <is>
          <t>590704_4</t>
        </is>
      </c>
      <c r="D24" s="54" t="inlineStr"/>
      <c r="E24" s="54" t="inlineStr"/>
    </row>
    <row r="26">
      <c r="B26" s="54" t="inlineStr">
        <is>
          <t>354024Российская Федерация, Краснодарский край, Сочи г, Фурманова ул, д. 12Г,</t>
        </is>
      </c>
      <c r="C26" s="54" t="inlineStr">
        <is>
          <t>590704_6</t>
        </is>
      </c>
      <c r="D26" s="54" t="inlineStr"/>
      <c r="E26" s="54" t="inlineStr"/>
    </row>
    <row r="28">
      <c r="B28" s="54" t="inlineStr">
        <is>
          <t>354068Российская Федерация, Краснодарский край, Сочи г, Строительный пер, д. 10А,</t>
        </is>
      </c>
      <c r="C28" s="54" t="inlineStr">
        <is>
          <t>590704_7</t>
        </is>
      </c>
      <c r="D28" s="54" t="inlineStr"/>
      <c r="E28" s="54" t="inlineStr"/>
    </row>
    <row r="30">
      <c r="B30" s="54" t="inlineStr">
        <is>
          <t>350001Российская Федерация, Краснодарский край, Краснодар г, им Вишняковой проезд, д. 1/5,</t>
        </is>
      </c>
      <c r="C30" s="54" t="inlineStr">
        <is>
          <t>590704_8</t>
        </is>
      </c>
      <c r="D30" s="54" t="inlineStr"/>
      <c r="E30" s="54" t="inlineStr"/>
    </row>
    <row r="32">
      <c r="B32" s="54" t="inlineStr">
        <is>
          <t>344055Российская Федерация, Ростовская обл, Ростов-на-Дону г, Фермерский пер, д. 66, литер Д,</t>
        </is>
      </c>
      <c r="C32" s="54" t="inlineStr">
        <is>
          <t>590704_9</t>
        </is>
      </c>
      <c r="D32" s="54" t="inlineStr"/>
      <c r="E32" s="54" t="inlineStr"/>
    </row>
    <row r="34">
      <c r="B34" s="54" t="inlineStr">
        <is>
          <t>CFR</t>
        </is>
      </c>
      <c r="C34" s="54" t="inlineStr"/>
      <c r="D34" s="54" t="inlineStr"/>
      <c r="E34" s="54" t="inlineStr"/>
    </row>
    <row r="35">
      <c r="B35" s="54" t="inlineStr">
        <is>
          <t>CIF</t>
        </is>
      </c>
      <c r="C35" s="54" t="inlineStr"/>
      <c r="D35" s="54" t="inlineStr"/>
      <c r="E35" s="54" t="inlineStr"/>
    </row>
    <row r="36">
      <c r="B36" s="54" t="inlineStr">
        <is>
          <t>CIP</t>
        </is>
      </c>
      <c r="C36" s="54" t="inlineStr"/>
      <c r="D36" s="54" t="inlineStr"/>
      <c r="E36" s="54" t="inlineStr"/>
    </row>
    <row r="37">
      <c r="B37" s="54" t="inlineStr">
        <is>
          <t>CPT</t>
        </is>
      </c>
      <c r="C37" s="54" t="inlineStr"/>
      <c r="D37" s="54" t="inlineStr"/>
      <c r="E37" s="54" t="inlineStr"/>
    </row>
    <row r="38">
      <c r="B38" s="54" t="inlineStr">
        <is>
          <t>DAP</t>
        </is>
      </c>
      <c r="C38" s="54" t="inlineStr"/>
      <c r="D38" s="54" t="inlineStr"/>
      <c r="E38" s="54" t="inlineStr"/>
    </row>
    <row r="39">
      <c r="B39" s="54" t="inlineStr">
        <is>
          <t>DAT</t>
        </is>
      </c>
      <c r="C39" s="54" t="inlineStr"/>
      <c r="D39" s="54" t="inlineStr"/>
      <c r="E39" s="54" t="inlineStr"/>
    </row>
    <row r="40">
      <c r="B40" s="54" t="inlineStr">
        <is>
          <t>DDP</t>
        </is>
      </c>
      <c r="C40" s="54" t="inlineStr"/>
      <c r="D40" s="54" t="inlineStr"/>
      <c r="E40" s="54" t="inlineStr"/>
    </row>
    <row r="41">
      <c r="B41" s="54" t="inlineStr">
        <is>
          <t>EXW</t>
        </is>
      </c>
      <c r="C41" s="54" t="inlineStr"/>
      <c r="D41" s="54" t="inlineStr"/>
      <c r="E41" s="54" t="inlineStr"/>
    </row>
    <row r="42">
      <c r="B42" s="54" t="inlineStr">
        <is>
          <t>FAS</t>
        </is>
      </c>
      <c r="C42" s="54" t="inlineStr"/>
      <c r="D42" s="54" t="inlineStr"/>
      <c r="E42" s="54" t="inlineStr"/>
    </row>
    <row r="43">
      <c r="B43" s="54" t="inlineStr">
        <is>
          <t>FCA</t>
        </is>
      </c>
      <c r="C43" s="54" t="inlineStr"/>
      <c r="D43" s="54" t="inlineStr"/>
      <c r="E43" s="54" t="inlineStr"/>
    </row>
    <row r="44">
      <c r="B44" s="54" t="inlineStr">
        <is>
          <t>FOB</t>
        </is>
      </c>
      <c r="C44" s="54" t="inlineStr"/>
      <c r="D44" s="54" t="inlineStr"/>
      <c r="E44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JyiN2ypZV/9SixWq+Fl6zg==" formatRows="1" sort="0" spinCount="100000" hashValue="wPMDKj/4gP3zAOyddpHirC0KS2NjNmNPD5RvvvG+u++gne2YlIleZAZh2zgA0YQJ9CXq3B83jen3q/I+tRY2kQ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2023-08-24T05:45:00Z</dcterms:modified>
  <cp:lastModifiedBy>Uaer4</cp:lastModifiedBy>
</cp:coreProperties>
</file>