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заказа'!$B$18:$W$274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83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17">
      <c r="A1" s="48" t="n"/>
      <c r="B1" s="48" t="n"/>
      <c r="C1" s="48" t="n"/>
      <c r="D1" s="336" t="inlineStr">
        <is>
          <t xml:space="preserve">  БЛАНК ЗАКАЗА </t>
        </is>
      </c>
      <c r="G1" s="14" t="inlineStr">
        <is>
          <t>ЗПФ</t>
        </is>
      </c>
      <c r="H1" s="336" t="inlineStr">
        <is>
          <t>на отгрузку продукции с ООО Трейд-Сервис с</t>
        </is>
      </c>
      <c r="O1" s="337" t="inlineStr">
        <is>
          <t>01.09.2023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17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17">
      <c r="A5" s="318" t="inlineStr">
        <is>
          <t xml:space="preserve">Ваш контактный телефон и имя: </t>
        </is>
      </c>
      <c r="B5" s="346" t="n"/>
      <c r="C5" s="347" t="n"/>
      <c r="D5" s="340" t="n"/>
      <c r="E5" s="348" t="n"/>
      <c r="F5" s="341" t="inlineStr">
        <is>
          <t>Комментарий к заказу:</t>
        </is>
      </c>
      <c r="G5" s="347" t="n"/>
      <c r="H5" s="340" t="n"/>
      <c r="I5" s="349" t="n"/>
      <c r="J5" s="349" t="n"/>
      <c r="K5" s="348" t="n"/>
      <c r="M5" s="29" t="inlineStr">
        <is>
          <t>Дата загрузки</t>
        </is>
      </c>
      <c r="N5" s="350" t="n">
        <v>45177</v>
      </c>
      <c r="O5" s="351" t="n"/>
      <c r="Q5" s="343" t="inlineStr">
        <is>
          <t>Способ доставки (доставка/самовывоз)</t>
        </is>
      </c>
      <c r="R5" s="352" t="n"/>
      <c r="S5" s="353" t="inlineStr">
        <is>
          <t>Самовывоз</t>
        </is>
      </c>
      <c r="T5" s="351" t="n"/>
      <c r="Y5" s="60" t="n"/>
      <c r="Z5" s="60" t="n"/>
      <c r="AA5" s="60" t="n"/>
    </row>
    <row r="6" ht="24" customFormat="1" customHeight="1" s="317">
      <c r="A6" s="318" t="inlineStr">
        <is>
          <t>Адрес доставки:</t>
        </is>
      </c>
      <c r="B6" s="346" t="n"/>
      <c r="C6" s="347" t="n"/>
      <c r="D6" s="319" t="inlineStr">
        <is>
          <t>ЛП, ООО, Крым Респ, Симферополь г, Данилова ул, 43В, лит В, офис 4,</t>
        </is>
      </c>
      <c r="E6" s="354" t="n"/>
      <c r="F6" s="354" t="n"/>
      <c r="G6" s="354" t="n"/>
      <c r="H6" s="354" t="n"/>
      <c r="I6" s="354" t="n"/>
      <c r="J6" s="354" t="n"/>
      <c r="K6" s="351" t="n"/>
      <c r="M6" s="29" t="inlineStr">
        <is>
          <t>День недели</t>
        </is>
      </c>
      <c r="N6" s="320">
        <f>IF(N5=0," ",CHOOSE(WEEKDAY(N5,2),"Понедельник","Вторник","Среда","Четверг","Пятница","Суббота","Воскресенье"))</f>
        <v/>
      </c>
      <c r="O6" s="355" t="n"/>
      <c r="Q6" s="322" t="inlineStr">
        <is>
          <t>Наименование клиента</t>
        </is>
      </c>
      <c r="R6" s="352" t="n"/>
      <c r="S6" s="356" t="inlineStr">
        <is>
          <t>ОБЩЕСТВО С ОГРАНИЧЕННОЙ ОТВЕТСТВЕННОСТЬЮ "ЛОГИСТИЧЕСКИЙ ПАРТНЕР"</t>
        </is>
      </c>
      <c r="T6" s="357" t="n"/>
      <c r="Y6" s="60" t="n"/>
      <c r="Z6" s="60" t="n"/>
      <c r="AA6" s="60" t="n"/>
    </row>
    <row r="7" hidden="1" ht="21.75" customFormat="1" customHeight="1" s="317">
      <c r="A7" s="65" t="n"/>
      <c r="B7" s="65" t="n"/>
      <c r="C7" s="65" t="n"/>
      <c r="D7" s="358">
        <f>IFERROR(VLOOKUP(DeliveryAddress,Table,3,0),1)</f>
        <v/>
      </c>
      <c r="E7" s="359" t="n"/>
      <c r="F7" s="359" t="n"/>
      <c r="G7" s="359" t="n"/>
      <c r="H7" s="359" t="n"/>
      <c r="I7" s="359" t="n"/>
      <c r="J7" s="359" t="n"/>
      <c r="K7" s="360" t="n"/>
      <c r="M7" s="29" t="n"/>
      <c r="N7" s="49" t="n"/>
      <c r="O7" s="49" t="n"/>
      <c r="Q7" s="1" t="n"/>
      <c r="R7" s="352" t="n"/>
      <c r="S7" s="361" t="n"/>
      <c r="T7" s="362" t="n"/>
      <c r="Y7" s="60" t="n"/>
      <c r="Z7" s="60" t="n"/>
      <c r="AA7" s="60" t="n"/>
    </row>
    <row r="8" ht="25.5" customFormat="1" customHeight="1" s="317">
      <c r="A8" s="332" t="inlineStr">
        <is>
          <t>Адрес сдачи груза:</t>
        </is>
      </c>
      <c r="B8" s="363" t="n"/>
      <c r="C8" s="364" t="n"/>
      <c r="D8" s="333" t="n"/>
      <c r="E8" s="365" t="n"/>
      <c r="F8" s="365" t="n"/>
      <c r="G8" s="365" t="n"/>
      <c r="H8" s="365" t="n"/>
      <c r="I8" s="365" t="n"/>
      <c r="J8" s="365" t="n"/>
      <c r="K8" s="366" t="n"/>
      <c r="M8" s="29" t="inlineStr">
        <is>
          <t>Время загрузки</t>
        </is>
      </c>
      <c r="N8" s="313" t="n">
        <v>0.3333333333333333</v>
      </c>
      <c r="O8" s="351" t="n"/>
      <c r="Q8" s="1" t="n"/>
      <c r="R8" s="352" t="n"/>
      <c r="S8" s="361" t="n"/>
      <c r="T8" s="362" t="n"/>
      <c r="Y8" s="60" t="n"/>
      <c r="Z8" s="60" t="n"/>
      <c r="AA8" s="60" t="n"/>
    </row>
    <row r="9" ht="39.95" customFormat="1" customHeight="1" s="317">
      <c r="A9" s="3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10" t="inlineStr"/>
      <c r="E9" s="3" t="n"/>
      <c r="F9" s="3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50" t="n"/>
      <c r="O9" s="351" t="n"/>
      <c r="Q9" s="1" t="n"/>
      <c r="R9" s="352" t="n"/>
      <c r="S9" s="367" t="n"/>
      <c r="T9" s="368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17">
      <c r="A10" s="3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10" t="n"/>
      <c r="E10" s="3" t="n"/>
      <c r="F10" s="3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1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13" t="n"/>
      <c r="O10" s="351" t="n"/>
      <c r="R10" s="29" t="inlineStr">
        <is>
          <t>КОД Аксапты Клиента</t>
        </is>
      </c>
      <c r="S10" s="369" t="inlineStr">
        <is>
          <t>590704</t>
        </is>
      </c>
      <c r="T10" s="357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13" t="n"/>
      <c r="O11" s="351" t="n"/>
      <c r="R11" s="29" t="inlineStr">
        <is>
          <t>Тип заказа</t>
        </is>
      </c>
      <c r="S11" s="301" t="inlineStr">
        <is>
          <t>Основной заказ</t>
        </is>
      </c>
      <c r="T11" s="370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17">
      <c r="A12" s="300" t="inlineStr">
        <is>
          <t>Телефоны для заказов:8(919)022-63-02 E-mail: Zamorozka@abiproduct.ru, Телефон сотрудников склада: 8-980-75-76-203</t>
        </is>
      </c>
      <c r="B12" s="346" t="n"/>
      <c r="C12" s="346" t="n"/>
      <c r="D12" s="346" t="n"/>
      <c r="E12" s="346" t="n"/>
      <c r="F12" s="346" t="n"/>
      <c r="G12" s="346" t="n"/>
      <c r="H12" s="346" t="n"/>
      <c r="I12" s="346" t="n"/>
      <c r="J12" s="346" t="n"/>
      <c r="K12" s="347" t="n"/>
      <c r="M12" s="29" t="inlineStr">
        <is>
          <t>Время доставки 3 машины</t>
        </is>
      </c>
      <c r="N12" s="316" t="n"/>
      <c r="O12" s="360" t="n"/>
      <c r="P12" s="28" t="n"/>
      <c r="R12" s="29" t="inlineStr"/>
      <c r="S12" s="317" t="n"/>
      <c r="T12" s="1" t="n"/>
      <c r="Y12" s="60" t="n"/>
      <c r="Z12" s="60" t="n"/>
      <c r="AA12" s="60" t="n"/>
    </row>
    <row r="13" ht="23.25" customFormat="1" customHeight="1" s="317">
      <c r="A13" s="3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6" t="n"/>
      <c r="C13" s="346" t="n"/>
      <c r="D13" s="346" t="n"/>
      <c r="E13" s="346" t="n"/>
      <c r="F13" s="346" t="n"/>
      <c r="G13" s="346" t="n"/>
      <c r="H13" s="346" t="n"/>
      <c r="I13" s="346" t="n"/>
      <c r="J13" s="346" t="n"/>
      <c r="K13" s="347" t="n"/>
      <c r="L13" s="31" t="n"/>
      <c r="M13" s="31" t="inlineStr">
        <is>
          <t>Время доставки 4 машины</t>
        </is>
      </c>
      <c r="N13" s="301" t="n"/>
      <c r="O13" s="370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17">
      <c r="A14" s="300" t="inlineStr">
        <is>
          <t>Телефон менеджера по логистике: 8 (919) 012-30-55 - по вопросам доставки продукции</t>
        </is>
      </c>
      <c r="B14" s="346" t="n"/>
      <c r="C14" s="346" t="n"/>
      <c r="D14" s="346" t="n"/>
      <c r="E14" s="346" t="n"/>
      <c r="F14" s="346" t="n"/>
      <c r="G14" s="346" t="n"/>
      <c r="H14" s="346" t="n"/>
      <c r="I14" s="346" t="n"/>
      <c r="J14" s="346" t="n"/>
      <c r="K14" s="347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17">
      <c r="A15" s="302" t="inlineStr">
        <is>
          <t>Телефон по работе с претензиями/жалобами (WhatSapp): 8 (980) 757-69-93       E-mail: Claims@abiproduct.ru</t>
        </is>
      </c>
      <c r="B15" s="346" t="n"/>
      <c r="C15" s="346" t="n"/>
      <c r="D15" s="346" t="n"/>
      <c r="E15" s="346" t="n"/>
      <c r="F15" s="346" t="n"/>
      <c r="G15" s="346" t="n"/>
      <c r="H15" s="346" t="n"/>
      <c r="I15" s="346" t="n"/>
      <c r="J15" s="346" t="n"/>
      <c r="K15" s="347" t="n"/>
      <c r="M15" s="304" t="inlineStr">
        <is>
          <t>Кликните на продукт, чтобы просмотреть изображение</t>
        </is>
      </c>
      <c r="U15" s="317" t="n"/>
      <c r="V15" s="317" t="n"/>
      <c r="W15" s="317" t="n"/>
      <c r="X15" s="317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71" t="n"/>
      <c r="N16" s="371" t="n"/>
      <c r="O16" s="371" t="n"/>
      <c r="P16" s="371" t="n"/>
      <c r="Q16" s="371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88" t="inlineStr">
        <is>
          <t>Код единицы продаж</t>
        </is>
      </c>
      <c r="B17" s="288" t="inlineStr">
        <is>
          <t>Код продукта</t>
        </is>
      </c>
      <c r="C17" s="306" t="inlineStr">
        <is>
          <t>Номер варианта</t>
        </is>
      </c>
      <c r="D17" s="288" t="inlineStr">
        <is>
          <t xml:space="preserve">Штрих-код </t>
        </is>
      </c>
      <c r="E17" s="372" t="n"/>
      <c r="F17" s="288" t="inlineStr">
        <is>
          <t>Вес нетто штуки, кг</t>
        </is>
      </c>
      <c r="G17" s="288" t="inlineStr">
        <is>
          <t>Кол-во штук в коробе, шт</t>
        </is>
      </c>
      <c r="H17" s="288" t="inlineStr">
        <is>
          <t>Вес нетто короба, кг</t>
        </is>
      </c>
      <c r="I17" s="288" t="inlineStr">
        <is>
          <t>Вес брутто короба, кг</t>
        </is>
      </c>
      <c r="J17" s="288" t="inlineStr">
        <is>
          <t>Кол-во кор. на паллте, шт</t>
        </is>
      </c>
      <c r="K17" s="288" t="inlineStr">
        <is>
          <t>Завод</t>
        </is>
      </c>
      <c r="L17" s="288" t="inlineStr">
        <is>
          <t>Срок годности, сут.</t>
        </is>
      </c>
      <c r="M17" s="288" t="inlineStr">
        <is>
          <t>Наименование</t>
        </is>
      </c>
      <c r="N17" s="373" t="n"/>
      <c r="O17" s="373" t="n"/>
      <c r="P17" s="373" t="n"/>
      <c r="Q17" s="372" t="n"/>
      <c r="R17" s="305" t="inlineStr">
        <is>
          <t>Доступно к отгрузке</t>
        </is>
      </c>
      <c r="S17" s="347" t="n"/>
      <c r="T17" s="288" t="inlineStr">
        <is>
          <t>Ед. изм.</t>
        </is>
      </c>
      <c r="U17" s="288" t="inlineStr">
        <is>
          <t>Заказ</t>
        </is>
      </c>
      <c r="V17" s="289" t="inlineStr">
        <is>
          <t>Заказ с округлением до короба</t>
        </is>
      </c>
      <c r="W17" s="288" t="inlineStr">
        <is>
          <t>Объём заказа, м3</t>
        </is>
      </c>
      <c r="X17" s="291" t="inlineStr">
        <is>
          <t>Примечание по продуктку</t>
        </is>
      </c>
      <c r="Y17" s="291" t="inlineStr">
        <is>
          <t>Признак "НОВИНКА"</t>
        </is>
      </c>
      <c r="Z17" s="291" t="inlineStr">
        <is>
          <t>Для формул</t>
        </is>
      </c>
      <c r="AA17" s="374" t="n"/>
      <c r="AB17" s="375" t="n"/>
      <c r="AC17" s="298" t="n"/>
      <c r="AZ17" s="299" t="inlineStr">
        <is>
          <t>Вид продукции</t>
        </is>
      </c>
    </row>
    <row r="18" ht="14.25" customHeight="1">
      <c r="A18" s="376" t="n"/>
      <c r="B18" s="376" t="n"/>
      <c r="C18" s="376" t="n"/>
      <c r="D18" s="377" t="n"/>
      <c r="E18" s="378" t="n"/>
      <c r="F18" s="376" t="n"/>
      <c r="G18" s="376" t="n"/>
      <c r="H18" s="376" t="n"/>
      <c r="I18" s="376" t="n"/>
      <c r="J18" s="376" t="n"/>
      <c r="K18" s="376" t="n"/>
      <c r="L18" s="376" t="n"/>
      <c r="M18" s="377" t="n"/>
      <c r="N18" s="379" t="n"/>
      <c r="O18" s="379" t="n"/>
      <c r="P18" s="379" t="n"/>
      <c r="Q18" s="378" t="n"/>
      <c r="R18" s="305" t="inlineStr">
        <is>
          <t>начиная с</t>
        </is>
      </c>
      <c r="S18" s="305" t="inlineStr">
        <is>
          <t>до</t>
        </is>
      </c>
      <c r="T18" s="376" t="n"/>
      <c r="U18" s="376" t="n"/>
      <c r="V18" s="380" t="n"/>
      <c r="W18" s="376" t="n"/>
      <c r="X18" s="381" t="n"/>
      <c r="Y18" s="381" t="n"/>
      <c r="Z18" s="382" t="n"/>
      <c r="AA18" s="383" t="n"/>
      <c r="AB18" s="384" t="n"/>
      <c r="AC18" s="385" t="n"/>
      <c r="AZ18" s="1" t="n"/>
    </row>
    <row r="19" ht="27.75" customHeight="1">
      <c r="A19" s="204" t="inlineStr">
        <is>
          <t>Ядрена копоть</t>
        </is>
      </c>
      <c r="B19" s="386" t="n"/>
      <c r="C19" s="386" t="n"/>
      <c r="D19" s="386" t="n"/>
      <c r="E19" s="386" t="n"/>
      <c r="F19" s="386" t="n"/>
      <c r="G19" s="386" t="n"/>
      <c r="H19" s="386" t="n"/>
      <c r="I19" s="386" t="n"/>
      <c r="J19" s="386" t="n"/>
      <c r="K19" s="386" t="n"/>
      <c r="L19" s="386" t="n"/>
      <c r="M19" s="386" t="n"/>
      <c r="N19" s="386" t="n"/>
      <c r="O19" s="386" t="n"/>
      <c r="P19" s="386" t="n"/>
      <c r="Q19" s="386" t="n"/>
      <c r="R19" s="386" t="n"/>
      <c r="S19" s="386" t="n"/>
      <c r="T19" s="386" t="n"/>
      <c r="U19" s="386" t="n"/>
      <c r="V19" s="386" t="n"/>
      <c r="W19" s="386" t="n"/>
      <c r="X19" s="55" t="n"/>
      <c r="Y19" s="55" t="n"/>
    </row>
    <row r="20" ht="16.5" customHeight="1">
      <c r="A20" s="20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02" t="n"/>
      <c r="Y20" s="202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93" t="n"/>
      <c r="Y21" s="193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85" t="n">
        <v>4607111035752</v>
      </c>
      <c r="E22" s="355" t="n"/>
      <c r="F22" s="387" t="n">
        <v>0.43</v>
      </c>
      <c r="G22" s="38" t="n">
        <v>16</v>
      </c>
      <c r="H22" s="387" t="n">
        <v>6.88</v>
      </c>
      <c r="I22" s="387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8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89" t="n"/>
      <c r="O22" s="389" t="n"/>
      <c r="P22" s="389" t="n"/>
      <c r="Q22" s="355" t="n"/>
      <c r="R22" s="40" t="inlineStr"/>
      <c r="S22" s="40" t="inlineStr"/>
      <c r="T22" s="41" t="inlineStr">
        <is>
          <t>кор</t>
        </is>
      </c>
      <c r="U22" s="390" t="n">
        <v>0</v>
      </c>
      <c r="V22" s="391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92" t="n"/>
      <c r="M23" s="393" t="inlineStr">
        <is>
          <t>Итого</t>
        </is>
      </c>
      <c r="N23" s="363" t="n"/>
      <c r="O23" s="363" t="n"/>
      <c r="P23" s="363" t="n"/>
      <c r="Q23" s="363" t="n"/>
      <c r="R23" s="363" t="n"/>
      <c r="S23" s="364" t="n"/>
      <c r="T23" s="43" t="inlineStr">
        <is>
          <t>кор</t>
        </is>
      </c>
      <c r="U23" s="394">
        <f>IFERROR(SUM(U22:U22),"0")</f>
        <v/>
      </c>
      <c r="V23" s="394">
        <f>IFERROR(SUM(V22:V22),"0")</f>
        <v/>
      </c>
      <c r="W23" s="394">
        <f>IFERROR(IF(W22="",0,W22),"0")</f>
        <v/>
      </c>
      <c r="X23" s="395" t="n"/>
      <c r="Y23" s="39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92" t="n"/>
      <c r="M24" s="393" t="inlineStr">
        <is>
          <t>Итого</t>
        </is>
      </c>
      <c r="N24" s="363" t="n"/>
      <c r="O24" s="363" t="n"/>
      <c r="P24" s="363" t="n"/>
      <c r="Q24" s="363" t="n"/>
      <c r="R24" s="363" t="n"/>
      <c r="S24" s="364" t="n"/>
      <c r="T24" s="43" t="inlineStr">
        <is>
          <t>кг</t>
        </is>
      </c>
      <c r="U24" s="394">
        <f>IFERROR(SUMPRODUCT(U22:U22*H22:H22),"0")</f>
        <v/>
      </c>
      <c r="V24" s="394">
        <f>IFERROR(SUMPRODUCT(V22:V22*H22:H22),"0")</f>
        <v/>
      </c>
      <c r="W24" s="43" t="n"/>
      <c r="X24" s="395" t="n"/>
      <c r="Y24" s="395" t="n"/>
    </row>
    <row r="25" ht="27.75" customHeight="1">
      <c r="A25" s="204" t="inlineStr">
        <is>
          <t>Горячая штучка</t>
        </is>
      </c>
      <c r="B25" s="386" t="n"/>
      <c r="C25" s="386" t="n"/>
      <c r="D25" s="386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386" t="n"/>
      <c r="O25" s="386" t="n"/>
      <c r="P25" s="386" t="n"/>
      <c r="Q25" s="386" t="n"/>
      <c r="R25" s="386" t="n"/>
      <c r="S25" s="386" t="n"/>
      <c r="T25" s="386" t="n"/>
      <c r="U25" s="386" t="n"/>
      <c r="V25" s="386" t="n"/>
      <c r="W25" s="386" t="n"/>
      <c r="X25" s="55" t="n"/>
      <c r="Y25" s="55" t="n"/>
    </row>
    <row r="26" ht="16.5" customHeight="1">
      <c r="A26" s="202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02" t="n"/>
      <c r="Y26" s="202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93" t="n"/>
      <c r="Y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5" t="n">
        <v>4607111036520</v>
      </c>
      <c r="E28" s="355" t="n"/>
      <c r="F28" s="387" t="n">
        <v>0.25</v>
      </c>
      <c r="G28" s="38" t="n">
        <v>6</v>
      </c>
      <c r="H28" s="387" t="n">
        <v>1.5</v>
      </c>
      <c r="I28" s="387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9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89" t="n"/>
      <c r="O28" s="389" t="n"/>
      <c r="P28" s="389" t="n"/>
      <c r="Q28" s="355" t="n"/>
      <c r="R28" s="40" t="inlineStr"/>
      <c r="S28" s="40" t="inlineStr"/>
      <c r="T28" s="41" t="inlineStr">
        <is>
          <t>кор</t>
        </is>
      </c>
      <c r="U28" s="390" t="n">
        <v>0</v>
      </c>
      <c r="V28" s="391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5" t="n">
        <v>4607111036605</v>
      </c>
      <c r="E29" s="355" t="n"/>
      <c r="F29" s="387" t="n">
        <v>0.25</v>
      </c>
      <c r="G29" s="38" t="n">
        <v>6</v>
      </c>
      <c r="H29" s="387" t="n">
        <v>1.5</v>
      </c>
      <c r="I29" s="387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9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89" t="n"/>
      <c r="O29" s="389" t="n"/>
      <c r="P29" s="389" t="n"/>
      <c r="Q29" s="355" t="n"/>
      <c r="R29" s="40" t="inlineStr"/>
      <c r="S29" s="40" t="inlineStr"/>
      <c r="T29" s="41" t="inlineStr">
        <is>
          <t>кор</t>
        </is>
      </c>
      <c r="U29" s="390" t="n">
        <v>0</v>
      </c>
      <c r="V29" s="391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5" t="n">
        <v>4607111036537</v>
      </c>
      <c r="E30" s="355" t="n"/>
      <c r="F30" s="387" t="n">
        <v>0.25</v>
      </c>
      <c r="G30" s="38" t="n">
        <v>6</v>
      </c>
      <c r="H30" s="387" t="n">
        <v>1.5</v>
      </c>
      <c r="I30" s="387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9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89" t="n"/>
      <c r="O30" s="389" t="n"/>
      <c r="P30" s="389" t="n"/>
      <c r="Q30" s="355" t="n"/>
      <c r="R30" s="40" t="inlineStr"/>
      <c r="S30" s="40" t="inlineStr"/>
      <c r="T30" s="41" t="inlineStr">
        <is>
          <t>кор</t>
        </is>
      </c>
      <c r="U30" s="390" t="n">
        <v>383</v>
      </c>
      <c r="V30" s="391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5" t="n">
        <v>4607111036599</v>
      </c>
      <c r="E31" s="355" t="n"/>
      <c r="F31" s="387" t="n">
        <v>0.25</v>
      </c>
      <c r="G31" s="38" t="n">
        <v>6</v>
      </c>
      <c r="H31" s="387" t="n">
        <v>1.5</v>
      </c>
      <c r="I31" s="387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9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89" t="n"/>
      <c r="O31" s="389" t="n"/>
      <c r="P31" s="389" t="n"/>
      <c r="Q31" s="355" t="n"/>
      <c r="R31" s="40" t="inlineStr"/>
      <c r="S31" s="40" t="inlineStr"/>
      <c r="T31" s="41" t="inlineStr">
        <is>
          <t>кор</t>
        </is>
      </c>
      <c r="U31" s="390" t="n">
        <v>0</v>
      </c>
      <c r="V31" s="391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92" t="n"/>
      <c r="M32" s="393" t="inlineStr">
        <is>
          <t>Итого</t>
        </is>
      </c>
      <c r="N32" s="363" t="n"/>
      <c r="O32" s="363" t="n"/>
      <c r="P32" s="363" t="n"/>
      <c r="Q32" s="363" t="n"/>
      <c r="R32" s="363" t="n"/>
      <c r="S32" s="364" t="n"/>
      <c r="T32" s="43" t="inlineStr">
        <is>
          <t>кор</t>
        </is>
      </c>
      <c r="U32" s="394">
        <f>IFERROR(SUM(U28:U31),"0")</f>
        <v/>
      </c>
      <c r="V32" s="394">
        <f>IFERROR(SUM(V28:V31),"0")</f>
        <v/>
      </c>
      <c r="W32" s="394">
        <f>IFERROR(IF(W28="",0,W28),"0")+IFERROR(IF(W29="",0,W29),"0")+IFERROR(IF(W30="",0,W30),"0")+IFERROR(IF(W31="",0,W31),"0")</f>
        <v/>
      </c>
      <c r="X32" s="395" t="n"/>
      <c r="Y32" s="39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92" t="n"/>
      <c r="M33" s="393" t="inlineStr">
        <is>
          <t>Итого</t>
        </is>
      </c>
      <c r="N33" s="363" t="n"/>
      <c r="O33" s="363" t="n"/>
      <c r="P33" s="363" t="n"/>
      <c r="Q33" s="363" t="n"/>
      <c r="R33" s="363" t="n"/>
      <c r="S33" s="364" t="n"/>
      <c r="T33" s="43" t="inlineStr">
        <is>
          <t>кг</t>
        </is>
      </c>
      <c r="U33" s="394">
        <f>IFERROR(SUMPRODUCT(U28:U31*H28:H31),"0")</f>
        <v/>
      </c>
      <c r="V33" s="394">
        <f>IFERROR(SUMPRODUCT(V28:V31*H28:H31),"0")</f>
        <v/>
      </c>
      <c r="W33" s="43" t="n"/>
      <c r="X33" s="395" t="n"/>
      <c r="Y33" s="395" t="n"/>
    </row>
    <row r="34" ht="16.5" customHeight="1">
      <c r="A34" s="202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02" t="n"/>
      <c r="Y34" s="202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93" t="n"/>
      <c r="Y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5" t="n">
        <v>4607111036285</v>
      </c>
      <c r="E36" s="355" t="n"/>
      <c r="F36" s="387" t="n">
        <v>0.75</v>
      </c>
      <c r="G36" s="38" t="n">
        <v>8</v>
      </c>
      <c r="H36" s="387" t="n">
        <v>6</v>
      </c>
      <c r="I36" s="387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40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89" t="n"/>
      <c r="O36" s="389" t="n"/>
      <c r="P36" s="389" t="n"/>
      <c r="Q36" s="355" t="n"/>
      <c r="R36" s="40" t="inlineStr"/>
      <c r="S36" s="40" t="inlineStr"/>
      <c r="T36" s="41" t="inlineStr">
        <is>
          <t>кор</t>
        </is>
      </c>
      <c r="U36" s="390" t="n">
        <v>0</v>
      </c>
      <c r="V36" s="391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5" t="n">
        <v>4607111036308</v>
      </c>
      <c r="E37" s="355" t="n"/>
      <c r="F37" s="387" t="n">
        <v>0.75</v>
      </c>
      <c r="G37" s="38" t="n">
        <v>8</v>
      </c>
      <c r="H37" s="387" t="n">
        <v>6</v>
      </c>
      <c r="I37" s="387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401" t="inlineStr">
        <is>
          <t>Пельмени Grandmeni с говядиной в сливочном соусе Grandmeni 0,75 Сфера Горячая штучка</t>
        </is>
      </c>
      <c r="N37" s="389" t="n"/>
      <c r="O37" s="389" t="n"/>
      <c r="P37" s="389" t="n"/>
      <c r="Q37" s="355" t="n"/>
      <c r="R37" s="40" t="inlineStr"/>
      <c r="S37" s="40" t="inlineStr"/>
      <c r="T37" s="41" t="inlineStr">
        <is>
          <t>кор</t>
        </is>
      </c>
      <c r="U37" s="390" t="n">
        <v>0</v>
      </c>
      <c r="V37" s="391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5" t="n">
        <v>4607111036315</v>
      </c>
      <c r="E38" s="355" t="n"/>
      <c r="F38" s="387" t="n">
        <v>0.75</v>
      </c>
      <c r="G38" s="38" t="n">
        <v>8</v>
      </c>
      <c r="H38" s="387" t="n">
        <v>6</v>
      </c>
      <c r="I38" s="387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40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89" t="n"/>
      <c r="O38" s="389" t="n"/>
      <c r="P38" s="389" t="n"/>
      <c r="Q38" s="355" t="n"/>
      <c r="R38" s="40" t="inlineStr"/>
      <c r="S38" s="40" t="inlineStr"/>
      <c r="T38" s="41" t="inlineStr">
        <is>
          <t>кор</t>
        </is>
      </c>
      <c r="U38" s="390" t="n">
        <v>0</v>
      </c>
      <c r="V38" s="391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5" t="n">
        <v>4607111036292</v>
      </c>
      <c r="E39" s="355" t="n"/>
      <c r="F39" s="387" t="n">
        <v>0.75</v>
      </c>
      <c r="G39" s="38" t="n">
        <v>8</v>
      </c>
      <c r="H39" s="387" t="n">
        <v>6</v>
      </c>
      <c r="I39" s="387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40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89" t="n"/>
      <c r="O39" s="389" t="n"/>
      <c r="P39" s="389" t="n"/>
      <c r="Q39" s="355" t="n"/>
      <c r="R39" s="40" t="inlineStr"/>
      <c r="S39" s="40" t="inlineStr"/>
      <c r="T39" s="41" t="inlineStr">
        <is>
          <t>кор</t>
        </is>
      </c>
      <c r="U39" s="390" t="n">
        <v>36</v>
      </c>
      <c r="V39" s="391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8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92" t="n"/>
      <c r="M40" s="393" t="inlineStr">
        <is>
          <t>Итого</t>
        </is>
      </c>
      <c r="N40" s="363" t="n"/>
      <c r="O40" s="363" t="n"/>
      <c r="P40" s="363" t="n"/>
      <c r="Q40" s="363" t="n"/>
      <c r="R40" s="363" t="n"/>
      <c r="S40" s="364" t="n"/>
      <c r="T40" s="43" t="inlineStr">
        <is>
          <t>кор</t>
        </is>
      </c>
      <c r="U40" s="394">
        <f>IFERROR(SUM(U36:U39),"0")</f>
        <v/>
      </c>
      <c r="V40" s="394">
        <f>IFERROR(SUM(V36:V39),"0")</f>
        <v/>
      </c>
      <c r="W40" s="394">
        <f>IFERROR(IF(W36="",0,W36),"0")+IFERROR(IF(W37="",0,W37),"0")+IFERROR(IF(W38="",0,W38),"0")+IFERROR(IF(W39="",0,W39),"0")</f>
        <v/>
      </c>
      <c r="X40" s="395" t="n"/>
      <c r="Y40" s="39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92" t="n"/>
      <c r="M41" s="393" t="inlineStr">
        <is>
          <t>Итого</t>
        </is>
      </c>
      <c r="N41" s="363" t="n"/>
      <c r="O41" s="363" t="n"/>
      <c r="P41" s="363" t="n"/>
      <c r="Q41" s="363" t="n"/>
      <c r="R41" s="363" t="n"/>
      <c r="S41" s="364" t="n"/>
      <c r="T41" s="43" t="inlineStr">
        <is>
          <t>кг</t>
        </is>
      </c>
      <c r="U41" s="394">
        <f>IFERROR(SUMPRODUCT(U36:U39*H36:H39),"0")</f>
        <v/>
      </c>
      <c r="V41" s="394">
        <f>IFERROR(SUMPRODUCT(V36:V39*H36:H39),"0")</f>
        <v/>
      </c>
      <c r="W41" s="43" t="n"/>
      <c r="X41" s="395" t="n"/>
      <c r="Y41" s="395" t="n"/>
    </row>
    <row r="42" ht="16.5" customHeight="1">
      <c r="A42" s="202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02" t="n"/>
      <c r="Y42" s="202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93" t="n"/>
      <c r="Y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5" t="n">
        <v>4607111037053</v>
      </c>
      <c r="E44" s="355" t="n"/>
      <c r="F44" s="387" t="n">
        <v>0.2</v>
      </c>
      <c r="G44" s="38" t="n">
        <v>6</v>
      </c>
      <c r="H44" s="387" t="n">
        <v>1.2</v>
      </c>
      <c r="I44" s="387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40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89" t="n"/>
      <c r="O44" s="389" t="n"/>
      <c r="P44" s="389" t="n"/>
      <c r="Q44" s="355" t="n"/>
      <c r="R44" s="40" t="inlineStr"/>
      <c r="S44" s="40" t="inlineStr"/>
      <c r="T44" s="41" t="inlineStr">
        <is>
          <t>кор</t>
        </is>
      </c>
      <c r="U44" s="390" t="n">
        <v>0</v>
      </c>
      <c r="V44" s="391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85" t="n">
        <v>4607111037060</v>
      </c>
      <c r="E45" s="355" t="n"/>
      <c r="F45" s="387" t="n">
        <v>0.2</v>
      </c>
      <c r="G45" s="38" t="n">
        <v>6</v>
      </c>
      <c r="H45" s="387" t="n">
        <v>1.2</v>
      </c>
      <c r="I45" s="387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405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89" t="n"/>
      <c r="O45" s="389" t="n"/>
      <c r="P45" s="389" t="n"/>
      <c r="Q45" s="355" t="n"/>
      <c r="R45" s="40" t="inlineStr"/>
      <c r="S45" s="40" t="inlineStr"/>
      <c r="T45" s="41" t="inlineStr">
        <is>
          <t>кор</t>
        </is>
      </c>
      <c r="U45" s="390" t="n">
        <v>0</v>
      </c>
      <c r="V45" s="391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8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92" t="n"/>
      <c r="M46" s="393" t="inlineStr">
        <is>
          <t>Итого</t>
        </is>
      </c>
      <c r="N46" s="363" t="n"/>
      <c r="O46" s="363" t="n"/>
      <c r="P46" s="363" t="n"/>
      <c r="Q46" s="363" t="n"/>
      <c r="R46" s="363" t="n"/>
      <c r="S46" s="364" t="n"/>
      <c r="T46" s="43" t="inlineStr">
        <is>
          <t>кор</t>
        </is>
      </c>
      <c r="U46" s="394">
        <f>IFERROR(SUM(U44:U45),"0")</f>
        <v/>
      </c>
      <c r="V46" s="394">
        <f>IFERROR(SUM(V44:V45),"0")</f>
        <v/>
      </c>
      <c r="W46" s="394">
        <f>IFERROR(IF(W44="",0,W44),"0")+IFERROR(IF(W45="",0,W45),"0")</f>
        <v/>
      </c>
      <c r="X46" s="395" t="n"/>
      <c r="Y46" s="39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92" t="n"/>
      <c r="M47" s="393" t="inlineStr">
        <is>
          <t>Итого</t>
        </is>
      </c>
      <c r="N47" s="363" t="n"/>
      <c r="O47" s="363" t="n"/>
      <c r="P47" s="363" t="n"/>
      <c r="Q47" s="363" t="n"/>
      <c r="R47" s="363" t="n"/>
      <c r="S47" s="364" t="n"/>
      <c r="T47" s="43" t="inlineStr">
        <is>
          <t>кг</t>
        </is>
      </c>
      <c r="U47" s="394">
        <f>IFERROR(SUMPRODUCT(U44:U45*H44:H45),"0")</f>
        <v/>
      </c>
      <c r="V47" s="394">
        <f>IFERROR(SUMPRODUCT(V44:V45*H44:H45),"0")</f>
        <v/>
      </c>
      <c r="W47" s="43" t="n"/>
      <c r="X47" s="395" t="n"/>
      <c r="Y47" s="395" t="n"/>
    </row>
    <row r="48" ht="16.5" customHeight="1">
      <c r="A48" s="202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02" t="n"/>
      <c r="Y48" s="202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93" t="n"/>
      <c r="Y49" s="193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85" t="n">
        <v>4607111037190</v>
      </c>
      <c r="E50" s="355" t="n"/>
      <c r="F50" s="387" t="n">
        <v>0.43</v>
      </c>
      <c r="G50" s="38" t="n">
        <v>16</v>
      </c>
      <c r="H50" s="387" t="n">
        <v>6.88</v>
      </c>
      <c r="I50" s="387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40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89" t="n"/>
      <c r="O50" s="389" t="n"/>
      <c r="P50" s="389" t="n"/>
      <c r="Q50" s="355" t="n"/>
      <c r="R50" s="40" t="inlineStr"/>
      <c r="S50" s="40" t="inlineStr"/>
      <c r="T50" s="41" t="inlineStr">
        <is>
          <t>кор</t>
        </is>
      </c>
      <c r="U50" s="390" t="n">
        <v>0</v>
      </c>
      <c r="V50" s="391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85" t="n">
        <v>4607111037183</v>
      </c>
      <c r="E51" s="355" t="n"/>
      <c r="F51" s="387" t="n">
        <v>0.9</v>
      </c>
      <c r="G51" s="38" t="n">
        <v>8</v>
      </c>
      <c r="H51" s="387" t="n">
        <v>7.2</v>
      </c>
      <c r="I51" s="387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407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89" t="n"/>
      <c r="O51" s="389" t="n"/>
      <c r="P51" s="389" t="n"/>
      <c r="Q51" s="355" t="n"/>
      <c r="R51" s="40" t="inlineStr"/>
      <c r="S51" s="40" t="inlineStr"/>
      <c r="T51" s="41" t="inlineStr">
        <is>
          <t>кор</t>
        </is>
      </c>
      <c r="U51" s="390" t="n">
        <v>0</v>
      </c>
      <c r="V51" s="391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85" t="n">
        <v>4607111037091</v>
      </c>
      <c r="E52" s="355" t="n"/>
      <c r="F52" s="387" t="n">
        <v>0.43</v>
      </c>
      <c r="G52" s="38" t="n">
        <v>16</v>
      </c>
      <c r="H52" s="387" t="n">
        <v>6.88</v>
      </c>
      <c r="I52" s="387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408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89" t="n"/>
      <c r="O52" s="389" t="n"/>
      <c r="P52" s="389" t="n"/>
      <c r="Q52" s="355" t="n"/>
      <c r="R52" s="40" t="inlineStr"/>
      <c r="S52" s="40" t="inlineStr"/>
      <c r="T52" s="41" t="inlineStr">
        <is>
          <t>кор</t>
        </is>
      </c>
      <c r="U52" s="390" t="n">
        <v>0</v>
      </c>
      <c r="V52" s="391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85" t="n">
        <v>4607111036902</v>
      </c>
      <c r="E53" s="355" t="n"/>
      <c r="F53" s="387" t="n">
        <v>0.9</v>
      </c>
      <c r="G53" s="38" t="n">
        <v>8</v>
      </c>
      <c r="H53" s="387" t="n">
        <v>7.2</v>
      </c>
      <c r="I53" s="387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409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89" t="n"/>
      <c r="O53" s="389" t="n"/>
      <c r="P53" s="389" t="n"/>
      <c r="Q53" s="355" t="n"/>
      <c r="R53" s="40" t="inlineStr"/>
      <c r="S53" s="40" t="inlineStr"/>
      <c r="T53" s="41" t="inlineStr">
        <is>
          <t>кор</t>
        </is>
      </c>
      <c r="U53" s="390" t="n">
        <v>0</v>
      </c>
      <c r="V53" s="391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85" t="n">
        <v>4607111036858</v>
      </c>
      <c r="E54" s="355" t="n"/>
      <c r="F54" s="387" t="n">
        <v>0.43</v>
      </c>
      <c r="G54" s="38" t="n">
        <v>16</v>
      </c>
      <c r="H54" s="387" t="n">
        <v>6.88</v>
      </c>
      <c r="I54" s="387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410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89" t="n"/>
      <c r="O54" s="389" t="n"/>
      <c r="P54" s="389" t="n"/>
      <c r="Q54" s="355" t="n"/>
      <c r="R54" s="40" t="inlineStr"/>
      <c r="S54" s="40" t="inlineStr"/>
      <c r="T54" s="41" t="inlineStr">
        <is>
          <t>кор</t>
        </is>
      </c>
      <c r="U54" s="390" t="n">
        <v>0</v>
      </c>
      <c r="V54" s="391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85" t="n">
        <v>4607111036889</v>
      </c>
      <c r="E55" s="355" t="n"/>
      <c r="F55" s="387" t="n">
        <v>0.9</v>
      </c>
      <c r="G55" s="38" t="n">
        <v>8</v>
      </c>
      <c r="H55" s="387" t="n">
        <v>7.2</v>
      </c>
      <c r="I55" s="387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411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89" t="n"/>
      <c r="O55" s="389" t="n"/>
      <c r="P55" s="389" t="n"/>
      <c r="Q55" s="355" t="n"/>
      <c r="R55" s="40" t="inlineStr"/>
      <c r="S55" s="40" t="inlineStr"/>
      <c r="T55" s="41" t="inlineStr">
        <is>
          <t>кор</t>
        </is>
      </c>
      <c r="U55" s="390" t="n">
        <v>56</v>
      </c>
      <c r="V55" s="391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8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92" t="n"/>
      <c r="M56" s="393" t="inlineStr">
        <is>
          <t>Итого</t>
        </is>
      </c>
      <c r="N56" s="363" t="n"/>
      <c r="O56" s="363" t="n"/>
      <c r="P56" s="363" t="n"/>
      <c r="Q56" s="363" t="n"/>
      <c r="R56" s="363" t="n"/>
      <c r="S56" s="364" t="n"/>
      <c r="T56" s="43" t="inlineStr">
        <is>
          <t>кор</t>
        </is>
      </c>
      <c r="U56" s="394">
        <f>IFERROR(SUM(U50:U55),"0")</f>
        <v/>
      </c>
      <c r="V56" s="394">
        <f>IFERROR(SUM(V50:V55),"0")</f>
        <v/>
      </c>
      <c r="W56" s="394">
        <f>IFERROR(IF(W50="",0,W50),"0")+IFERROR(IF(W51="",0,W51),"0")+IFERROR(IF(W52="",0,W52),"0")+IFERROR(IF(W53="",0,W53),"0")+IFERROR(IF(W54="",0,W54),"0")+IFERROR(IF(W55="",0,W55),"0")</f>
        <v/>
      </c>
      <c r="X56" s="395" t="n"/>
      <c r="Y56" s="39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92" t="n"/>
      <c r="M57" s="393" t="inlineStr">
        <is>
          <t>Итого</t>
        </is>
      </c>
      <c r="N57" s="363" t="n"/>
      <c r="O57" s="363" t="n"/>
      <c r="P57" s="363" t="n"/>
      <c r="Q57" s="363" t="n"/>
      <c r="R57" s="363" t="n"/>
      <c r="S57" s="364" t="n"/>
      <c r="T57" s="43" t="inlineStr">
        <is>
          <t>кг</t>
        </is>
      </c>
      <c r="U57" s="394">
        <f>IFERROR(SUMPRODUCT(U50:U55*H50:H55),"0")</f>
        <v/>
      </c>
      <c r="V57" s="394">
        <f>IFERROR(SUMPRODUCT(V50:V55*H50:H55),"0")</f>
        <v/>
      </c>
      <c r="W57" s="43" t="n"/>
      <c r="X57" s="395" t="n"/>
      <c r="Y57" s="395" t="n"/>
    </row>
    <row r="58" ht="16.5" customHeight="1">
      <c r="A58" s="202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02" t="n"/>
      <c r="Y58" s="202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93" t="n"/>
      <c r="Y59" s="193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85" t="n">
        <v>4607111037411</v>
      </c>
      <c r="E60" s="355" t="n"/>
      <c r="F60" s="387" t="n">
        <v>2.7</v>
      </c>
      <c r="G60" s="38" t="n">
        <v>1</v>
      </c>
      <c r="H60" s="387" t="n">
        <v>2.7</v>
      </c>
      <c r="I60" s="387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412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89" t="n"/>
      <c r="O60" s="389" t="n"/>
      <c r="P60" s="389" t="n"/>
      <c r="Q60" s="355" t="n"/>
      <c r="R60" s="40" t="inlineStr"/>
      <c r="S60" s="40" t="inlineStr"/>
      <c r="T60" s="41" t="inlineStr">
        <is>
          <t>кор</t>
        </is>
      </c>
      <c r="U60" s="390" t="n">
        <v>0</v>
      </c>
      <c r="V60" s="391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85" t="n">
        <v>4607111036728</v>
      </c>
      <c r="E61" s="355" t="n"/>
      <c r="F61" s="387" t="n">
        <v>5</v>
      </c>
      <c r="G61" s="38" t="n">
        <v>1</v>
      </c>
      <c r="H61" s="387" t="n">
        <v>5</v>
      </c>
      <c r="I61" s="387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413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89" t="n"/>
      <c r="O61" s="389" t="n"/>
      <c r="P61" s="389" t="n"/>
      <c r="Q61" s="355" t="n"/>
      <c r="R61" s="40" t="inlineStr"/>
      <c r="S61" s="40" t="inlineStr"/>
      <c r="T61" s="41" t="inlineStr">
        <is>
          <t>кор</t>
        </is>
      </c>
      <c r="U61" s="390" t="n">
        <v>200</v>
      </c>
      <c r="V61" s="391">
        <f>IFERROR(IF(U61="","",U61),"")</f>
        <v/>
      </c>
      <c r="W61" s="42">
        <f>IFERROR(IF(U61="","",U61*0.00855),"")</f>
        <v/>
      </c>
      <c r="X61" s="69" t="inlineStr"/>
      <c r="Y61" s="70" t="inlineStr"/>
      <c r="AC61" s="74" t="n"/>
      <c r="AZ61" s="94" t="inlineStr">
        <is>
          <t>ЗПФ</t>
        </is>
      </c>
    </row>
    <row r="62">
      <c r="A62" s="180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92" t="n"/>
      <c r="M62" s="393" t="inlineStr">
        <is>
          <t>Итого</t>
        </is>
      </c>
      <c r="N62" s="363" t="n"/>
      <c r="O62" s="363" t="n"/>
      <c r="P62" s="363" t="n"/>
      <c r="Q62" s="363" t="n"/>
      <c r="R62" s="363" t="n"/>
      <c r="S62" s="364" t="n"/>
      <c r="T62" s="43" t="inlineStr">
        <is>
          <t>кор</t>
        </is>
      </c>
      <c r="U62" s="394">
        <f>IFERROR(SUM(U60:U61),"0")</f>
        <v/>
      </c>
      <c r="V62" s="394">
        <f>IFERROR(SUM(V60:V61),"0")</f>
        <v/>
      </c>
      <c r="W62" s="394">
        <f>IFERROR(IF(W60="",0,W60),"0")+IFERROR(IF(W61="",0,W61),"0")</f>
        <v/>
      </c>
      <c r="X62" s="395" t="n"/>
      <c r="Y62" s="39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92" t="n"/>
      <c r="M63" s="393" t="inlineStr">
        <is>
          <t>Итого</t>
        </is>
      </c>
      <c r="N63" s="363" t="n"/>
      <c r="O63" s="363" t="n"/>
      <c r="P63" s="363" t="n"/>
      <c r="Q63" s="363" t="n"/>
      <c r="R63" s="363" t="n"/>
      <c r="S63" s="364" t="n"/>
      <c r="T63" s="43" t="inlineStr">
        <is>
          <t>кг</t>
        </is>
      </c>
      <c r="U63" s="394">
        <f>IFERROR(SUMPRODUCT(U60:U61*H60:H61),"0")</f>
        <v/>
      </c>
      <c r="V63" s="394">
        <f>IFERROR(SUMPRODUCT(V60:V61*H60:H61),"0")</f>
        <v/>
      </c>
      <c r="W63" s="43" t="n"/>
      <c r="X63" s="395" t="n"/>
      <c r="Y63" s="395" t="n"/>
    </row>
    <row r="64" ht="16.5" customHeight="1">
      <c r="A64" s="202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02" t="n"/>
      <c r="Y64" s="202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93" t="n"/>
      <c r="Y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5" t="n">
        <v>4607111033659</v>
      </c>
      <c r="E66" s="355" t="n"/>
      <c r="F66" s="387" t="n">
        <v>0.3</v>
      </c>
      <c r="G66" s="38" t="n">
        <v>12</v>
      </c>
      <c r="H66" s="387" t="n">
        <v>3.6</v>
      </c>
      <c r="I66" s="387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41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89" t="n"/>
      <c r="O66" s="389" t="n"/>
      <c r="P66" s="389" t="n"/>
      <c r="Q66" s="355" t="n"/>
      <c r="R66" s="40" t="inlineStr"/>
      <c r="S66" s="40" t="inlineStr"/>
      <c r="T66" s="41" t="inlineStr">
        <is>
          <t>кор</t>
        </is>
      </c>
      <c r="U66" s="390" t="n">
        <v>0</v>
      </c>
      <c r="V66" s="391">
        <f>IFERROR(IF(U66="","",U66),"")</f>
        <v/>
      </c>
      <c r="W66" s="42">
        <f>IFERROR(IF(U66="","",U66*0.01788),"")</f>
        <v/>
      </c>
      <c r="X66" s="69" t="inlineStr"/>
      <c r="Y66" s="70" t="inlineStr"/>
      <c r="AC66" s="74" t="n"/>
      <c r="AZ66" s="95" t="inlineStr">
        <is>
          <t>ПГП</t>
        </is>
      </c>
    </row>
    <row r="67">
      <c r="A67" s="180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92" t="n"/>
      <c r="M67" s="393" t="inlineStr">
        <is>
          <t>Итого</t>
        </is>
      </c>
      <c r="N67" s="363" t="n"/>
      <c r="O67" s="363" t="n"/>
      <c r="P67" s="363" t="n"/>
      <c r="Q67" s="363" t="n"/>
      <c r="R67" s="363" t="n"/>
      <c r="S67" s="364" t="n"/>
      <c r="T67" s="43" t="inlineStr">
        <is>
          <t>кор</t>
        </is>
      </c>
      <c r="U67" s="394">
        <f>IFERROR(SUM(U66:U66),"0")</f>
        <v/>
      </c>
      <c r="V67" s="394">
        <f>IFERROR(SUM(V66:V66),"0")</f>
        <v/>
      </c>
      <c r="W67" s="394">
        <f>IFERROR(IF(W66="",0,W66),"0")</f>
        <v/>
      </c>
      <c r="X67" s="395" t="n"/>
      <c r="Y67" s="39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92" t="n"/>
      <c r="M68" s="393" t="inlineStr">
        <is>
          <t>Итого</t>
        </is>
      </c>
      <c r="N68" s="363" t="n"/>
      <c r="O68" s="363" t="n"/>
      <c r="P68" s="363" t="n"/>
      <c r="Q68" s="363" t="n"/>
      <c r="R68" s="363" t="n"/>
      <c r="S68" s="364" t="n"/>
      <c r="T68" s="43" t="inlineStr">
        <is>
          <t>кг</t>
        </is>
      </c>
      <c r="U68" s="394">
        <f>IFERROR(SUMPRODUCT(U66:U66*H66:H66),"0")</f>
        <v/>
      </c>
      <c r="V68" s="394">
        <f>IFERROR(SUMPRODUCT(V66:V66*H66:H66),"0")</f>
        <v/>
      </c>
      <c r="W68" s="43" t="n"/>
      <c r="X68" s="395" t="n"/>
      <c r="Y68" s="395" t="n"/>
    </row>
    <row r="69" ht="16.5" customHeight="1">
      <c r="A69" s="202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02" t="n"/>
      <c r="Y69" s="202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93" t="n"/>
      <c r="Y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5" t="n">
        <v>4607111034137</v>
      </c>
      <c r="E71" s="355" t="n"/>
      <c r="F71" s="387" t="n">
        <v>0.3</v>
      </c>
      <c r="G71" s="38" t="n">
        <v>12</v>
      </c>
      <c r="H71" s="387" t="n">
        <v>3.6</v>
      </c>
      <c r="I71" s="387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41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89" t="n"/>
      <c r="O71" s="389" t="n"/>
      <c r="P71" s="389" t="n"/>
      <c r="Q71" s="355" t="n"/>
      <c r="R71" s="40" t="inlineStr"/>
      <c r="S71" s="40" t="inlineStr"/>
      <c r="T71" s="41" t="inlineStr">
        <is>
          <t>кор</t>
        </is>
      </c>
      <c r="U71" s="390" t="n">
        <v>0</v>
      </c>
      <c r="V71" s="391">
        <f>IFERROR(IF(U71="","",U71),"")</f>
        <v/>
      </c>
      <c r="W71" s="42">
        <f>IFERROR(IF(U71="","",U71*0.01788),"")</f>
        <v/>
      </c>
      <c r="X71" s="69" t="inlineStr"/>
      <c r="Y71" s="70" t="inlineStr"/>
      <c r="AC71" s="74" t="n"/>
      <c r="AZ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5" t="n">
        <v>4607111034120</v>
      </c>
      <c r="E72" s="355" t="n"/>
      <c r="F72" s="387" t="n">
        <v>0.3</v>
      </c>
      <c r="G72" s="38" t="n">
        <v>12</v>
      </c>
      <c r="H72" s="387" t="n">
        <v>3.6</v>
      </c>
      <c r="I72" s="387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41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89" t="n"/>
      <c r="O72" s="389" t="n"/>
      <c r="P72" s="389" t="n"/>
      <c r="Q72" s="355" t="n"/>
      <c r="R72" s="40" t="inlineStr"/>
      <c r="S72" s="40" t="inlineStr"/>
      <c r="T72" s="41" t="inlineStr">
        <is>
          <t>кор</t>
        </is>
      </c>
      <c r="U72" s="390" t="n">
        <v>0</v>
      </c>
      <c r="V72" s="391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>
      <c r="A73" s="180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92" t="n"/>
      <c r="M73" s="393" t="inlineStr">
        <is>
          <t>Итого</t>
        </is>
      </c>
      <c r="N73" s="363" t="n"/>
      <c r="O73" s="363" t="n"/>
      <c r="P73" s="363" t="n"/>
      <c r="Q73" s="363" t="n"/>
      <c r="R73" s="363" t="n"/>
      <c r="S73" s="364" t="n"/>
      <c r="T73" s="43" t="inlineStr">
        <is>
          <t>кор</t>
        </is>
      </c>
      <c r="U73" s="394">
        <f>IFERROR(SUM(U71:U72),"0")</f>
        <v/>
      </c>
      <c r="V73" s="394">
        <f>IFERROR(SUM(V71:V72),"0")</f>
        <v/>
      </c>
      <c r="W73" s="394">
        <f>IFERROR(IF(W71="",0,W71),"0")+IFERROR(IF(W72="",0,W72),"0")</f>
        <v/>
      </c>
      <c r="X73" s="395" t="n"/>
      <c r="Y73" s="39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92" t="n"/>
      <c r="M74" s="393" t="inlineStr">
        <is>
          <t>Итого</t>
        </is>
      </c>
      <c r="N74" s="363" t="n"/>
      <c r="O74" s="363" t="n"/>
      <c r="P74" s="363" t="n"/>
      <c r="Q74" s="363" t="n"/>
      <c r="R74" s="363" t="n"/>
      <c r="S74" s="364" t="n"/>
      <c r="T74" s="43" t="inlineStr">
        <is>
          <t>кг</t>
        </is>
      </c>
      <c r="U74" s="394">
        <f>IFERROR(SUMPRODUCT(U71:U72*H71:H72),"0")</f>
        <v/>
      </c>
      <c r="V74" s="394">
        <f>IFERROR(SUMPRODUCT(V71:V72*H71:H72),"0")</f>
        <v/>
      </c>
      <c r="W74" s="43" t="n"/>
      <c r="X74" s="395" t="n"/>
      <c r="Y74" s="395" t="n"/>
    </row>
    <row r="75" ht="16.5" customHeight="1">
      <c r="A75" s="202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02" t="n"/>
      <c r="Y75" s="202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93" t="n"/>
      <c r="Y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5" t="n">
        <v>4607111036407</v>
      </c>
      <c r="E77" s="355" t="n"/>
      <c r="F77" s="387" t="n">
        <v>0.3</v>
      </c>
      <c r="G77" s="38" t="n">
        <v>14</v>
      </c>
      <c r="H77" s="387" t="n">
        <v>4.2</v>
      </c>
      <c r="I77" s="387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41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89" t="n"/>
      <c r="O77" s="389" t="n"/>
      <c r="P77" s="389" t="n"/>
      <c r="Q77" s="355" t="n"/>
      <c r="R77" s="40" t="inlineStr"/>
      <c r="S77" s="40" t="inlineStr"/>
      <c r="T77" s="41" t="inlineStr">
        <is>
          <t>кор</t>
        </is>
      </c>
      <c r="U77" s="390" t="n">
        <v>0</v>
      </c>
      <c r="V77" s="391">
        <f>IFERROR(IF(U77="","",U77),"")</f>
        <v/>
      </c>
      <c r="W77" s="42">
        <f>IFERROR(IF(U77="","",U77*0.01788),"")</f>
        <v/>
      </c>
      <c r="X77" s="69" t="inlineStr"/>
      <c r="Y77" s="70" t="inlineStr"/>
      <c r="AC77" s="74" t="n"/>
      <c r="AZ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5" t="n">
        <v>4607111033628</v>
      </c>
      <c r="E78" s="355" t="n"/>
      <c r="F78" s="387" t="n">
        <v>0.3</v>
      </c>
      <c r="G78" s="38" t="n">
        <v>12</v>
      </c>
      <c r="H78" s="387" t="n">
        <v>3.6</v>
      </c>
      <c r="I78" s="387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41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89" t="n"/>
      <c r="O78" s="389" t="n"/>
      <c r="P78" s="389" t="n"/>
      <c r="Q78" s="355" t="n"/>
      <c r="R78" s="40" t="inlineStr"/>
      <c r="S78" s="40" t="inlineStr"/>
      <c r="T78" s="41" t="inlineStr">
        <is>
          <t>кор</t>
        </is>
      </c>
      <c r="U78" s="390" t="n">
        <v>0</v>
      </c>
      <c r="V78" s="391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5" t="n">
        <v>4607111033451</v>
      </c>
      <c r="E79" s="355" t="n"/>
      <c r="F79" s="387" t="n">
        <v>0.3</v>
      </c>
      <c r="G79" s="38" t="n">
        <v>12</v>
      </c>
      <c r="H79" s="387" t="n">
        <v>3.6</v>
      </c>
      <c r="I79" s="387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41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89" t="n"/>
      <c r="O79" s="389" t="n"/>
      <c r="P79" s="389" t="n"/>
      <c r="Q79" s="355" t="n"/>
      <c r="R79" s="40" t="inlineStr"/>
      <c r="S79" s="40" t="inlineStr"/>
      <c r="T79" s="41" t="inlineStr">
        <is>
          <t>кор</t>
        </is>
      </c>
      <c r="U79" s="390" t="n">
        <v>83</v>
      </c>
      <c r="V79" s="391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5" t="n">
        <v>4607111035141</v>
      </c>
      <c r="E80" s="355" t="n"/>
      <c r="F80" s="387" t="n">
        <v>0.3</v>
      </c>
      <c r="G80" s="38" t="n">
        <v>12</v>
      </c>
      <c r="H80" s="387" t="n">
        <v>3.6</v>
      </c>
      <c r="I80" s="387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42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89" t="n"/>
      <c r="O80" s="389" t="n"/>
      <c r="P80" s="389" t="n"/>
      <c r="Q80" s="355" t="n"/>
      <c r="R80" s="40" t="inlineStr"/>
      <c r="S80" s="40" t="inlineStr"/>
      <c r="T80" s="41" t="inlineStr">
        <is>
          <t>кор</t>
        </is>
      </c>
      <c r="U80" s="390" t="n">
        <v>0</v>
      </c>
      <c r="V80" s="391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5" t="n">
        <v>4607111035028</v>
      </c>
      <c r="E81" s="355" t="n"/>
      <c r="F81" s="387" t="n">
        <v>0.48</v>
      </c>
      <c r="G81" s="38" t="n">
        <v>8</v>
      </c>
      <c r="H81" s="387" t="n">
        <v>3.84</v>
      </c>
      <c r="I81" s="387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42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89" t="n"/>
      <c r="O81" s="389" t="n"/>
      <c r="P81" s="389" t="n"/>
      <c r="Q81" s="355" t="n"/>
      <c r="R81" s="40" t="inlineStr"/>
      <c r="S81" s="40" t="inlineStr"/>
      <c r="T81" s="41" t="inlineStr">
        <is>
          <t>кор</t>
        </is>
      </c>
      <c r="U81" s="390" t="n">
        <v>0</v>
      </c>
      <c r="V81" s="391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5" t="n">
        <v>4607111033444</v>
      </c>
      <c r="E82" s="355" t="n"/>
      <c r="F82" s="387" t="n">
        <v>0.3</v>
      </c>
      <c r="G82" s="38" t="n">
        <v>12</v>
      </c>
      <c r="H82" s="387" t="n">
        <v>3.6</v>
      </c>
      <c r="I82" s="387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2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89" t="n"/>
      <c r="O82" s="389" t="n"/>
      <c r="P82" s="389" t="n"/>
      <c r="Q82" s="355" t="n"/>
      <c r="R82" s="40" t="inlineStr"/>
      <c r="S82" s="40" t="inlineStr"/>
      <c r="T82" s="41" t="inlineStr">
        <is>
          <t>кор</t>
        </is>
      </c>
      <c r="U82" s="390" t="n">
        <v>50</v>
      </c>
      <c r="V82" s="391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>
      <c r="A83" s="180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92" t="n"/>
      <c r="M83" s="393" t="inlineStr">
        <is>
          <t>Итого</t>
        </is>
      </c>
      <c r="N83" s="363" t="n"/>
      <c r="O83" s="363" t="n"/>
      <c r="P83" s="363" t="n"/>
      <c r="Q83" s="363" t="n"/>
      <c r="R83" s="363" t="n"/>
      <c r="S83" s="364" t="n"/>
      <c r="T83" s="43" t="inlineStr">
        <is>
          <t>кор</t>
        </is>
      </c>
      <c r="U83" s="394">
        <f>IFERROR(SUM(U77:U82),"0")</f>
        <v/>
      </c>
      <c r="V83" s="394">
        <f>IFERROR(SUM(V77:V82),"0")</f>
        <v/>
      </c>
      <c r="W83" s="394">
        <f>IFERROR(IF(W77="",0,W77),"0")+IFERROR(IF(W78="",0,W78),"0")+IFERROR(IF(W79="",0,W79),"0")+IFERROR(IF(W80="",0,W80),"0")+IFERROR(IF(W81="",0,W81),"0")+IFERROR(IF(W82="",0,W82),"0")</f>
        <v/>
      </c>
      <c r="X83" s="395" t="n"/>
      <c r="Y83" s="39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92" t="n"/>
      <c r="M84" s="393" t="inlineStr">
        <is>
          <t>Итого</t>
        </is>
      </c>
      <c r="N84" s="363" t="n"/>
      <c r="O84" s="363" t="n"/>
      <c r="P84" s="363" t="n"/>
      <c r="Q84" s="363" t="n"/>
      <c r="R84" s="363" t="n"/>
      <c r="S84" s="364" t="n"/>
      <c r="T84" s="43" t="inlineStr">
        <is>
          <t>кг</t>
        </is>
      </c>
      <c r="U84" s="394">
        <f>IFERROR(SUMPRODUCT(U77:U82*H77:H82),"0")</f>
        <v/>
      </c>
      <c r="V84" s="394">
        <f>IFERROR(SUMPRODUCT(V77:V82*H77:H82),"0")</f>
        <v/>
      </c>
      <c r="W84" s="43" t="n"/>
      <c r="X84" s="395" t="n"/>
      <c r="Y84" s="395" t="n"/>
    </row>
    <row r="85" ht="16.5" customHeight="1">
      <c r="A85" s="202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202" t="n"/>
      <c r="Y85" s="202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93" t="n"/>
      <c r="Y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5" t="n">
        <v>4607025784012</v>
      </c>
      <c r="E87" s="355" t="n"/>
      <c r="F87" s="387" t="n">
        <v>0.09</v>
      </c>
      <c r="G87" s="38" t="n">
        <v>24</v>
      </c>
      <c r="H87" s="387" t="n">
        <v>2.16</v>
      </c>
      <c r="I87" s="387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42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89" t="n"/>
      <c r="O87" s="389" t="n"/>
      <c r="P87" s="389" t="n"/>
      <c r="Q87" s="355" t="n"/>
      <c r="R87" s="40" t="inlineStr"/>
      <c r="S87" s="40" t="inlineStr"/>
      <c r="T87" s="41" t="inlineStr">
        <is>
          <t>кор</t>
        </is>
      </c>
      <c r="U87" s="390" t="n">
        <v>0</v>
      </c>
      <c r="V87" s="391">
        <f>IFERROR(IF(U87="","",U87),"")</f>
        <v/>
      </c>
      <c r="W87" s="42">
        <f>IFERROR(IF(U87="","",U87*0.00936),"")</f>
        <v/>
      </c>
      <c r="X87" s="69" t="inlineStr"/>
      <c r="Y87" s="70" t="inlineStr"/>
      <c r="AC87" s="74" t="n"/>
      <c r="AZ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5" t="n">
        <v>4607025784319</v>
      </c>
      <c r="E88" s="355" t="n"/>
      <c r="F88" s="387" t="n">
        <v>0.36</v>
      </c>
      <c r="G88" s="38" t="n">
        <v>10</v>
      </c>
      <c r="H88" s="387" t="n">
        <v>3.6</v>
      </c>
      <c r="I88" s="387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42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89" t="n"/>
      <c r="O88" s="389" t="n"/>
      <c r="P88" s="389" t="n"/>
      <c r="Q88" s="355" t="n"/>
      <c r="R88" s="40" t="inlineStr"/>
      <c r="S88" s="40" t="inlineStr"/>
      <c r="T88" s="41" t="inlineStr">
        <is>
          <t>кор</t>
        </is>
      </c>
      <c r="U88" s="390" t="n">
        <v>0</v>
      </c>
      <c r="V88" s="391">
        <f>IFERROR(IF(U88="","",U88),"")</f>
        <v/>
      </c>
      <c r="W88" s="42">
        <f>IFERROR(IF(U88="","",U88*0.01788),"")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5" t="n">
        <v>4607111035370</v>
      </c>
      <c r="E89" s="355" t="n"/>
      <c r="F89" s="387" t="n">
        <v>0.14</v>
      </c>
      <c r="G89" s="38" t="n">
        <v>22</v>
      </c>
      <c r="H89" s="387" t="n">
        <v>3.08</v>
      </c>
      <c r="I89" s="387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42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89" t="n"/>
      <c r="O89" s="389" t="n"/>
      <c r="P89" s="389" t="n"/>
      <c r="Q89" s="355" t="n"/>
      <c r="R89" s="40" t="inlineStr"/>
      <c r="S89" s="40" t="inlineStr"/>
      <c r="T89" s="41" t="inlineStr">
        <is>
          <t>кор</t>
        </is>
      </c>
      <c r="U89" s="390" t="n">
        <v>0</v>
      </c>
      <c r="V89" s="391">
        <f>IFERROR(IF(U89="","",U89),"")</f>
        <v/>
      </c>
      <c r="W89" s="42">
        <f>IFERROR(IF(U89="","",U89*0.0155),"")</f>
        <v/>
      </c>
      <c r="X89" s="69" t="inlineStr"/>
      <c r="Y89" s="70" t="inlineStr"/>
      <c r="AC89" s="74" t="n"/>
      <c r="AZ89" s="106" t="inlineStr">
        <is>
          <t>ПГП</t>
        </is>
      </c>
    </row>
    <row r="90">
      <c r="A90" s="180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92" t="n"/>
      <c r="M90" s="393" t="inlineStr">
        <is>
          <t>Итого</t>
        </is>
      </c>
      <c r="N90" s="363" t="n"/>
      <c r="O90" s="363" t="n"/>
      <c r="P90" s="363" t="n"/>
      <c r="Q90" s="363" t="n"/>
      <c r="R90" s="363" t="n"/>
      <c r="S90" s="364" t="n"/>
      <c r="T90" s="43" t="inlineStr">
        <is>
          <t>кор</t>
        </is>
      </c>
      <c r="U90" s="394">
        <f>IFERROR(SUM(U87:U89),"0")</f>
        <v/>
      </c>
      <c r="V90" s="394">
        <f>IFERROR(SUM(V87:V89),"0")</f>
        <v/>
      </c>
      <c r="W90" s="394">
        <f>IFERROR(IF(W87="",0,W87),"0")+IFERROR(IF(W88="",0,W88),"0")+IFERROR(IF(W89="",0,W89),"0")</f>
        <v/>
      </c>
      <c r="X90" s="395" t="n"/>
      <c r="Y90" s="39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92" t="n"/>
      <c r="M91" s="393" t="inlineStr">
        <is>
          <t>Итого</t>
        </is>
      </c>
      <c r="N91" s="363" t="n"/>
      <c r="O91" s="363" t="n"/>
      <c r="P91" s="363" t="n"/>
      <c r="Q91" s="363" t="n"/>
      <c r="R91" s="363" t="n"/>
      <c r="S91" s="364" t="n"/>
      <c r="T91" s="43" t="inlineStr">
        <is>
          <t>кг</t>
        </is>
      </c>
      <c r="U91" s="394">
        <f>IFERROR(SUMPRODUCT(U87:U89*H87:H89),"0")</f>
        <v/>
      </c>
      <c r="V91" s="394">
        <f>IFERROR(SUMPRODUCT(V87:V89*H87:H89),"0")</f>
        <v/>
      </c>
      <c r="W91" s="43" t="n"/>
      <c r="X91" s="395" t="n"/>
      <c r="Y91" s="395" t="n"/>
    </row>
    <row r="92" ht="16.5" customHeight="1">
      <c r="A92" s="202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202" t="n"/>
      <c r="Y92" s="202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93" t="n"/>
      <c r="Y93" s="193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85" t="n">
        <v>4607111033970</v>
      </c>
      <c r="E94" s="355" t="n"/>
      <c r="F94" s="387" t="n">
        <v>0.43</v>
      </c>
      <c r="G94" s="38" t="n">
        <v>16</v>
      </c>
      <c r="H94" s="387" t="n">
        <v>6.88</v>
      </c>
      <c r="I94" s="387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26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89" t="n"/>
      <c r="O94" s="389" t="n"/>
      <c r="P94" s="389" t="n"/>
      <c r="Q94" s="355" t="n"/>
      <c r="R94" s="40" t="inlineStr"/>
      <c r="S94" s="40" t="inlineStr"/>
      <c r="T94" s="41" t="inlineStr">
        <is>
          <t>кор</t>
        </is>
      </c>
      <c r="U94" s="390" t="n">
        <v>26</v>
      </c>
      <c r="V94" s="391">
        <f>IFERROR(IF(U94="","",U94),"")</f>
        <v/>
      </c>
      <c r="W94" s="42">
        <f>IFERROR(IF(U94="","",U94*0.0155),"")</f>
        <v/>
      </c>
      <c r="X94" s="69" t="inlineStr"/>
      <c r="Y94" s="70" t="inlineStr"/>
      <c r="AC94" s="74" t="n"/>
      <c r="AZ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85" t="n">
        <v>4607111034144</v>
      </c>
      <c r="E95" s="355" t="n"/>
      <c r="F95" s="387" t="n">
        <v>0.9</v>
      </c>
      <c r="G95" s="38" t="n">
        <v>8</v>
      </c>
      <c r="H95" s="387" t="n">
        <v>7.2</v>
      </c>
      <c r="I95" s="387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27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89" t="n"/>
      <c r="O95" s="389" t="n"/>
      <c r="P95" s="389" t="n"/>
      <c r="Q95" s="355" t="n"/>
      <c r="R95" s="40" t="inlineStr"/>
      <c r="S95" s="40" t="inlineStr"/>
      <c r="T95" s="41" t="inlineStr">
        <is>
          <t>кор</t>
        </is>
      </c>
      <c r="U95" s="390" t="n">
        <v>54</v>
      </c>
      <c r="V95" s="391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85" t="n">
        <v>4607111033987</v>
      </c>
      <c r="E96" s="355" t="n"/>
      <c r="F96" s="387" t="n">
        <v>0.43</v>
      </c>
      <c r="G96" s="38" t="n">
        <v>16</v>
      </c>
      <c r="H96" s="387" t="n">
        <v>6.88</v>
      </c>
      <c r="I96" s="387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2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89" t="n"/>
      <c r="O96" s="389" t="n"/>
      <c r="P96" s="389" t="n"/>
      <c r="Q96" s="355" t="n"/>
      <c r="R96" s="40" t="inlineStr"/>
      <c r="S96" s="40" t="inlineStr"/>
      <c r="T96" s="41" t="inlineStr">
        <is>
          <t>кор</t>
        </is>
      </c>
      <c r="U96" s="390" t="n">
        <v>50</v>
      </c>
      <c r="V96" s="391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85" t="n">
        <v>4607111034151</v>
      </c>
      <c r="E97" s="355" t="n"/>
      <c r="F97" s="387" t="n">
        <v>0.9</v>
      </c>
      <c r="G97" s="38" t="n">
        <v>8</v>
      </c>
      <c r="H97" s="387" t="n">
        <v>7.2</v>
      </c>
      <c r="I97" s="387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29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89" t="n"/>
      <c r="O97" s="389" t="n"/>
      <c r="P97" s="389" t="n"/>
      <c r="Q97" s="355" t="n"/>
      <c r="R97" s="40" t="inlineStr"/>
      <c r="S97" s="40" t="inlineStr"/>
      <c r="T97" s="41" t="inlineStr">
        <is>
          <t>кор</t>
        </is>
      </c>
      <c r="U97" s="390" t="n">
        <v>100</v>
      </c>
      <c r="V97" s="391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>
      <c r="A98" s="180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92" t="n"/>
      <c r="M98" s="393" t="inlineStr">
        <is>
          <t>Итого</t>
        </is>
      </c>
      <c r="N98" s="363" t="n"/>
      <c r="O98" s="363" t="n"/>
      <c r="P98" s="363" t="n"/>
      <c r="Q98" s="363" t="n"/>
      <c r="R98" s="363" t="n"/>
      <c r="S98" s="364" t="n"/>
      <c r="T98" s="43" t="inlineStr">
        <is>
          <t>кор</t>
        </is>
      </c>
      <c r="U98" s="394">
        <f>IFERROR(SUM(U94:U97),"0")</f>
        <v/>
      </c>
      <c r="V98" s="394">
        <f>IFERROR(SUM(V94:V97),"0")</f>
        <v/>
      </c>
      <c r="W98" s="394">
        <f>IFERROR(IF(W94="",0,W94),"0")+IFERROR(IF(W95="",0,W95),"0")+IFERROR(IF(W96="",0,W96),"0")+IFERROR(IF(W97="",0,W97),"0")</f>
        <v/>
      </c>
      <c r="X98" s="395" t="n"/>
      <c r="Y98" s="39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92" t="n"/>
      <c r="M99" s="393" t="inlineStr">
        <is>
          <t>Итого</t>
        </is>
      </c>
      <c r="N99" s="363" t="n"/>
      <c r="O99" s="363" t="n"/>
      <c r="P99" s="363" t="n"/>
      <c r="Q99" s="363" t="n"/>
      <c r="R99" s="363" t="n"/>
      <c r="S99" s="364" t="n"/>
      <c r="T99" s="43" t="inlineStr">
        <is>
          <t>кг</t>
        </is>
      </c>
      <c r="U99" s="394">
        <f>IFERROR(SUMPRODUCT(U94:U97*H94:H97),"0")</f>
        <v/>
      </c>
      <c r="V99" s="394">
        <f>IFERROR(SUMPRODUCT(V94:V97*H94:H97),"0")</f>
        <v/>
      </c>
      <c r="W99" s="43" t="n"/>
      <c r="X99" s="395" t="n"/>
      <c r="Y99" s="395" t="n"/>
    </row>
    <row r="100" ht="16.5" customHeight="1">
      <c r="A100" s="202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202" t="n"/>
      <c r="Y100" s="202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93" t="n"/>
      <c r="Y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5" t="n">
        <v>4607111034014</v>
      </c>
      <c r="E102" s="355" t="n"/>
      <c r="F102" s="387" t="n">
        <v>0.25</v>
      </c>
      <c r="G102" s="38" t="n">
        <v>12</v>
      </c>
      <c r="H102" s="387" t="n">
        <v>3</v>
      </c>
      <c r="I102" s="387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3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2" s="389" t="n"/>
      <c r="O102" s="389" t="n"/>
      <c r="P102" s="389" t="n"/>
      <c r="Q102" s="355" t="n"/>
      <c r="R102" s="40" t="inlineStr"/>
      <c r="S102" s="40" t="inlineStr"/>
      <c r="T102" s="41" t="inlineStr">
        <is>
          <t>кор</t>
        </is>
      </c>
      <c r="U102" s="390" t="n">
        <v>142</v>
      </c>
      <c r="V102" s="391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74" t="n"/>
      <c r="AZ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5" t="n">
        <v>4607111033994</v>
      </c>
      <c r="E103" s="355" t="n"/>
      <c r="F103" s="387" t="n">
        <v>0.25</v>
      </c>
      <c r="G103" s="38" t="n">
        <v>12</v>
      </c>
      <c r="H103" s="387" t="n">
        <v>3</v>
      </c>
      <c r="I103" s="387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3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89" t="n"/>
      <c r="O103" s="389" t="n"/>
      <c r="P103" s="389" t="n"/>
      <c r="Q103" s="355" t="n"/>
      <c r="R103" s="40" t="inlineStr"/>
      <c r="S103" s="40" t="inlineStr"/>
      <c r="T103" s="41" t="inlineStr">
        <is>
          <t>кор</t>
        </is>
      </c>
      <c r="U103" s="390" t="n">
        <v>133</v>
      </c>
      <c r="V103" s="391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>
      <c r="A104" s="180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92" t="n"/>
      <c r="M104" s="393" t="inlineStr">
        <is>
          <t>Итого</t>
        </is>
      </c>
      <c r="N104" s="363" t="n"/>
      <c r="O104" s="363" t="n"/>
      <c r="P104" s="363" t="n"/>
      <c r="Q104" s="363" t="n"/>
      <c r="R104" s="363" t="n"/>
      <c r="S104" s="364" t="n"/>
      <c r="T104" s="43" t="inlineStr">
        <is>
          <t>кор</t>
        </is>
      </c>
      <c r="U104" s="394">
        <f>IFERROR(SUM(U102:U103),"0")</f>
        <v/>
      </c>
      <c r="V104" s="394">
        <f>IFERROR(SUM(V102:V103),"0")</f>
        <v/>
      </c>
      <c r="W104" s="394">
        <f>IFERROR(IF(W102="",0,W102),"0")+IFERROR(IF(W103="",0,W103),"0")</f>
        <v/>
      </c>
      <c r="X104" s="395" t="n"/>
      <c r="Y104" s="39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92" t="n"/>
      <c r="M105" s="393" t="inlineStr">
        <is>
          <t>Итого</t>
        </is>
      </c>
      <c r="N105" s="363" t="n"/>
      <c r="O105" s="363" t="n"/>
      <c r="P105" s="363" t="n"/>
      <c r="Q105" s="363" t="n"/>
      <c r="R105" s="363" t="n"/>
      <c r="S105" s="364" t="n"/>
      <c r="T105" s="43" t="inlineStr">
        <is>
          <t>кг</t>
        </is>
      </c>
      <c r="U105" s="394">
        <f>IFERROR(SUMPRODUCT(U102:U103*H102:H103),"0")</f>
        <v/>
      </c>
      <c r="V105" s="394">
        <f>IFERROR(SUMPRODUCT(V102:V103*H102:H103),"0")</f>
        <v/>
      </c>
      <c r="W105" s="43" t="n"/>
      <c r="X105" s="395" t="n"/>
      <c r="Y105" s="395" t="n"/>
    </row>
    <row r="106" ht="16.5" customHeight="1">
      <c r="A106" s="202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202" t="n"/>
      <c r="Y106" s="202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93" t="n"/>
      <c r="Y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5" t="n">
        <v>4607111034199</v>
      </c>
      <c r="E108" s="355" t="n"/>
      <c r="F108" s="387" t="n">
        <v>0.25</v>
      </c>
      <c r="G108" s="38" t="n">
        <v>12</v>
      </c>
      <c r="H108" s="387" t="n">
        <v>3</v>
      </c>
      <c r="I108" s="387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32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89" t="n"/>
      <c r="O108" s="389" t="n"/>
      <c r="P108" s="389" t="n"/>
      <c r="Q108" s="355" t="n"/>
      <c r="R108" s="40" t="inlineStr"/>
      <c r="S108" s="40" t="inlineStr"/>
      <c r="T108" s="41" t="inlineStr">
        <is>
          <t>кор</t>
        </is>
      </c>
      <c r="U108" s="390" t="n">
        <v>125</v>
      </c>
      <c r="V108" s="391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3" t="inlineStr">
        <is>
          <t>ПГП</t>
        </is>
      </c>
    </row>
    <row r="109">
      <c r="A109" s="180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92" t="n"/>
      <c r="M109" s="393" t="inlineStr">
        <is>
          <t>Итого</t>
        </is>
      </c>
      <c r="N109" s="363" t="n"/>
      <c r="O109" s="363" t="n"/>
      <c r="P109" s="363" t="n"/>
      <c r="Q109" s="363" t="n"/>
      <c r="R109" s="363" t="n"/>
      <c r="S109" s="364" t="n"/>
      <c r="T109" s="43" t="inlineStr">
        <is>
          <t>кор</t>
        </is>
      </c>
      <c r="U109" s="394">
        <f>IFERROR(SUM(U108:U108),"0")</f>
        <v/>
      </c>
      <c r="V109" s="394">
        <f>IFERROR(SUM(V108:V108),"0")</f>
        <v/>
      </c>
      <c r="W109" s="394">
        <f>IFERROR(IF(W108="",0,W108),"0")</f>
        <v/>
      </c>
      <c r="X109" s="395" t="n"/>
      <c r="Y109" s="39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92" t="n"/>
      <c r="M110" s="393" t="inlineStr">
        <is>
          <t>Итого</t>
        </is>
      </c>
      <c r="N110" s="363" t="n"/>
      <c r="O110" s="363" t="n"/>
      <c r="P110" s="363" t="n"/>
      <c r="Q110" s="363" t="n"/>
      <c r="R110" s="363" t="n"/>
      <c r="S110" s="364" t="n"/>
      <c r="T110" s="43" t="inlineStr">
        <is>
          <t>кг</t>
        </is>
      </c>
      <c r="U110" s="394">
        <f>IFERROR(SUMPRODUCT(U108:U108*H108:H108),"0")</f>
        <v/>
      </c>
      <c r="V110" s="394">
        <f>IFERROR(SUMPRODUCT(V108:V108*H108:H108),"0")</f>
        <v/>
      </c>
      <c r="W110" s="43" t="n"/>
      <c r="X110" s="395" t="n"/>
      <c r="Y110" s="395" t="n"/>
    </row>
    <row r="111" ht="16.5" customHeight="1">
      <c r="A111" s="202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02" t="n"/>
      <c r="Y111" s="202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93" t="n"/>
      <c r="Y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5" t="n">
        <v>4607111034670</v>
      </c>
      <c r="E113" s="355" t="n"/>
      <c r="F113" s="387" t="n">
        <v>3</v>
      </c>
      <c r="G113" s="38" t="n">
        <v>1</v>
      </c>
      <c r="H113" s="387" t="n">
        <v>3</v>
      </c>
      <c r="I113" s="387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3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89" t="n"/>
      <c r="O113" s="389" t="n"/>
      <c r="P113" s="389" t="n"/>
      <c r="Q113" s="355" t="n"/>
      <c r="R113" s="40" t="inlineStr"/>
      <c r="S113" s="40" t="inlineStr"/>
      <c r="T113" s="41" t="inlineStr">
        <is>
          <t>кор</t>
        </is>
      </c>
      <c r="U113" s="390" t="n">
        <v>0</v>
      </c>
      <c r="V113" s="391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74" t="n"/>
      <c r="AZ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5" t="n">
        <v>4607111034687</v>
      </c>
      <c r="E114" s="355" t="n"/>
      <c r="F114" s="387" t="n">
        <v>3</v>
      </c>
      <c r="G114" s="38" t="n">
        <v>1</v>
      </c>
      <c r="H114" s="387" t="n">
        <v>3</v>
      </c>
      <c r="I114" s="387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34" t="inlineStr">
        <is>
          <t>Круггетсы сочные Хорека Весовые Пакет 3 кг Горячая штучка</t>
        </is>
      </c>
      <c r="N114" s="389" t="n"/>
      <c r="O114" s="389" t="n"/>
      <c r="P114" s="389" t="n"/>
      <c r="Q114" s="355" t="n"/>
      <c r="R114" s="40" t="inlineStr"/>
      <c r="S114" s="40" t="inlineStr"/>
      <c r="T114" s="41" t="inlineStr">
        <is>
          <t>кор</t>
        </is>
      </c>
      <c r="U114" s="390" t="n">
        <v>0</v>
      </c>
      <c r="V114" s="391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5" t="n">
        <v>4607111034380</v>
      </c>
      <c r="E115" s="355" t="n"/>
      <c r="F115" s="387" t="n">
        <v>0.25</v>
      </c>
      <c r="G115" s="38" t="n">
        <v>12</v>
      </c>
      <c r="H115" s="387" t="n">
        <v>3</v>
      </c>
      <c r="I115" s="387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3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5" s="389" t="n"/>
      <c r="O115" s="389" t="n"/>
      <c r="P115" s="389" t="n"/>
      <c r="Q115" s="355" t="n"/>
      <c r="R115" s="40" t="inlineStr"/>
      <c r="S115" s="40" t="inlineStr"/>
      <c r="T115" s="41" t="inlineStr">
        <is>
          <t>кор</t>
        </is>
      </c>
      <c r="U115" s="390" t="n">
        <v>0</v>
      </c>
      <c r="V115" s="391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5" t="n">
        <v>4607111034397</v>
      </c>
      <c r="E116" s="355" t="n"/>
      <c r="F116" s="387" t="n">
        <v>0.25</v>
      </c>
      <c r="G116" s="38" t="n">
        <v>12</v>
      </c>
      <c r="H116" s="387" t="n">
        <v>3</v>
      </c>
      <c r="I116" s="387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3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6" s="389" t="n"/>
      <c r="O116" s="389" t="n"/>
      <c r="P116" s="389" t="n"/>
      <c r="Q116" s="355" t="n"/>
      <c r="R116" s="40" t="inlineStr"/>
      <c r="S116" s="40" t="inlineStr"/>
      <c r="T116" s="41" t="inlineStr">
        <is>
          <t>кор</t>
        </is>
      </c>
      <c r="U116" s="390" t="n">
        <v>0</v>
      </c>
      <c r="V116" s="391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>
      <c r="A117" s="18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92" t="n"/>
      <c r="M117" s="393" t="inlineStr">
        <is>
          <t>Итого</t>
        </is>
      </c>
      <c r="N117" s="363" t="n"/>
      <c r="O117" s="363" t="n"/>
      <c r="P117" s="363" t="n"/>
      <c r="Q117" s="363" t="n"/>
      <c r="R117" s="363" t="n"/>
      <c r="S117" s="364" t="n"/>
      <c r="T117" s="43" t="inlineStr">
        <is>
          <t>кор</t>
        </is>
      </c>
      <c r="U117" s="394">
        <f>IFERROR(SUM(U113:U116),"0")</f>
        <v/>
      </c>
      <c r="V117" s="394">
        <f>IFERROR(SUM(V113:V116),"0")</f>
        <v/>
      </c>
      <c r="W117" s="394">
        <f>IFERROR(IF(W113="",0,W113),"0")+IFERROR(IF(W114="",0,W114),"0")+IFERROR(IF(W115="",0,W115),"0")+IFERROR(IF(W116="",0,W116),"0")</f>
        <v/>
      </c>
      <c r="X117" s="395" t="n"/>
      <c r="Y117" s="39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92" t="n"/>
      <c r="M118" s="393" t="inlineStr">
        <is>
          <t>Итого</t>
        </is>
      </c>
      <c r="N118" s="363" t="n"/>
      <c r="O118" s="363" t="n"/>
      <c r="P118" s="363" t="n"/>
      <c r="Q118" s="363" t="n"/>
      <c r="R118" s="363" t="n"/>
      <c r="S118" s="364" t="n"/>
      <c r="T118" s="43" t="inlineStr">
        <is>
          <t>кг</t>
        </is>
      </c>
      <c r="U118" s="394">
        <f>IFERROR(SUMPRODUCT(U113:U116*H113:H116),"0")</f>
        <v/>
      </c>
      <c r="V118" s="394">
        <f>IFERROR(SUMPRODUCT(V113:V116*H113:H116),"0")</f>
        <v/>
      </c>
      <c r="W118" s="43" t="n"/>
      <c r="X118" s="395" t="n"/>
      <c r="Y118" s="395" t="n"/>
    </row>
    <row r="119" ht="16.5" customHeight="1">
      <c r="A119" s="202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202" t="n"/>
      <c r="Y119" s="202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93" t="n"/>
      <c r="Y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5" t="n">
        <v>4607111035806</v>
      </c>
      <c r="E121" s="355" t="n"/>
      <c r="F121" s="387" t="n">
        <v>0.25</v>
      </c>
      <c r="G121" s="38" t="n">
        <v>12</v>
      </c>
      <c r="H121" s="387" t="n">
        <v>3</v>
      </c>
      <c r="I121" s="387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3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89" t="n"/>
      <c r="O121" s="389" t="n"/>
      <c r="P121" s="389" t="n"/>
      <c r="Q121" s="355" t="n"/>
      <c r="R121" s="40" t="inlineStr"/>
      <c r="S121" s="40" t="inlineStr"/>
      <c r="T121" s="41" t="inlineStr">
        <is>
          <t>кор</t>
        </is>
      </c>
      <c r="U121" s="390" t="n">
        <v>0</v>
      </c>
      <c r="V121" s="391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18" t="inlineStr">
        <is>
          <t>ПГП</t>
        </is>
      </c>
    </row>
    <row r="122">
      <c r="A122" s="180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92" t="n"/>
      <c r="M122" s="393" t="inlineStr">
        <is>
          <t>Итого</t>
        </is>
      </c>
      <c r="N122" s="363" t="n"/>
      <c r="O122" s="363" t="n"/>
      <c r="P122" s="363" t="n"/>
      <c r="Q122" s="363" t="n"/>
      <c r="R122" s="363" t="n"/>
      <c r="S122" s="364" t="n"/>
      <c r="T122" s="43" t="inlineStr">
        <is>
          <t>кор</t>
        </is>
      </c>
      <c r="U122" s="394">
        <f>IFERROR(SUM(U121:U121),"0")</f>
        <v/>
      </c>
      <c r="V122" s="394">
        <f>IFERROR(SUM(V121:V121),"0")</f>
        <v/>
      </c>
      <c r="W122" s="394">
        <f>IFERROR(IF(W121="",0,W121),"0")</f>
        <v/>
      </c>
      <c r="X122" s="395" t="n"/>
      <c r="Y122" s="39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92" t="n"/>
      <c r="M123" s="393" t="inlineStr">
        <is>
          <t>Итого</t>
        </is>
      </c>
      <c r="N123" s="363" t="n"/>
      <c r="O123" s="363" t="n"/>
      <c r="P123" s="363" t="n"/>
      <c r="Q123" s="363" t="n"/>
      <c r="R123" s="363" t="n"/>
      <c r="S123" s="364" t="n"/>
      <c r="T123" s="43" t="inlineStr">
        <is>
          <t>кг</t>
        </is>
      </c>
      <c r="U123" s="394">
        <f>IFERROR(SUMPRODUCT(U121:U121*H121:H121),"0")</f>
        <v/>
      </c>
      <c r="V123" s="394">
        <f>IFERROR(SUMPRODUCT(V121:V121*H121:H121),"0")</f>
        <v/>
      </c>
      <c r="W123" s="43" t="n"/>
      <c r="X123" s="395" t="n"/>
      <c r="Y123" s="395" t="n"/>
    </row>
    <row r="124" ht="16.5" customHeight="1">
      <c r="A124" s="202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202" t="n"/>
      <c r="Y124" s="202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93" t="n"/>
      <c r="Y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5" t="n">
        <v>4607111035639</v>
      </c>
      <c r="E126" s="355" t="n"/>
      <c r="F126" s="387" t="n">
        <v>0.2</v>
      </c>
      <c r="G126" s="38" t="n">
        <v>12</v>
      </c>
      <c r="H126" s="387" t="n">
        <v>2.4</v>
      </c>
      <c r="I126" s="387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3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89" t="n"/>
      <c r="O126" s="389" t="n"/>
      <c r="P126" s="389" t="n"/>
      <c r="Q126" s="355" t="n"/>
      <c r="R126" s="40" t="inlineStr"/>
      <c r="S126" s="40" t="inlineStr"/>
      <c r="T126" s="41" t="inlineStr">
        <is>
          <t>кор</t>
        </is>
      </c>
      <c r="U126" s="390" t="n">
        <v>0</v>
      </c>
      <c r="V126" s="391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74" t="n"/>
      <c r="AZ126" s="119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85" t="n">
        <v>4607111035646</v>
      </c>
      <c r="E127" s="355" t="n"/>
      <c r="F127" s="387" t="n">
        <v>0.2</v>
      </c>
      <c r="G127" s="38" t="n">
        <v>12</v>
      </c>
      <c r="H127" s="387" t="n">
        <v>2.4</v>
      </c>
      <c r="I127" s="387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39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89" t="n"/>
      <c r="O127" s="389" t="n"/>
      <c r="P127" s="389" t="n"/>
      <c r="Q127" s="355" t="n"/>
      <c r="R127" s="40" t="inlineStr"/>
      <c r="S127" s="40" t="inlineStr"/>
      <c r="T127" s="41" t="inlineStr">
        <is>
          <t>кор</t>
        </is>
      </c>
      <c r="U127" s="390" t="n">
        <v>0</v>
      </c>
      <c r="V127" s="391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>
      <c r="A128" s="180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92" t="n"/>
      <c r="M128" s="393" t="inlineStr">
        <is>
          <t>Итого</t>
        </is>
      </c>
      <c r="N128" s="363" t="n"/>
      <c r="O128" s="363" t="n"/>
      <c r="P128" s="363" t="n"/>
      <c r="Q128" s="363" t="n"/>
      <c r="R128" s="363" t="n"/>
      <c r="S128" s="364" t="n"/>
      <c r="T128" s="43" t="inlineStr">
        <is>
          <t>кор</t>
        </is>
      </c>
      <c r="U128" s="394">
        <f>IFERROR(SUM(U126:U127),"0")</f>
        <v/>
      </c>
      <c r="V128" s="394">
        <f>IFERROR(SUM(V126:V127),"0")</f>
        <v/>
      </c>
      <c r="W128" s="394">
        <f>IFERROR(IF(W126="",0,W126),"0")+IFERROR(IF(W127="",0,W127),"0")</f>
        <v/>
      </c>
      <c r="X128" s="395" t="n"/>
      <c r="Y128" s="39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92" t="n"/>
      <c r="M129" s="393" t="inlineStr">
        <is>
          <t>Итого</t>
        </is>
      </c>
      <c r="N129" s="363" t="n"/>
      <c r="O129" s="363" t="n"/>
      <c r="P129" s="363" t="n"/>
      <c r="Q129" s="363" t="n"/>
      <c r="R129" s="363" t="n"/>
      <c r="S129" s="364" t="n"/>
      <c r="T129" s="43" t="inlineStr">
        <is>
          <t>кг</t>
        </is>
      </c>
      <c r="U129" s="394">
        <f>IFERROR(SUMPRODUCT(U126:U127*H126:H127),"0")</f>
        <v/>
      </c>
      <c r="V129" s="394">
        <f>IFERROR(SUMPRODUCT(V126:V127*H126:H127),"0")</f>
        <v/>
      </c>
      <c r="W129" s="43" t="n"/>
      <c r="X129" s="395" t="n"/>
      <c r="Y129" s="395" t="n"/>
    </row>
    <row r="130" ht="16.5" customHeight="1">
      <c r="A130" s="202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202" t="n"/>
      <c r="Y130" s="202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93" t="n"/>
      <c r="Y131" s="193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85" t="n">
        <v>4607111036124</v>
      </c>
      <c r="E132" s="355" t="n"/>
      <c r="F132" s="387" t="n">
        <v>0.4</v>
      </c>
      <c r="G132" s="38" t="n">
        <v>12</v>
      </c>
      <c r="H132" s="387" t="n">
        <v>4.8</v>
      </c>
      <c r="I132" s="387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40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89" t="n"/>
      <c r="O132" s="389" t="n"/>
      <c r="P132" s="389" t="n"/>
      <c r="Q132" s="355" t="n"/>
      <c r="R132" s="40" t="inlineStr"/>
      <c r="S132" s="40" t="inlineStr"/>
      <c r="T132" s="41" t="inlineStr">
        <is>
          <t>кор</t>
        </is>
      </c>
      <c r="U132" s="390" t="n">
        <v>0</v>
      </c>
      <c r="V132" s="391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74" t="n"/>
      <c r="AZ132" s="121" t="inlineStr">
        <is>
          <t>ПГП</t>
        </is>
      </c>
    </row>
    <row r="133">
      <c r="A133" s="18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92" t="n"/>
      <c r="M133" s="393" t="inlineStr">
        <is>
          <t>Итого</t>
        </is>
      </c>
      <c r="N133" s="363" t="n"/>
      <c r="O133" s="363" t="n"/>
      <c r="P133" s="363" t="n"/>
      <c r="Q133" s="363" t="n"/>
      <c r="R133" s="363" t="n"/>
      <c r="S133" s="364" t="n"/>
      <c r="T133" s="43" t="inlineStr">
        <is>
          <t>кор</t>
        </is>
      </c>
      <c r="U133" s="394">
        <f>IFERROR(SUM(U132:U132),"0")</f>
        <v/>
      </c>
      <c r="V133" s="394">
        <f>IFERROR(SUM(V132:V132),"0")</f>
        <v/>
      </c>
      <c r="W133" s="394">
        <f>IFERROR(IF(W132="",0,W132),"0")</f>
        <v/>
      </c>
      <c r="X133" s="395" t="n"/>
      <c r="Y133" s="39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92" t="n"/>
      <c r="M134" s="393" t="inlineStr">
        <is>
          <t>Итого</t>
        </is>
      </c>
      <c r="N134" s="363" t="n"/>
      <c r="O134" s="363" t="n"/>
      <c r="P134" s="363" t="n"/>
      <c r="Q134" s="363" t="n"/>
      <c r="R134" s="363" t="n"/>
      <c r="S134" s="364" t="n"/>
      <c r="T134" s="43" t="inlineStr">
        <is>
          <t>кг</t>
        </is>
      </c>
      <c r="U134" s="394">
        <f>IFERROR(SUMPRODUCT(U132:U132*H132:H132),"0")</f>
        <v/>
      </c>
      <c r="V134" s="394">
        <f>IFERROR(SUMPRODUCT(V132:V132*H132:H132),"0")</f>
        <v/>
      </c>
      <c r="W134" s="43" t="n"/>
      <c r="X134" s="395" t="n"/>
      <c r="Y134" s="395" t="n"/>
    </row>
    <row r="135" ht="27.75" customHeight="1">
      <c r="A135" s="204" t="inlineStr">
        <is>
          <t>No Name</t>
        </is>
      </c>
      <c r="B135" s="386" t="n"/>
      <c r="C135" s="386" t="n"/>
      <c r="D135" s="386" t="n"/>
      <c r="E135" s="386" t="n"/>
      <c r="F135" s="386" t="n"/>
      <c r="G135" s="386" t="n"/>
      <c r="H135" s="386" t="n"/>
      <c r="I135" s="386" t="n"/>
      <c r="J135" s="386" t="n"/>
      <c r="K135" s="386" t="n"/>
      <c r="L135" s="386" t="n"/>
      <c r="M135" s="386" t="n"/>
      <c r="N135" s="386" t="n"/>
      <c r="O135" s="386" t="n"/>
      <c r="P135" s="386" t="n"/>
      <c r="Q135" s="386" t="n"/>
      <c r="R135" s="386" t="n"/>
      <c r="S135" s="386" t="n"/>
      <c r="T135" s="386" t="n"/>
      <c r="U135" s="386" t="n"/>
      <c r="V135" s="386" t="n"/>
      <c r="W135" s="386" t="n"/>
      <c r="X135" s="55" t="n"/>
      <c r="Y135" s="55" t="n"/>
    </row>
    <row r="136" ht="16.5" customHeight="1">
      <c r="A136" s="202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202" t="n"/>
      <c r="Y136" s="202" t="n"/>
    </row>
    <row r="137" ht="14.25" customHeight="1">
      <c r="A137" s="193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93" t="n"/>
      <c r="Y137" s="193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85" t="n">
        <v>4607111037930</v>
      </c>
      <c r="E138" s="355" t="n"/>
      <c r="F138" s="387" t="n">
        <v>1.8</v>
      </c>
      <c r="G138" s="38" t="n">
        <v>1</v>
      </c>
      <c r="H138" s="387" t="n">
        <v>1.8</v>
      </c>
      <c r="I138" s="387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41">
        <f>HYPERLINK("https://abi.ru/products/Замороженные/No Name/No Name ПГП/Крылья/P003432/","Крылья «Хрустящие крылышки» Весовой ТМ «No Name»")</f>
        <v/>
      </c>
      <c r="N138" s="389" t="n"/>
      <c r="O138" s="389" t="n"/>
      <c r="P138" s="389" t="n"/>
      <c r="Q138" s="355" t="n"/>
      <c r="R138" s="40" t="inlineStr"/>
      <c r="S138" s="40" t="inlineStr"/>
      <c r="T138" s="41" t="inlineStr">
        <is>
          <t>кор</t>
        </is>
      </c>
      <c r="U138" s="390" t="n">
        <v>0</v>
      </c>
      <c r="V138" s="391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74" t="n"/>
      <c r="AZ138" s="122" t="inlineStr">
        <is>
          <t>ПГП</t>
        </is>
      </c>
    </row>
    <row r="139">
      <c r="A139" s="180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92" t="n"/>
      <c r="M139" s="393" t="inlineStr">
        <is>
          <t>Итого</t>
        </is>
      </c>
      <c r="N139" s="363" t="n"/>
      <c r="O139" s="363" t="n"/>
      <c r="P139" s="363" t="n"/>
      <c r="Q139" s="363" t="n"/>
      <c r="R139" s="363" t="n"/>
      <c r="S139" s="364" t="n"/>
      <c r="T139" s="43" t="inlineStr">
        <is>
          <t>кор</t>
        </is>
      </c>
      <c r="U139" s="394">
        <f>IFERROR(SUM(U138:U138),"0")</f>
        <v/>
      </c>
      <c r="V139" s="394">
        <f>IFERROR(SUM(V138:V138),"0")</f>
        <v/>
      </c>
      <c r="W139" s="394">
        <f>IFERROR(IF(W138="",0,W138),"0")</f>
        <v/>
      </c>
      <c r="X139" s="395" t="n"/>
      <c r="Y139" s="39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92" t="n"/>
      <c r="M140" s="393" t="inlineStr">
        <is>
          <t>Итого</t>
        </is>
      </c>
      <c r="N140" s="363" t="n"/>
      <c r="O140" s="363" t="n"/>
      <c r="P140" s="363" t="n"/>
      <c r="Q140" s="363" t="n"/>
      <c r="R140" s="363" t="n"/>
      <c r="S140" s="364" t="n"/>
      <c r="T140" s="43" t="inlineStr">
        <is>
          <t>кг</t>
        </is>
      </c>
      <c r="U140" s="394">
        <f>IFERROR(SUMPRODUCT(U138:U138*H138:H138),"0")</f>
        <v/>
      </c>
      <c r="V140" s="394">
        <f>IFERROR(SUMPRODUCT(V138:V138*H138:H138),"0")</f>
        <v/>
      </c>
      <c r="W140" s="43" t="n"/>
      <c r="X140" s="395" t="n"/>
      <c r="Y140" s="395" t="n"/>
    </row>
    <row r="141" ht="14.25" customHeight="1">
      <c r="A141" s="193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93" t="n"/>
      <c r="Y141" s="193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85" t="n">
        <v>4607111036872</v>
      </c>
      <c r="E142" s="355" t="n"/>
      <c r="F142" s="387" t="n">
        <v>1</v>
      </c>
      <c r="G142" s="38" t="n">
        <v>6</v>
      </c>
      <c r="H142" s="387" t="n">
        <v>6</v>
      </c>
      <c r="I142" s="387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42">
        <f>HYPERLINK("https://abi.ru/products/Замороженные/No Name/No Name ПГП/Наггетсы/P003016/","Наггетсы Хрустящие No Name Весовые No Name 6 кг ТОП-ЛКК, дистр")</f>
        <v/>
      </c>
      <c r="N142" s="389" t="n"/>
      <c r="O142" s="389" t="n"/>
      <c r="P142" s="389" t="n"/>
      <c r="Q142" s="355" t="n"/>
      <c r="R142" s="40" t="inlineStr"/>
      <c r="S142" s="40" t="inlineStr"/>
      <c r="T142" s="41" t="inlineStr">
        <is>
          <t>кор</t>
        </is>
      </c>
      <c r="U142" s="390" t="n">
        <v>231</v>
      </c>
      <c r="V142" s="391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74" t="n"/>
      <c r="AZ142" s="123" t="inlineStr">
        <is>
          <t>ПГП</t>
        </is>
      </c>
    </row>
    <row r="143">
      <c r="A143" s="1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92" t="n"/>
      <c r="M143" s="393" t="inlineStr">
        <is>
          <t>Итого</t>
        </is>
      </c>
      <c r="N143" s="363" t="n"/>
      <c r="O143" s="363" t="n"/>
      <c r="P143" s="363" t="n"/>
      <c r="Q143" s="363" t="n"/>
      <c r="R143" s="363" t="n"/>
      <c r="S143" s="364" t="n"/>
      <c r="T143" s="43" t="inlineStr">
        <is>
          <t>кор</t>
        </is>
      </c>
      <c r="U143" s="394">
        <f>IFERROR(SUM(U142:U142),"0")</f>
        <v/>
      </c>
      <c r="V143" s="394">
        <f>IFERROR(SUM(V142:V142),"0")</f>
        <v/>
      </c>
      <c r="W143" s="394">
        <f>IFERROR(IF(W142="",0,W142),"0")</f>
        <v/>
      </c>
      <c r="X143" s="395" t="n"/>
      <c r="Y143" s="395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92" t="n"/>
      <c r="M144" s="393" t="inlineStr">
        <is>
          <t>Итого</t>
        </is>
      </c>
      <c r="N144" s="363" t="n"/>
      <c r="O144" s="363" t="n"/>
      <c r="P144" s="363" t="n"/>
      <c r="Q144" s="363" t="n"/>
      <c r="R144" s="363" t="n"/>
      <c r="S144" s="364" t="n"/>
      <c r="T144" s="43" t="inlineStr">
        <is>
          <t>кг</t>
        </is>
      </c>
      <c r="U144" s="394">
        <f>IFERROR(SUMPRODUCT(U142:U142*H142:H142),"0")</f>
        <v/>
      </c>
      <c r="V144" s="394">
        <f>IFERROR(SUMPRODUCT(V142:V142*H142:H142),"0")</f>
        <v/>
      </c>
      <c r="W144" s="43" t="n"/>
      <c r="X144" s="395" t="n"/>
      <c r="Y144" s="395" t="n"/>
    </row>
    <row r="145" ht="14.25" customHeight="1">
      <c r="A145" s="193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93" t="n"/>
      <c r="Y145" s="193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85" t="n">
        <v>4607111036438</v>
      </c>
      <c r="E146" s="355" t="n"/>
      <c r="F146" s="387" t="n">
        <v>2.7</v>
      </c>
      <c r="G146" s="38" t="n">
        <v>1</v>
      </c>
      <c r="H146" s="387" t="n">
        <v>2.7</v>
      </c>
      <c r="I146" s="387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43">
        <f>HYPERLINK("https://abi.ru/products/Замороженные/No Name/No Name ПГП/Чебуреки/P002685/","Чебуреки Мясные No name Весовые No name 2,7 кг")</f>
        <v/>
      </c>
      <c r="N146" s="389" t="n"/>
      <c r="O146" s="389" t="n"/>
      <c r="P146" s="389" t="n"/>
      <c r="Q146" s="355" t="n"/>
      <c r="R146" s="40" t="inlineStr"/>
      <c r="S146" s="40" t="inlineStr"/>
      <c r="T146" s="41" t="inlineStr">
        <is>
          <t>кор</t>
        </is>
      </c>
      <c r="U146" s="390" t="n">
        <v>0</v>
      </c>
      <c r="V146" s="391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74" t="n"/>
      <c r="AZ146" s="124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85" t="n">
        <v>4607111036636</v>
      </c>
      <c r="E147" s="355" t="n"/>
      <c r="F147" s="387" t="n">
        <v>2.7</v>
      </c>
      <c r="G147" s="38" t="n">
        <v>1</v>
      </c>
      <c r="H147" s="387" t="n">
        <v>2.7</v>
      </c>
      <c r="I147" s="387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44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89" t="n"/>
      <c r="O147" s="389" t="n"/>
      <c r="P147" s="389" t="n"/>
      <c r="Q147" s="355" t="n"/>
      <c r="R147" s="40" t="inlineStr"/>
      <c r="S147" s="40" t="inlineStr"/>
      <c r="T147" s="41" t="inlineStr">
        <is>
          <t>кор</t>
        </is>
      </c>
      <c r="U147" s="390" t="n">
        <v>0</v>
      </c>
      <c r="V147" s="391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85" t="n">
        <v>4607111035714</v>
      </c>
      <c r="E148" s="355" t="n"/>
      <c r="F148" s="387" t="n">
        <v>5</v>
      </c>
      <c r="G148" s="38" t="n">
        <v>1</v>
      </c>
      <c r="H148" s="387" t="n">
        <v>5</v>
      </c>
      <c r="I148" s="387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45">
        <f>HYPERLINK("https://abi.ru/products/Замороженные/No Name/No Name ПГП/Чебуреки/P002166/","Чебуреки Чебуреки Сочные No Name Весовые No name 5 кг дистр")</f>
        <v/>
      </c>
      <c r="N148" s="389" t="n"/>
      <c r="O148" s="389" t="n"/>
      <c r="P148" s="389" t="n"/>
      <c r="Q148" s="355" t="n"/>
      <c r="R148" s="40" t="inlineStr"/>
      <c r="S148" s="40" t="inlineStr"/>
      <c r="T148" s="41" t="inlineStr">
        <is>
          <t>кор</t>
        </is>
      </c>
      <c r="U148" s="390" t="n">
        <v>0</v>
      </c>
      <c r="V148" s="391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85" t="n">
        <v>4607111038029</v>
      </c>
      <c r="E149" s="355" t="n"/>
      <c r="F149" s="387" t="n">
        <v>2.24</v>
      </c>
      <c r="G149" s="38" t="n">
        <v>1</v>
      </c>
      <c r="H149" s="387" t="n">
        <v>2.24</v>
      </c>
      <c r="I149" s="387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46" t="inlineStr">
        <is>
          <t>Чебуреки «Сочный мегачебурек» Весовой ТМ «No Name»</t>
        </is>
      </c>
      <c r="N149" s="389" t="n"/>
      <c r="O149" s="389" t="n"/>
      <c r="P149" s="389" t="n"/>
      <c r="Q149" s="355" t="n"/>
      <c r="R149" s="40" t="inlineStr"/>
      <c r="S149" s="40" t="inlineStr"/>
      <c r="T149" s="41" t="inlineStr">
        <is>
          <t>кор</t>
        </is>
      </c>
      <c r="U149" s="390" t="n">
        <v>179</v>
      </c>
      <c r="V149" s="391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>
      <c r="A150" s="180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92" t="n"/>
      <c r="M150" s="393" t="inlineStr">
        <is>
          <t>Итого</t>
        </is>
      </c>
      <c r="N150" s="363" t="n"/>
      <c r="O150" s="363" t="n"/>
      <c r="P150" s="363" t="n"/>
      <c r="Q150" s="363" t="n"/>
      <c r="R150" s="363" t="n"/>
      <c r="S150" s="364" t="n"/>
      <c r="T150" s="43" t="inlineStr">
        <is>
          <t>кор</t>
        </is>
      </c>
      <c r="U150" s="394">
        <f>IFERROR(SUM(U146:U149),"0")</f>
        <v/>
      </c>
      <c r="V150" s="394">
        <f>IFERROR(SUM(V146:V149),"0")</f>
        <v/>
      </c>
      <c r="W150" s="394">
        <f>IFERROR(IF(W146="",0,W146),"0")+IFERROR(IF(W147="",0,W147),"0")+IFERROR(IF(W148="",0,W148),"0")+IFERROR(IF(W149="",0,W149),"0")</f>
        <v/>
      </c>
      <c r="X150" s="395" t="n"/>
      <c r="Y150" s="395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92" t="n"/>
      <c r="M151" s="393" t="inlineStr">
        <is>
          <t>Итого</t>
        </is>
      </c>
      <c r="N151" s="363" t="n"/>
      <c r="O151" s="363" t="n"/>
      <c r="P151" s="363" t="n"/>
      <c r="Q151" s="363" t="n"/>
      <c r="R151" s="363" t="n"/>
      <c r="S151" s="364" t="n"/>
      <c r="T151" s="43" t="inlineStr">
        <is>
          <t>кг</t>
        </is>
      </c>
      <c r="U151" s="394">
        <f>IFERROR(SUMPRODUCT(U146:U149*H146:H149),"0")</f>
        <v/>
      </c>
      <c r="V151" s="394">
        <f>IFERROR(SUMPRODUCT(V146:V149*H146:H149),"0")</f>
        <v/>
      </c>
      <c r="W151" s="43" t="n"/>
      <c r="X151" s="395" t="n"/>
      <c r="Y151" s="395" t="n"/>
    </row>
    <row r="152" ht="14.25" customHeight="1">
      <c r="A152" s="193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93" t="n"/>
      <c r="Y152" s="193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85" t="n">
        <v>4607111037275</v>
      </c>
      <c r="E153" s="355" t="n"/>
      <c r="F153" s="387" t="n">
        <v>3</v>
      </c>
      <c r="G153" s="38" t="n">
        <v>1</v>
      </c>
      <c r="H153" s="387" t="n">
        <v>3</v>
      </c>
      <c r="I153" s="387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47">
        <f>HYPERLINK("https://abi.ru/products/Замороженные/No Name/No Name ПГП/Снеки/P003159/","Жар-боллы с курочкой и сыром No Name ПГП Весовой No Name")</f>
        <v/>
      </c>
      <c r="N153" s="389" t="n"/>
      <c r="O153" s="389" t="n"/>
      <c r="P153" s="389" t="n"/>
      <c r="Q153" s="355" t="n"/>
      <c r="R153" s="40" t="inlineStr"/>
      <c r="S153" s="40" t="inlineStr"/>
      <c r="T153" s="41" t="inlineStr">
        <is>
          <t>кор</t>
        </is>
      </c>
      <c r="U153" s="390" t="n">
        <v>0</v>
      </c>
      <c r="V153" s="391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28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85" t="n">
        <v>4607111037923</v>
      </c>
      <c r="E154" s="355" t="n"/>
      <c r="F154" s="387" t="n">
        <v>3.7</v>
      </c>
      <c r="G154" s="38" t="n">
        <v>1</v>
      </c>
      <c r="H154" s="387" t="n">
        <v>3.7</v>
      </c>
      <c r="I154" s="387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48">
        <f>HYPERLINK("https://abi.ru/products/Замороженные/No Name/No Name ПГП/Снеки/P003377/","«Жар-ладушки с клубникой и вишней» Весовые ТМ «No name»")</f>
        <v/>
      </c>
      <c r="N154" s="389" t="n"/>
      <c r="O154" s="389" t="n"/>
      <c r="P154" s="389" t="n"/>
      <c r="Q154" s="355" t="n"/>
      <c r="R154" s="40" t="inlineStr"/>
      <c r="S154" s="40" t="inlineStr"/>
      <c r="T154" s="41" t="inlineStr">
        <is>
          <t>кор</t>
        </is>
      </c>
      <c r="U154" s="390" t="n">
        <v>0</v>
      </c>
      <c r="V154" s="391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85" t="n">
        <v>4607111037220</v>
      </c>
      <c r="E155" s="355" t="n"/>
      <c r="F155" s="387" t="n">
        <v>3.7</v>
      </c>
      <c r="G155" s="38" t="n">
        <v>1</v>
      </c>
      <c r="H155" s="387" t="n">
        <v>3.7</v>
      </c>
      <c r="I155" s="387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49">
        <f>HYPERLINK("https://abi.ru/products/Замороженные/No Name/No Name ПГП/Снеки/P002732/","Жар-ладушки с мясом No name ПГП Весовые No name  3,7 кг")</f>
        <v/>
      </c>
      <c r="N155" s="389" t="n"/>
      <c r="O155" s="389" t="n"/>
      <c r="P155" s="389" t="n"/>
      <c r="Q155" s="355" t="n"/>
      <c r="R155" s="40" t="inlineStr"/>
      <c r="S155" s="40" t="inlineStr"/>
      <c r="T155" s="41" t="inlineStr">
        <is>
          <t>кор</t>
        </is>
      </c>
      <c r="U155" s="390" t="n">
        <v>0</v>
      </c>
      <c r="V155" s="391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85" t="n">
        <v>4607111037206</v>
      </c>
      <c r="E156" s="355" t="n"/>
      <c r="F156" s="387" t="n">
        <v>3.7</v>
      </c>
      <c r="G156" s="38" t="n">
        <v>1</v>
      </c>
      <c r="H156" s="387" t="n">
        <v>3.7</v>
      </c>
      <c r="I156" s="387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50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89" t="n"/>
      <c r="O156" s="389" t="n"/>
      <c r="P156" s="389" t="n"/>
      <c r="Q156" s="355" t="n"/>
      <c r="R156" s="40" t="inlineStr"/>
      <c r="S156" s="40" t="inlineStr"/>
      <c r="T156" s="41" t="inlineStr">
        <is>
          <t>кор</t>
        </is>
      </c>
      <c r="U156" s="390" t="n">
        <v>0</v>
      </c>
      <c r="V156" s="391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85" t="n">
        <v>4607111037244</v>
      </c>
      <c r="E157" s="355" t="n"/>
      <c r="F157" s="387" t="n">
        <v>3.7</v>
      </c>
      <c r="G157" s="38" t="n">
        <v>1</v>
      </c>
      <c r="H157" s="387" t="n">
        <v>3.7</v>
      </c>
      <c r="I157" s="387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51">
        <f>HYPERLINK("https://abi.ru/products/Замороженные/No Name/No Name ПГП/Снеки/P002778/","Жар-ладушки с яблоком и грушей No name ПГП Весовые No name 3,7 кг")</f>
        <v/>
      </c>
      <c r="N157" s="389" t="n"/>
      <c r="O157" s="389" t="n"/>
      <c r="P157" s="389" t="n"/>
      <c r="Q157" s="355" t="n"/>
      <c r="R157" s="40" t="inlineStr"/>
      <c r="S157" s="40" t="inlineStr"/>
      <c r="T157" s="41" t="inlineStr">
        <is>
          <t>кор</t>
        </is>
      </c>
      <c r="U157" s="390" t="n">
        <v>0</v>
      </c>
      <c r="V157" s="391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85" t="n">
        <v>4607111036797</v>
      </c>
      <c r="E158" s="355" t="n"/>
      <c r="F158" s="387" t="n">
        <v>3.7</v>
      </c>
      <c r="G158" s="38" t="n">
        <v>1</v>
      </c>
      <c r="H158" s="387" t="n">
        <v>3.7</v>
      </c>
      <c r="I158" s="387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52">
        <f>HYPERLINK("https://abi.ru/products/Замороженные/No Name/No Name ПГП/Снеки/P002970/","Мини-сосиски в тесте Фрайпики No name Весовые No name 3,7 кг")</f>
        <v/>
      </c>
      <c r="N158" s="389" t="n"/>
      <c r="O158" s="389" t="n"/>
      <c r="P158" s="389" t="n"/>
      <c r="Q158" s="355" t="n"/>
      <c r="R158" s="40" t="inlineStr"/>
      <c r="S158" s="40" t="inlineStr"/>
      <c r="T158" s="41" t="inlineStr">
        <is>
          <t>кор</t>
        </is>
      </c>
      <c r="U158" s="390" t="n">
        <v>0</v>
      </c>
      <c r="V158" s="391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85" t="n">
        <v>4607111035707</v>
      </c>
      <c r="E159" s="355" t="n"/>
      <c r="F159" s="387" t="n">
        <v>5.5</v>
      </c>
      <c r="G159" s="38" t="n">
        <v>1</v>
      </c>
      <c r="H159" s="387" t="n">
        <v>5.5</v>
      </c>
      <c r="I159" s="387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53">
        <f>HYPERLINK("https://abi.ru/products/Замороженные/No Name/No Name ПГП/Снеки/P002167/","Снеки Жар-мени No Name Весовые No name 5,5 кг дистр")</f>
        <v/>
      </c>
      <c r="N159" s="389" t="n"/>
      <c r="O159" s="389" t="n"/>
      <c r="P159" s="389" t="n"/>
      <c r="Q159" s="355" t="n"/>
      <c r="R159" s="40" t="inlineStr"/>
      <c r="S159" s="40" t="inlineStr"/>
      <c r="T159" s="41" t="inlineStr">
        <is>
          <t>кор</t>
        </is>
      </c>
      <c r="U159" s="390" t="n">
        <v>0</v>
      </c>
      <c r="V159" s="391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85" t="n">
        <v>4607111036841</v>
      </c>
      <c r="E160" s="355" t="n"/>
      <c r="F160" s="387" t="n">
        <v>3.5</v>
      </c>
      <c r="G160" s="38" t="n">
        <v>1</v>
      </c>
      <c r="H160" s="387" t="n">
        <v>3.5</v>
      </c>
      <c r="I160" s="387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54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89" t="n"/>
      <c r="O160" s="389" t="n"/>
      <c r="P160" s="389" t="n"/>
      <c r="Q160" s="355" t="n"/>
      <c r="R160" s="40" t="inlineStr"/>
      <c r="S160" s="40" t="inlineStr"/>
      <c r="T160" s="41" t="inlineStr">
        <is>
          <t>кор</t>
        </is>
      </c>
      <c r="U160" s="390" t="n">
        <v>0</v>
      </c>
      <c r="V160" s="391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85" t="n">
        <v>4607111037862</v>
      </c>
      <c r="E161" s="355" t="n"/>
      <c r="F161" s="387" t="n">
        <v>1.8</v>
      </c>
      <c r="G161" s="38" t="n">
        <v>1</v>
      </c>
      <c r="H161" s="387" t="n">
        <v>1.8</v>
      </c>
      <c r="I161" s="387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55">
        <f>HYPERLINK("https://abi.ru/products/Замороженные/No Name/No Name ПГП/Снеки/P003310/","Мини-сосиски в тесте Фрайпики No name Весовые No name 1,8 кг")</f>
        <v/>
      </c>
      <c r="N161" s="389" t="n"/>
      <c r="O161" s="389" t="n"/>
      <c r="P161" s="389" t="n"/>
      <c r="Q161" s="355" t="n"/>
      <c r="R161" s="40" t="inlineStr"/>
      <c r="S161" s="40" t="inlineStr"/>
      <c r="T161" s="41" t="inlineStr">
        <is>
          <t>кор</t>
        </is>
      </c>
      <c r="U161" s="390" t="n">
        <v>0</v>
      </c>
      <c r="V161" s="391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85" t="n">
        <v>4607111037305</v>
      </c>
      <c r="E162" s="355" t="n"/>
      <c r="F162" s="387" t="n">
        <v>3</v>
      </c>
      <c r="G162" s="38" t="n">
        <v>1</v>
      </c>
      <c r="H162" s="387" t="n">
        <v>3</v>
      </c>
      <c r="I162" s="387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56" t="inlineStr">
        <is>
          <t>Снеки «Фрай-пицца с ветчиной и грибами» Весовые ТМ «No name» 3 кг</t>
        </is>
      </c>
      <c r="N162" s="389" t="n"/>
      <c r="O162" s="389" t="n"/>
      <c r="P162" s="389" t="n"/>
      <c r="Q162" s="355" t="n"/>
      <c r="R162" s="40" t="inlineStr"/>
      <c r="S162" s="40" t="inlineStr"/>
      <c r="T162" s="41" t="inlineStr">
        <is>
          <t>кор</t>
        </is>
      </c>
      <c r="U162" s="390" t="n">
        <v>0</v>
      </c>
      <c r="V162" s="391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>
      <c r="A163" s="180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92" t="n"/>
      <c r="M163" s="393" t="inlineStr">
        <is>
          <t>Итого</t>
        </is>
      </c>
      <c r="N163" s="363" t="n"/>
      <c r="O163" s="363" t="n"/>
      <c r="P163" s="363" t="n"/>
      <c r="Q163" s="363" t="n"/>
      <c r="R163" s="363" t="n"/>
      <c r="S163" s="364" t="n"/>
      <c r="T163" s="43" t="inlineStr">
        <is>
          <t>кор</t>
        </is>
      </c>
      <c r="U163" s="394">
        <f>IFERROR(SUM(U153:U162),"0")</f>
        <v/>
      </c>
      <c r="V163" s="394">
        <f>IFERROR(SUM(V153:V162),"0")</f>
        <v/>
      </c>
      <c r="W163" s="39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95" t="n"/>
      <c r="Y163" s="395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92" t="n"/>
      <c r="M164" s="393" t="inlineStr">
        <is>
          <t>Итого</t>
        </is>
      </c>
      <c r="N164" s="363" t="n"/>
      <c r="O164" s="363" t="n"/>
      <c r="P164" s="363" t="n"/>
      <c r="Q164" s="363" t="n"/>
      <c r="R164" s="363" t="n"/>
      <c r="S164" s="364" t="n"/>
      <c r="T164" s="43" t="inlineStr">
        <is>
          <t>кг</t>
        </is>
      </c>
      <c r="U164" s="394">
        <f>IFERROR(SUMPRODUCT(U153:U162*H153:H162),"0")</f>
        <v/>
      </c>
      <c r="V164" s="394">
        <f>IFERROR(SUMPRODUCT(V153:V162*H153:H162),"0")</f>
        <v/>
      </c>
      <c r="W164" s="43" t="n"/>
      <c r="X164" s="395" t="n"/>
      <c r="Y164" s="395" t="n"/>
    </row>
    <row r="165" ht="16.5" customHeight="1">
      <c r="A165" s="202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202" t="n"/>
      <c r="Y165" s="202" t="n"/>
    </row>
    <row r="166" ht="14.25" customHeight="1">
      <c r="A166" s="193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93" t="n"/>
      <c r="Y166" s="193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85" t="n">
        <v>4607111037701</v>
      </c>
      <c r="E167" s="355" t="n"/>
      <c r="F167" s="387" t="n">
        <v>5</v>
      </c>
      <c r="G167" s="38" t="n">
        <v>1</v>
      </c>
      <c r="H167" s="387" t="n">
        <v>5</v>
      </c>
      <c r="I167" s="387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57">
        <f>HYPERLINK("https://abi.ru/products/Замороженные/No Name/Стародворье ПГП/Пельмени ПГП/P003301/","Пельмени «Быстромени» Весовой ТМ «No Name» 5")</f>
        <v/>
      </c>
      <c r="N167" s="389" t="n"/>
      <c r="O167" s="389" t="n"/>
      <c r="P167" s="389" t="n"/>
      <c r="Q167" s="355" t="n"/>
      <c r="R167" s="40" t="inlineStr"/>
      <c r="S167" s="40" t="inlineStr"/>
      <c r="T167" s="41" t="inlineStr">
        <is>
          <t>кор</t>
        </is>
      </c>
      <c r="U167" s="390" t="n">
        <v>0</v>
      </c>
      <c r="V167" s="391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74" t="n"/>
      <c r="AZ167" s="138" t="inlineStr">
        <is>
          <t>ПГП</t>
        </is>
      </c>
    </row>
    <row r="168">
      <c r="A168" s="180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92" t="n"/>
      <c r="M168" s="393" t="inlineStr">
        <is>
          <t>Итого</t>
        </is>
      </c>
      <c r="N168" s="363" t="n"/>
      <c r="O168" s="363" t="n"/>
      <c r="P168" s="363" t="n"/>
      <c r="Q168" s="363" t="n"/>
      <c r="R168" s="363" t="n"/>
      <c r="S168" s="364" t="n"/>
      <c r="T168" s="43" t="inlineStr">
        <is>
          <t>кор</t>
        </is>
      </c>
      <c r="U168" s="394">
        <f>IFERROR(SUM(U167:U167),"0")</f>
        <v/>
      </c>
      <c r="V168" s="394">
        <f>IFERROR(SUM(V167:V167),"0")</f>
        <v/>
      </c>
      <c r="W168" s="394">
        <f>IFERROR(IF(W167="",0,W167),"0")</f>
        <v/>
      </c>
      <c r="X168" s="395" t="n"/>
      <c r="Y168" s="395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92" t="n"/>
      <c r="M169" s="393" t="inlineStr">
        <is>
          <t>Итого</t>
        </is>
      </c>
      <c r="N169" s="363" t="n"/>
      <c r="O169" s="363" t="n"/>
      <c r="P169" s="363" t="n"/>
      <c r="Q169" s="363" t="n"/>
      <c r="R169" s="363" t="n"/>
      <c r="S169" s="364" t="n"/>
      <c r="T169" s="43" t="inlineStr">
        <is>
          <t>кг</t>
        </is>
      </c>
      <c r="U169" s="394">
        <f>IFERROR(SUMPRODUCT(U167:U167*H167:H167),"0")</f>
        <v/>
      </c>
      <c r="V169" s="394">
        <f>IFERROR(SUMPRODUCT(V167:V167*H167:H167),"0")</f>
        <v/>
      </c>
      <c r="W169" s="43" t="n"/>
      <c r="X169" s="395" t="n"/>
      <c r="Y169" s="395" t="n"/>
    </row>
    <row r="170" ht="16.5" customHeight="1">
      <c r="A170" s="202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202" t="n"/>
      <c r="Y170" s="202" t="n"/>
    </row>
    <row r="171" ht="14.25" customHeight="1">
      <c r="A171" s="193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93" t="n"/>
      <c r="Y171" s="193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85" t="n">
        <v>4607111036384</v>
      </c>
      <c r="E172" s="355" t="n"/>
      <c r="F172" s="387" t="n">
        <v>1</v>
      </c>
      <c r="G172" s="38" t="n">
        <v>5</v>
      </c>
      <c r="H172" s="387" t="n">
        <v>5</v>
      </c>
      <c r="I172" s="387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58">
        <f>HYPERLINK("https://abi.ru/products/Замороженные/No Name/No Name ЗПФ/Пельмени/P002689/","Пельмени Зареченские No name Весовые Сфера No name 5 кг")</f>
        <v/>
      </c>
      <c r="N172" s="389" t="n"/>
      <c r="O172" s="389" t="n"/>
      <c r="P172" s="389" t="n"/>
      <c r="Q172" s="355" t="n"/>
      <c r="R172" s="40" t="inlineStr"/>
      <c r="S172" s="40" t="inlineStr"/>
      <c r="T172" s="41" t="inlineStr">
        <is>
          <t>кор</t>
        </is>
      </c>
      <c r="U172" s="390" t="n">
        <v>0</v>
      </c>
      <c r="V172" s="391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74" t="n"/>
      <c r="AZ172" s="139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85" t="n">
        <v>4607111036193</v>
      </c>
      <c r="E173" s="355" t="n"/>
      <c r="F173" s="387" t="n">
        <v>1</v>
      </c>
      <c r="G173" s="38" t="n">
        <v>5</v>
      </c>
      <c r="H173" s="387" t="n">
        <v>5</v>
      </c>
      <c r="I173" s="387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59">
        <f>HYPERLINK("https://abi.ru/products/Замороженные/No Name/No Name ЗПФ/Пельмени/P002579/","Пельмени Классические No name Весовые Хинкали No name 5 кг")</f>
        <v/>
      </c>
      <c r="N173" s="389" t="n"/>
      <c r="O173" s="389" t="n"/>
      <c r="P173" s="389" t="n"/>
      <c r="Q173" s="355" t="n"/>
      <c r="R173" s="40" t="inlineStr"/>
      <c r="S173" s="40" t="inlineStr"/>
      <c r="T173" s="41" t="inlineStr">
        <is>
          <t>кор</t>
        </is>
      </c>
      <c r="U173" s="390" t="n">
        <v>0</v>
      </c>
      <c r="V173" s="391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85" t="n">
        <v>4607111036216</v>
      </c>
      <c r="E174" s="355" t="n"/>
      <c r="F174" s="387" t="n">
        <v>1</v>
      </c>
      <c r="G174" s="38" t="n">
        <v>5</v>
      </c>
      <c r="H174" s="387" t="n">
        <v>5</v>
      </c>
      <c r="I174" s="387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6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89" t="n"/>
      <c r="O174" s="389" t="n"/>
      <c r="P174" s="389" t="n"/>
      <c r="Q174" s="355" t="n"/>
      <c r="R174" s="40" t="inlineStr"/>
      <c r="S174" s="40" t="inlineStr"/>
      <c r="T174" s="41" t="inlineStr">
        <is>
          <t>кор</t>
        </is>
      </c>
      <c r="U174" s="390" t="n">
        <v>240</v>
      </c>
      <c r="V174" s="391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85" t="n">
        <v>4607111036278</v>
      </c>
      <c r="E175" s="355" t="n"/>
      <c r="F175" s="387" t="n">
        <v>1</v>
      </c>
      <c r="G175" s="38" t="n">
        <v>5</v>
      </c>
      <c r="H175" s="387" t="n">
        <v>5</v>
      </c>
      <c r="I175" s="387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61">
        <f>HYPERLINK("https://abi.ru/products/Замороженные/No Name/No Name ЗПФ/Пельмени/P002980/","Пельмени Умелый повар No name Весовые Равиоли No name 5 кг")</f>
        <v/>
      </c>
      <c r="N175" s="389" t="n"/>
      <c r="O175" s="389" t="n"/>
      <c r="P175" s="389" t="n"/>
      <c r="Q175" s="355" t="n"/>
      <c r="R175" s="40" t="inlineStr"/>
      <c r="S175" s="40" t="inlineStr"/>
      <c r="T175" s="41" t="inlineStr">
        <is>
          <t>кор</t>
        </is>
      </c>
      <c r="U175" s="390" t="n">
        <v>0</v>
      </c>
      <c r="V175" s="391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>
      <c r="A176" s="180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92" t="n"/>
      <c r="M176" s="393" t="inlineStr">
        <is>
          <t>Итого</t>
        </is>
      </c>
      <c r="N176" s="363" t="n"/>
      <c r="O176" s="363" t="n"/>
      <c r="P176" s="363" t="n"/>
      <c r="Q176" s="363" t="n"/>
      <c r="R176" s="363" t="n"/>
      <c r="S176" s="364" t="n"/>
      <c r="T176" s="43" t="inlineStr">
        <is>
          <t>кор</t>
        </is>
      </c>
      <c r="U176" s="394">
        <f>IFERROR(SUM(U172:U175),"0")</f>
        <v/>
      </c>
      <c r="V176" s="394">
        <f>IFERROR(SUM(V172:V175),"0")</f>
        <v/>
      </c>
      <c r="W176" s="394">
        <f>IFERROR(IF(W172="",0,W172),"0")+IFERROR(IF(W173="",0,W173),"0")+IFERROR(IF(W174="",0,W174),"0")+IFERROR(IF(W175="",0,W175),"0")</f>
        <v/>
      </c>
      <c r="X176" s="395" t="n"/>
      <c r="Y176" s="39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92" t="n"/>
      <c r="M177" s="393" t="inlineStr">
        <is>
          <t>Итого</t>
        </is>
      </c>
      <c r="N177" s="363" t="n"/>
      <c r="O177" s="363" t="n"/>
      <c r="P177" s="363" t="n"/>
      <c r="Q177" s="363" t="n"/>
      <c r="R177" s="363" t="n"/>
      <c r="S177" s="364" t="n"/>
      <c r="T177" s="43" t="inlineStr">
        <is>
          <t>кг</t>
        </is>
      </c>
      <c r="U177" s="394">
        <f>IFERROR(SUMPRODUCT(U172:U175*H172:H175),"0")</f>
        <v/>
      </c>
      <c r="V177" s="394">
        <f>IFERROR(SUMPRODUCT(V172:V175*H172:H175),"0")</f>
        <v/>
      </c>
      <c r="W177" s="43" t="n"/>
      <c r="X177" s="395" t="n"/>
      <c r="Y177" s="395" t="n"/>
    </row>
    <row r="178" ht="14.25" customHeight="1">
      <c r="A178" s="193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93" t="n"/>
      <c r="Y178" s="193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85" t="n">
        <v>4607111036827</v>
      </c>
      <c r="E179" s="355" t="n"/>
      <c r="F179" s="387" t="n">
        <v>1</v>
      </c>
      <c r="G179" s="38" t="n">
        <v>5</v>
      </c>
      <c r="H179" s="387" t="n">
        <v>5</v>
      </c>
      <c r="I179" s="387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6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89" t="n"/>
      <c r="O179" s="389" t="n"/>
      <c r="P179" s="389" t="n"/>
      <c r="Q179" s="355" t="n"/>
      <c r="R179" s="40" t="inlineStr"/>
      <c r="S179" s="40" t="inlineStr"/>
      <c r="T179" s="41" t="inlineStr">
        <is>
          <t>кор</t>
        </is>
      </c>
      <c r="U179" s="390" t="n">
        <v>0</v>
      </c>
      <c r="V179" s="391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3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85" t="n">
        <v>4607111036834</v>
      </c>
      <c r="E180" s="355" t="n"/>
      <c r="F180" s="387" t="n">
        <v>1</v>
      </c>
      <c r="G180" s="38" t="n">
        <v>5</v>
      </c>
      <c r="H180" s="387" t="n">
        <v>5</v>
      </c>
      <c r="I180" s="387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6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89" t="n"/>
      <c r="O180" s="389" t="n"/>
      <c r="P180" s="389" t="n"/>
      <c r="Q180" s="355" t="n"/>
      <c r="R180" s="40" t="inlineStr"/>
      <c r="S180" s="40" t="inlineStr"/>
      <c r="T180" s="41" t="inlineStr">
        <is>
          <t>кор</t>
        </is>
      </c>
      <c r="U180" s="390" t="n">
        <v>0</v>
      </c>
      <c r="V180" s="391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>
      <c r="A181" s="1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92" t="n"/>
      <c r="M181" s="393" t="inlineStr">
        <is>
          <t>Итого</t>
        </is>
      </c>
      <c r="N181" s="363" t="n"/>
      <c r="O181" s="363" t="n"/>
      <c r="P181" s="363" t="n"/>
      <c r="Q181" s="363" t="n"/>
      <c r="R181" s="363" t="n"/>
      <c r="S181" s="364" t="n"/>
      <c r="T181" s="43" t="inlineStr">
        <is>
          <t>кор</t>
        </is>
      </c>
      <c r="U181" s="394">
        <f>IFERROR(SUM(U179:U180),"0")</f>
        <v/>
      </c>
      <c r="V181" s="394">
        <f>IFERROR(SUM(V179:V180),"0")</f>
        <v/>
      </c>
      <c r="W181" s="394">
        <f>IFERROR(IF(W179="",0,W179),"0")+IFERROR(IF(W180="",0,W180),"0")</f>
        <v/>
      </c>
      <c r="X181" s="395" t="n"/>
      <c r="Y181" s="395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92" t="n"/>
      <c r="M182" s="393" t="inlineStr">
        <is>
          <t>Итого</t>
        </is>
      </c>
      <c r="N182" s="363" t="n"/>
      <c r="O182" s="363" t="n"/>
      <c r="P182" s="363" t="n"/>
      <c r="Q182" s="363" t="n"/>
      <c r="R182" s="363" t="n"/>
      <c r="S182" s="364" t="n"/>
      <c r="T182" s="43" t="inlineStr">
        <is>
          <t>кг</t>
        </is>
      </c>
      <c r="U182" s="394">
        <f>IFERROR(SUMPRODUCT(U179:U180*H179:H180),"0")</f>
        <v/>
      </c>
      <c r="V182" s="394">
        <f>IFERROR(SUMPRODUCT(V179:V180*H179:H180),"0")</f>
        <v/>
      </c>
      <c r="W182" s="43" t="n"/>
      <c r="X182" s="395" t="n"/>
      <c r="Y182" s="395" t="n"/>
    </row>
    <row r="183" ht="27.75" customHeight="1">
      <c r="A183" s="204" t="inlineStr">
        <is>
          <t>Вязанка</t>
        </is>
      </c>
      <c r="B183" s="386" t="n"/>
      <c r="C183" s="386" t="n"/>
      <c r="D183" s="386" t="n"/>
      <c r="E183" s="386" t="n"/>
      <c r="F183" s="386" t="n"/>
      <c r="G183" s="386" t="n"/>
      <c r="H183" s="386" t="n"/>
      <c r="I183" s="386" t="n"/>
      <c r="J183" s="386" t="n"/>
      <c r="K183" s="386" t="n"/>
      <c r="L183" s="386" t="n"/>
      <c r="M183" s="386" t="n"/>
      <c r="N183" s="386" t="n"/>
      <c r="O183" s="386" t="n"/>
      <c r="P183" s="386" t="n"/>
      <c r="Q183" s="386" t="n"/>
      <c r="R183" s="386" t="n"/>
      <c r="S183" s="386" t="n"/>
      <c r="T183" s="386" t="n"/>
      <c r="U183" s="386" t="n"/>
      <c r="V183" s="386" t="n"/>
      <c r="W183" s="386" t="n"/>
      <c r="X183" s="55" t="n"/>
      <c r="Y183" s="55" t="n"/>
    </row>
    <row r="184" ht="16.5" customHeight="1">
      <c r="A184" s="202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02" t="n"/>
      <c r="Y184" s="202" t="n"/>
    </row>
    <row r="185" ht="14.25" customHeight="1">
      <c r="A185" s="193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93" t="n"/>
      <c r="Y185" s="193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85" t="n">
        <v>4607111035721</v>
      </c>
      <c r="E186" s="355" t="n"/>
      <c r="F186" s="387" t="n">
        <v>0.25</v>
      </c>
      <c r="G186" s="38" t="n">
        <v>12</v>
      </c>
      <c r="H186" s="387" t="n">
        <v>3</v>
      </c>
      <c r="I186" s="387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6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89" t="n"/>
      <c r="O186" s="389" t="n"/>
      <c r="P186" s="389" t="n"/>
      <c r="Q186" s="355" t="n"/>
      <c r="R186" s="40" t="inlineStr"/>
      <c r="S186" s="40" t="inlineStr"/>
      <c r="T186" s="41" t="inlineStr">
        <is>
          <t>кор</t>
        </is>
      </c>
      <c r="U186" s="390" t="n">
        <v>17</v>
      </c>
      <c r="V186" s="391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74" t="n"/>
      <c r="AZ186" s="145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85" t="n">
        <v>4607111035691</v>
      </c>
      <c r="E187" s="355" t="n"/>
      <c r="F187" s="387" t="n">
        <v>0.25</v>
      </c>
      <c r="G187" s="38" t="n">
        <v>12</v>
      </c>
      <c r="H187" s="387" t="n">
        <v>3</v>
      </c>
      <c r="I187" s="387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6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89" t="n"/>
      <c r="O187" s="389" t="n"/>
      <c r="P187" s="389" t="n"/>
      <c r="Q187" s="355" t="n"/>
      <c r="R187" s="40" t="inlineStr"/>
      <c r="S187" s="40" t="inlineStr"/>
      <c r="T187" s="41" t="inlineStr">
        <is>
          <t>кор</t>
        </is>
      </c>
      <c r="U187" s="390" t="n">
        <v>0</v>
      </c>
      <c r="V187" s="391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>
      <c r="A188" s="180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92" t="n"/>
      <c r="M188" s="393" t="inlineStr">
        <is>
          <t>Итого</t>
        </is>
      </c>
      <c r="N188" s="363" t="n"/>
      <c r="O188" s="363" t="n"/>
      <c r="P188" s="363" t="n"/>
      <c r="Q188" s="363" t="n"/>
      <c r="R188" s="363" t="n"/>
      <c r="S188" s="364" t="n"/>
      <c r="T188" s="43" t="inlineStr">
        <is>
          <t>кор</t>
        </is>
      </c>
      <c r="U188" s="394">
        <f>IFERROR(SUM(U186:U187),"0")</f>
        <v/>
      </c>
      <c r="V188" s="394">
        <f>IFERROR(SUM(V186:V187),"0")</f>
        <v/>
      </c>
      <c r="W188" s="394">
        <f>IFERROR(IF(W186="",0,W186),"0")+IFERROR(IF(W187="",0,W187),"0")</f>
        <v/>
      </c>
      <c r="X188" s="395" t="n"/>
      <c r="Y188" s="395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92" t="n"/>
      <c r="M189" s="393" t="inlineStr">
        <is>
          <t>Итого</t>
        </is>
      </c>
      <c r="N189" s="363" t="n"/>
      <c r="O189" s="363" t="n"/>
      <c r="P189" s="363" t="n"/>
      <c r="Q189" s="363" t="n"/>
      <c r="R189" s="363" t="n"/>
      <c r="S189" s="364" t="n"/>
      <c r="T189" s="43" t="inlineStr">
        <is>
          <t>кг</t>
        </is>
      </c>
      <c r="U189" s="394">
        <f>IFERROR(SUMPRODUCT(U186:U187*H186:H187),"0")</f>
        <v/>
      </c>
      <c r="V189" s="394">
        <f>IFERROR(SUMPRODUCT(V186:V187*H186:H187),"0")</f>
        <v/>
      </c>
      <c r="W189" s="43" t="n"/>
      <c r="X189" s="395" t="n"/>
      <c r="Y189" s="395" t="n"/>
    </row>
    <row r="190" ht="16.5" customHeight="1">
      <c r="A190" s="202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02" t="n"/>
      <c r="Y190" s="202" t="n"/>
    </row>
    <row r="191" ht="14.25" customHeight="1">
      <c r="A191" s="193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93" t="n"/>
      <c r="Y191" s="193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85" t="n">
        <v>4607111035783</v>
      </c>
      <c r="E192" s="355" t="n"/>
      <c r="F192" s="387" t="n">
        <v>0.2</v>
      </c>
      <c r="G192" s="38" t="n">
        <v>8</v>
      </c>
      <c r="H192" s="387" t="n">
        <v>1.6</v>
      </c>
      <c r="I192" s="387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6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89" t="n"/>
      <c r="O192" s="389" t="n"/>
      <c r="P192" s="389" t="n"/>
      <c r="Q192" s="355" t="n"/>
      <c r="R192" s="40" t="inlineStr"/>
      <c r="S192" s="40" t="inlineStr"/>
      <c r="T192" s="41" t="inlineStr">
        <is>
          <t>кор</t>
        </is>
      </c>
      <c r="U192" s="390" t="n">
        <v>0</v>
      </c>
      <c r="V192" s="391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74" t="n"/>
      <c r="AZ192" s="147" t="inlineStr">
        <is>
          <t>ПГП</t>
        </is>
      </c>
    </row>
    <row r="193">
      <c r="A193" s="180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92" t="n"/>
      <c r="M193" s="393" t="inlineStr">
        <is>
          <t>Итого</t>
        </is>
      </c>
      <c r="N193" s="363" t="n"/>
      <c r="O193" s="363" t="n"/>
      <c r="P193" s="363" t="n"/>
      <c r="Q193" s="363" t="n"/>
      <c r="R193" s="363" t="n"/>
      <c r="S193" s="364" t="n"/>
      <c r="T193" s="43" t="inlineStr">
        <is>
          <t>кор</t>
        </is>
      </c>
      <c r="U193" s="394">
        <f>IFERROR(SUM(U192:U192),"0")</f>
        <v/>
      </c>
      <c r="V193" s="394">
        <f>IFERROR(SUM(V192:V192),"0")</f>
        <v/>
      </c>
      <c r="W193" s="394">
        <f>IFERROR(IF(W192="",0,W192),"0")</f>
        <v/>
      </c>
      <c r="X193" s="395" t="n"/>
      <c r="Y193" s="395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92" t="n"/>
      <c r="M194" s="393" t="inlineStr">
        <is>
          <t>Итого</t>
        </is>
      </c>
      <c r="N194" s="363" t="n"/>
      <c r="O194" s="363" t="n"/>
      <c r="P194" s="363" t="n"/>
      <c r="Q194" s="363" t="n"/>
      <c r="R194" s="363" t="n"/>
      <c r="S194" s="364" t="n"/>
      <c r="T194" s="43" t="inlineStr">
        <is>
          <t>кг</t>
        </is>
      </c>
      <c r="U194" s="394">
        <f>IFERROR(SUMPRODUCT(U192:U192*H192:H192),"0")</f>
        <v/>
      </c>
      <c r="V194" s="394">
        <f>IFERROR(SUMPRODUCT(V192:V192*H192:H192),"0")</f>
        <v/>
      </c>
      <c r="W194" s="43" t="n"/>
      <c r="X194" s="395" t="n"/>
      <c r="Y194" s="395" t="n"/>
    </row>
    <row r="195" ht="16.5" customHeight="1">
      <c r="A195" s="202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202" t="n"/>
      <c r="Y195" s="202" t="n"/>
    </row>
    <row r="196" ht="14.25" customHeight="1">
      <c r="A196" s="193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93" t="n"/>
      <c r="Y196" s="193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85" t="n">
        <v>4680115881204</v>
      </c>
      <c r="E197" s="355" t="n"/>
      <c r="F197" s="387" t="n">
        <v>0.33</v>
      </c>
      <c r="G197" s="38" t="n">
        <v>6</v>
      </c>
      <c r="H197" s="387" t="n">
        <v>1.98</v>
      </c>
      <c r="I197" s="387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67" t="inlineStr">
        <is>
          <t>Сосиски «Сливушки #нежнушки» замороженные Фикс.вес 0,33 п/а ТМ «Вязанка»</t>
        </is>
      </c>
      <c r="N197" s="389" t="n"/>
      <c r="O197" s="389" t="n"/>
      <c r="P197" s="389" t="n"/>
      <c r="Q197" s="355" t="n"/>
      <c r="R197" s="40" t="inlineStr"/>
      <c r="S197" s="40" t="inlineStr"/>
      <c r="T197" s="41" t="inlineStr">
        <is>
          <t>кор</t>
        </is>
      </c>
      <c r="U197" s="390" t="n">
        <v>0</v>
      </c>
      <c r="V197" s="391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74" t="n"/>
      <c r="AZ197" s="148" t="inlineStr">
        <is>
          <t>КИЗ</t>
        </is>
      </c>
    </row>
    <row r="198">
      <c r="A198" s="180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92" t="n"/>
      <c r="M198" s="393" t="inlineStr">
        <is>
          <t>Итого</t>
        </is>
      </c>
      <c r="N198" s="363" t="n"/>
      <c r="O198" s="363" t="n"/>
      <c r="P198" s="363" t="n"/>
      <c r="Q198" s="363" t="n"/>
      <c r="R198" s="363" t="n"/>
      <c r="S198" s="364" t="n"/>
      <c r="T198" s="43" t="inlineStr">
        <is>
          <t>кор</t>
        </is>
      </c>
      <c r="U198" s="394">
        <f>IFERROR(SUM(U197:U197),"0")</f>
        <v/>
      </c>
      <c r="V198" s="394">
        <f>IFERROR(SUM(V197:V197),"0")</f>
        <v/>
      </c>
      <c r="W198" s="394">
        <f>IFERROR(IF(W197="",0,W197),"0")</f>
        <v/>
      </c>
      <c r="X198" s="395" t="n"/>
      <c r="Y198" s="395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92" t="n"/>
      <c r="M199" s="393" t="inlineStr">
        <is>
          <t>Итого</t>
        </is>
      </c>
      <c r="N199" s="363" t="n"/>
      <c r="O199" s="363" t="n"/>
      <c r="P199" s="363" t="n"/>
      <c r="Q199" s="363" t="n"/>
      <c r="R199" s="363" t="n"/>
      <c r="S199" s="364" t="n"/>
      <c r="T199" s="43" t="inlineStr">
        <is>
          <t>кг</t>
        </is>
      </c>
      <c r="U199" s="394">
        <f>IFERROR(SUMPRODUCT(U197:U197*H197:H197),"0")</f>
        <v/>
      </c>
      <c r="V199" s="394">
        <f>IFERROR(SUMPRODUCT(V197:V197*H197:H197),"0")</f>
        <v/>
      </c>
      <c r="W199" s="43" t="n"/>
      <c r="X199" s="395" t="n"/>
      <c r="Y199" s="395" t="n"/>
    </row>
    <row r="200" ht="27.75" customHeight="1">
      <c r="A200" s="204" t="inlineStr">
        <is>
          <t>Стародворье</t>
        </is>
      </c>
      <c r="B200" s="386" t="n"/>
      <c r="C200" s="386" t="n"/>
      <c r="D200" s="386" t="n"/>
      <c r="E200" s="386" t="n"/>
      <c r="F200" s="386" t="n"/>
      <c r="G200" s="386" t="n"/>
      <c r="H200" s="386" t="n"/>
      <c r="I200" s="386" t="n"/>
      <c r="J200" s="386" t="n"/>
      <c r="K200" s="386" t="n"/>
      <c r="L200" s="386" t="n"/>
      <c r="M200" s="386" t="n"/>
      <c r="N200" s="386" t="n"/>
      <c r="O200" s="386" t="n"/>
      <c r="P200" s="386" t="n"/>
      <c r="Q200" s="386" t="n"/>
      <c r="R200" s="386" t="n"/>
      <c r="S200" s="386" t="n"/>
      <c r="T200" s="386" t="n"/>
      <c r="U200" s="386" t="n"/>
      <c r="V200" s="386" t="n"/>
      <c r="W200" s="386" t="n"/>
      <c r="X200" s="55" t="n"/>
      <c r="Y200" s="55" t="n"/>
    </row>
    <row r="201" ht="16.5" customHeight="1">
      <c r="A201" s="202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202" t="n"/>
      <c r="Y201" s="202" t="n"/>
    </row>
    <row r="202" ht="14.25" customHeight="1">
      <c r="A202" s="193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93" t="n"/>
      <c r="Y202" s="193" t="n"/>
    </row>
    <row r="203" ht="27" customHeight="1">
      <c r="A203" s="64" t="inlineStr">
        <is>
          <t>SU002920</t>
        </is>
      </c>
      <c r="B203" s="64" t="inlineStr">
        <is>
          <t>P003355</t>
        </is>
      </c>
      <c r="C203" s="37" t="n">
        <v>4301070948</v>
      </c>
      <c r="D203" s="185" t="n">
        <v>4607111037022</v>
      </c>
      <c r="E203" s="355" t="n"/>
      <c r="F203" s="387" t="n">
        <v>0.7</v>
      </c>
      <c r="G203" s="38" t="n">
        <v>8</v>
      </c>
      <c r="H203" s="387" t="n">
        <v>5.6</v>
      </c>
      <c r="I203" s="387" t="n">
        <v>5.87</v>
      </c>
      <c r="J203" s="38" t="n">
        <v>84</v>
      </c>
      <c r="K203" s="39" t="inlineStr">
        <is>
          <t>МГ</t>
        </is>
      </c>
      <c r="L203" s="38" t="n">
        <v>180</v>
      </c>
      <c r="M203" s="46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3" s="389" t="n"/>
      <c r="O203" s="389" t="n"/>
      <c r="P203" s="389" t="n"/>
      <c r="Q203" s="355" t="n"/>
      <c r="R203" s="40" t="inlineStr"/>
      <c r="S203" s="40" t="inlineStr"/>
      <c r="T203" s="41" t="inlineStr">
        <is>
          <t>кор</t>
        </is>
      </c>
      <c r="U203" s="390" t="n">
        <v>45</v>
      </c>
      <c r="V203" s="391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74" t="n"/>
      <c r="AZ203" s="149" t="inlineStr">
        <is>
          <t>ЗПФ</t>
        </is>
      </c>
    </row>
    <row r="204">
      <c r="A204" s="18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92" t="n"/>
      <c r="M204" s="393" t="inlineStr">
        <is>
          <t>Итого</t>
        </is>
      </c>
      <c r="N204" s="363" t="n"/>
      <c r="O204" s="363" t="n"/>
      <c r="P204" s="363" t="n"/>
      <c r="Q204" s="363" t="n"/>
      <c r="R204" s="363" t="n"/>
      <c r="S204" s="364" t="n"/>
      <c r="T204" s="43" t="inlineStr">
        <is>
          <t>кор</t>
        </is>
      </c>
      <c r="U204" s="394">
        <f>IFERROR(SUM(U203:U203),"0")</f>
        <v/>
      </c>
      <c r="V204" s="394">
        <f>IFERROR(SUM(V203:V203),"0")</f>
        <v/>
      </c>
      <c r="W204" s="394">
        <f>IFERROR(IF(W203="",0,W203),"0")</f>
        <v/>
      </c>
      <c r="X204" s="395" t="n"/>
      <c r="Y204" s="395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92" t="n"/>
      <c r="M205" s="393" t="inlineStr">
        <is>
          <t>Итого</t>
        </is>
      </c>
      <c r="N205" s="363" t="n"/>
      <c r="O205" s="363" t="n"/>
      <c r="P205" s="363" t="n"/>
      <c r="Q205" s="363" t="n"/>
      <c r="R205" s="363" t="n"/>
      <c r="S205" s="364" t="n"/>
      <c r="T205" s="43" t="inlineStr">
        <is>
          <t>кг</t>
        </is>
      </c>
      <c r="U205" s="394">
        <f>IFERROR(SUMPRODUCT(U203:U203*H203:H203),"0")</f>
        <v/>
      </c>
      <c r="V205" s="394">
        <f>IFERROR(SUMPRODUCT(V203:V203*H203:H203),"0")</f>
        <v/>
      </c>
      <c r="W205" s="43" t="n"/>
      <c r="X205" s="395" t="n"/>
      <c r="Y205" s="395" t="n"/>
    </row>
    <row r="206" ht="16.5" customHeight="1">
      <c r="A206" s="202" t="inlineStr">
        <is>
          <t>Медвежье ушко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202" t="n"/>
      <c r="Y206" s="202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93" t="n"/>
      <c r="Y207" s="193" t="n"/>
    </row>
    <row r="208" ht="27" customHeight="1">
      <c r="A208" s="64" t="inlineStr">
        <is>
          <t>SU002067</t>
        </is>
      </c>
      <c r="B208" s="64" t="inlineStr">
        <is>
          <t>P002999</t>
        </is>
      </c>
      <c r="C208" s="37" t="n">
        <v>4301070915</v>
      </c>
      <c r="D208" s="185" t="n">
        <v>4607111035882</v>
      </c>
      <c r="E208" s="355" t="n"/>
      <c r="F208" s="387" t="n">
        <v>0.43</v>
      </c>
      <c r="G208" s="38" t="n">
        <v>16</v>
      </c>
      <c r="H208" s="387" t="n">
        <v>6.88</v>
      </c>
      <c r="I208" s="387" t="n">
        <v>7.19</v>
      </c>
      <c r="J208" s="38" t="n">
        <v>84</v>
      </c>
      <c r="K208" s="39" t="inlineStr">
        <is>
          <t>МГ</t>
        </is>
      </c>
      <c r="L208" s="38" t="n">
        <v>180</v>
      </c>
      <c r="M208" s="46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8" s="389" t="n"/>
      <c r="O208" s="389" t="n"/>
      <c r="P208" s="389" t="n"/>
      <c r="Q208" s="355" t="n"/>
      <c r="R208" s="40" t="inlineStr"/>
      <c r="S208" s="40" t="inlineStr"/>
      <c r="T208" s="41" t="inlineStr">
        <is>
          <t>кор</t>
        </is>
      </c>
      <c r="U208" s="390" t="n">
        <v>0</v>
      </c>
      <c r="V208" s="391">
        <f>IFERROR(IF(U208="","",U208),"")</f>
        <v/>
      </c>
      <c r="W208" s="42">
        <f>IFERROR(IF(U208="","",U208*0.0155),"")</f>
        <v/>
      </c>
      <c r="X208" s="69" t="inlineStr"/>
      <c r="Y208" s="70" t="inlineStr"/>
      <c r="AC208" s="74" t="n"/>
      <c r="AZ208" s="150" t="inlineStr">
        <is>
          <t>ЗПФ</t>
        </is>
      </c>
    </row>
    <row r="209" ht="27" customHeight="1">
      <c r="A209" s="64" t="inlineStr">
        <is>
          <t>SU002068</t>
        </is>
      </c>
      <c r="B209" s="64" t="inlineStr">
        <is>
          <t>P003005</t>
        </is>
      </c>
      <c r="C209" s="37" t="n">
        <v>4301070921</v>
      </c>
      <c r="D209" s="185" t="n">
        <v>4607111035905</v>
      </c>
      <c r="E209" s="355" t="n"/>
      <c r="F209" s="387" t="n">
        <v>0.9</v>
      </c>
      <c r="G209" s="38" t="n">
        <v>8</v>
      </c>
      <c r="H209" s="387" t="n">
        <v>7.2</v>
      </c>
      <c r="I209" s="387" t="n">
        <v>7.47</v>
      </c>
      <c r="J209" s="38" t="n">
        <v>84</v>
      </c>
      <c r="K209" s="39" t="inlineStr">
        <is>
          <t>МГ</t>
        </is>
      </c>
      <c r="L209" s="38" t="n">
        <v>180</v>
      </c>
      <c r="M209" s="47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09" s="389" t="n"/>
      <c r="O209" s="389" t="n"/>
      <c r="P209" s="389" t="n"/>
      <c r="Q209" s="355" t="n"/>
      <c r="R209" s="40" t="inlineStr"/>
      <c r="S209" s="40" t="inlineStr"/>
      <c r="T209" s="41" t="inlineStr">
        <is>
          <t>кор</t>
        </is>
      </c>
      <c r="U209" s="390" t="n">
        <v>0</v>
      </c>
      <c r="V209" s="391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SU002069</t>
        </is>
      </c>
      <c r="B210" s="64" t="inlineStr">
        <is>
          <t>P003001</t>
        </is>
      </c>
      <c r="C210" s="37" t="n">
        <v>4301070917</v>
      </c>
      <c r="D210" s="185" t="n">
        <v>4607111035912</v>
      </c>
      <c r="E210" s="355" t="n"/>
      <c r="F210" s="387" t="n">
        <v>0.43</v>
      </c>
      <c r="G210" s="38" t="n">
        <v>16</v>
      </c>
      <c r="H210" s="387" t="n">
        <v>6.88</v>
      </c>
      <c r="I210" s="387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7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0" s="389" t="n"/>
      <c r="O210" s="389" t="n"/>
      <c r="P210" s="389" t="n"/>
      <c r="Q210" s="355" t="n"/>
      <c r="R210" s="40" t="inlineStr"/>
      <c r="S210" s="40" t="inlineStr"/>
      <c r="T210" s="41" t="inlineStr">
        <is>
          <t>кор</t>
        </is>
      </c>
      <c r="U210" s="390" t="n">
        <v>0</v>
      </c>
      <c r="V210" s="391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SU002066</t>
        </is>
      </c>
      <c r="B211" s="64" t="inlineStr">
        <is>
          <t>P003004</t>
        </is>
      </c>
      <c r="C211" s="37" t="n">
        <v>4301070920</v>
      </c>
      <c r="D211" s="185" t="n">
        <v>4607111035929</v>
      </c>
      <c r="E211" s="355" t="n"/>
      <c r="F211" s="387" t="n">
        <v>0.9</v>
      </c>
      <c r="G211" s="38" t="n">
        <v>8</v>
      </c>
      <c r="H211" s="387" t="n">
        <v>7.2</v>
      </c>
      <c r="I211" s="387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7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1" s="389" t="n"/>
      <c r="O211" s="389" t="n"/>
      <c r="P211" s="389" t="n"/>
      <c r="Q211" s="355" t="n"/>
      <c r="R211" s="40" t="inlineStr"/>
      <c r="S211" s="40" t="inlineStr"/>
      <c r="T211" s="41" t="inlineStr">
        <is>
          <t>кор</t>
        </is>
      </c>
      <c r="U211" s="390" t="n">
        <v>0</v>
      </c>
      <c r="V211" s="391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>
      <c r="A212" s="18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92" t="n"/>
      <c r="M212" s="393" t="inlineStr">
        <is>
          <t>Итого</t>
        </is>
      </c>
      <c r="N212" s="363" t="n"/>
      <c r="O212" s="363" t="n"/>
      <c r="P212" s="363" t="n"/>
      <c r="Q212" s="363" t="n"/>
      <c r="R212" s="363" t="n"/>
      <c r="S212" s="364" t="n"/>
      <c r="T212" s="43" t="inlineStr">
        <is>
          <t>кор</t>
        </is>
      </c>
      <c r="U212" s="394">
        <f>IFERROR(SUM(U208:U211),"0")</f>
        <v/>
      </c>
      <c r="V212" s="394">
        <f>IFERROR(SUM(V208:V211),"0")</f>
        <v/>
      </c>
      <c r="W212" s="394">
        <f>IFERROR(IF(W208="",0,W208),"0")+IFERROR(IF(W209="",0,W209),"0")+IFERROR(IF(W210="",0,W210),"0")+IFERROR(IF(W211="",0,W211),"0")</f>
        <v/>
      </c>
      <c r="X212" s="395" t="n"/>
      <c r="Y212" s="395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92" t="n"/>
      <c r="M213" s="393" t="inlineStr">
        <is>
          <t>Итого</t>
        </is>
      </c>
      <c r="N213" s="363" t="n"/>
      <c r="O213" s="363" t="n"/>
      <c r="P213" s="363" t="n"/>
      <c r="Q213" s="363" t="n"/>
      <c r="R213" s="363" t="n"/>
      <c r="S213" s="364" t="n"/>
      <c r="T213" s="43" t="inlineStr">
        <is>
          <t>кг</t>
        </is>
      </c>
      <c r="U213" s="394">
        <f>IFERROR(SUMPRODUCT(U208:U211*H208:H211),"0")</f>
        <v/>
      </c>
      <c r="V213" s="394">
        <f>IFERROR(SUMPRODUCT(V208:V211*H208:H211),"0")</f>
        <v/>
      </c>
      <c r="W213" s="43" t="n"/>
      <c r="X213" s="395" t="n"/>
      <c r="Y213" s="395" t="n"/>
    </row>
    <row r="214" ht="16.5" customHeight="1">
      <c r="A214" s="202" t="inlineStr">
        <is>
          <t>Бордо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202" t="n"/>
      <c r="Y214" s="202" t="n"/>
    </row>
    <row r="215" ht="14.25" customHeight="1">
      <c r="A215" s="193" t="inlineStr">
        <is>
          <t>Сосиски замороженные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93" t="n"/>
      <c r="Y215" s="193" t="n"/>
    </row>
    <row r="216" ht="27" customHeight="1">
      <c r="A216" s="64" t="inlineStr">
        <is>
          <t>SU002678</t>
        </is>
      </c>
      <c r="B216" s="64" t="inlineStr">
        <is>
          <t>P003054</t>
        </is>
      </c>
      <c r="C216" s="37" t="n">
        <v>4301051320</v>
      </c>
      <c r="D216" s="185" t="n">
        <v>4680115881334</v>
      </c>
      <c r="E216" s="355" t="n"/>
      <c r="F216" s="387" t="n">
        <v>0.33</v>
      </c>
      <c r="G216" s="38" t="n">
        <v>6</v>
      </c>
      <c r="H216" s="387" t="n">
        <v>1.98</v>
      </c>
      <c r="I216" s="387" t="n">
        <v>2.27</v>
      </c>
      <c r="J216" s="38" t="n">
        <v>156</v>
      </c>
      <c r="K216" s="39" t="inlineStr">
        <is>
          <t>СК2</t>
        </is>
      </c>
      <c r="L216" s="38" t="n">
        <v>365</v>
      </c>
      <c r="M216" s="473" t="inlineStr">
        <is>
          <t>Сосиски «Оригинальные» замороженные Фикс.вес 0,33 п/а ТМ «Стародворье»</t>
        </is>
      </c>
      <c r="N216" s="389" t="n"/>
      <c r="O216" s="389" t="n"/>
      <c r="P216" s="389" t="n"/>
      <c r="Q216" s="355" t="n"/>
      <c r="R216" s="40" t="inlineStr"/>
      <c r="S216" s="40" t="inlineStr"/>
      <c r="T216" s="41" t="inlineStr">
        <is>
          <t>кор</t>
        </is>
      </c>
      <c r="U216" s="390" t="n">
        <v>17</v>
      </c>
      <c r="V216" s="391">
        <f>IFERROR(IF(U216="","",U216),"")</f>
        <v/>
      </c>
      <c r="W216" s="42">
        <f>IFERROR(IF(U216="","",U216*0.00753),"")</f>
        <v/>
      </c>
      <c r="X216" s="69" t="inlineStr"/>
      <c r="Y216" s="70" t="inlineStr"/>
      <c r="AC216" s="74" t="n"/>
      <c r="AZ216" s="154" t="inlineStr">
        <is>
          <t>КИЗ</t>
        </is>
      </c>
    </row>
    <row r="217">
      <c r="A217" s="180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92" t="n"/>
      <c r="M217" s="393" t="inlineStr">
        <is>
          <t>Итого</t>
        </is>
      </c>
      <c r="N217" s="363" t="n"/>
      <c r="O217" s="363" t="n"/>
      <c r="P217" s="363" t="n"/>
      <c r="Q217" s="363" t="n"/>
      <c r="R217" s="363" t="n"/>
      <c r="S217" s="364" t="n"/>
      <c r="T217" s="43" t="inlineStr">
        <is>
          <t>кор</t>
        </is>
      </c>
      <c r="U217" s="394">
        <f>IFERROR(SUM(U216:U216),"0")</f>
        <v/>
      </c>
      <c r="V217" s="394">
        <f>IFERROR(SUM(V216:V216),"0")</f>
        <v/>
      </c>
      <c r="W217" s="394">
        <f>IFERROR(IF(W216="",0,W216),"0")</f>
        <v/>
      </c>
      <c r="X217" s="395" t="n"/>
      <c r="Y217" s="39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92" t="n"/>
      <c r="M218" s="393" t="inlineStr">
        <is>
          <t>Итого</t>
        </is>
      </c>
      <c r="N218" s="363" t="n"/>
      <c r="O218" s="363" t="n"/>
      <c r="P218" s="363" t="n"/>
      <c r="Q218" s="363" t="n"/>
      <c r="R218" s="363" t="n"/>
      <c r="S218" s="364" t="n"/>
      <c r="T218" s="43" t="inlineStr">
        <is>
          <t>кг</t>
        </is>
      </c>
      <c r="U218" s="394">
        <f>IFERROR(SUMPRODUCT(U216:U216*H216:H216),"0")</f>
        <v/>
      </c>
      <c r="V218" s="394">
        <f>IFERROR(SUMPRODUCT(V216:V216*H216:H216),"0")</f>
        <v/>
      </c>
      <c r="W218" s="43" t="n"/>
      <c r="X218" s="395" t="n"/>
      <c r="Y218" s="395" t="n"/>
    </row>
    <row r="219" ht="16.5" customHeight="1">
      <c r="A219" s="202" t="inlineStr">
        <is>
          <t>Сочные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202" t="n"/>
      <c r="Y219" s="202" t="n"/>
    </row>
    <row r="220" ht="14.25" customHeight="1">
      <c r="A220" s="193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93" t="n"/>
      <c r="Y220" s="193" t="n"/>
    </row>
    <row r="221" ht="16.5" customHeight="1">
      <c r="A221" s="64" t="inlineStr">
        <is>
          <t>SU001859</t>
        </is>
      </c>
      <c r="B221" s="64" t="inlineStr">
        <is>
          <t>P002720</t>
        </is>
      </c>
      <c r="C221" s="37" t="n">
        <v>4301070874</v>
      </c>
      <c r="D221" s="185" t="n">
        <v>4607111035332</v>
      </c>
      <c r="E221" s="355" t="n"/>
      <c r="F221" s="387" t="n">
        <v>0.43</v>
      </c>
      <c r="G221" s="38" t="n">
        <v>16</v>
      </c>
      <c r="H221" s="387" t="n">
        <v>6.88</v>
      </c>
      <c r="I221" s="387" t="n">
        <v>7.206</v>
      </c>
      <c r="J221" s="38" t="n">
        <v>84</v>
      </c>
      <c r="K221" s="39" t="inlineStr">
        <is>
          <t>МГ</t>
        </is>
      </c>
      <c r="L221" s="38" t="n">
        <v>180</v>
      </c>
      <c r="M221" s="474">
        <f>HYPERLINK("https://abi.ru/products/Замороженные/Стародворье/Сочные/Пельмени/P002720/","Пельмени Сочные Сочные 0,43 Сфера Стародворье")</f>
        <v/>
      </c>
      <c r="N221" s="389" t="n"/>
      <c r="O221" s="389" t="n"/>
      <c r="P221" s="389" t="n"/>
      <c r="Q221" s="355" t="n"/>
      <c r="R221" s="40" t="inlineStr"/>
      <c r="S221" s="40" t="inlineStr"/>
      <c r="T221" s="41" t="inlineStr">
        <is>
          <t>кор</t>
        </is>
      </c>
      <c r="U221" s="390" t="n">
        <v>0</v>
      </c>
      <c r="V221" s="391">
        <f>IFERROR(IF(U221="","",U221),"")</f>
        <v/>
      </c>
      <c r="W221" s="42">
        <f>IFERROR(IF(U221="","",U221*0.0155),"")</f>
        <v/>
      </c>
      <c r="X221" s="69" t="inlineStr"/>
      <c r="Y221" s="70" t="inlineStr"/>
      <c r="AC221" s="74" t="n"/>
      <c r="AZ221" s="155" t="inlineStr">
        <is>
          <t>ЗПФ</t>
        </is>
      </c>
    </row>
    <row r="222" ht="16.5" customHeight="1">
      <c r="A222" s="64" t="inlineStr">
        <is>
          <t>SU001776</t>
        </is>
      </c>
      <c r="B222" s="64" t="inlineStr">
        <is>
          <t>P002719</t>
        </is>
      </c>
      <c r="C222" s="37" t="n">
        <v>4301070873</v>
      </c>
      <c r="D222" s="185" t="n">
        <v>4607111035080</v>
      </c>
      <c r="E222" s="355" t="n"/>
      <c r="F222" s="387" t="n">
        <v>0.9</v>
      </c>
      <c r="G222" s="38" t="n">
        <v>8</v>
      </c>
      <c r="H222" s="387" t="n">
        <v>7.2</v>
      </c>
      <c r="I222" s="387" t="n">
        <v>7.47</v>
      </c>
      <c r="J222" s="38" t="n">
        <v>84</v>
      </c>
      <c r="K222" s="39" t="inlineStr">
        <is>
          <t>МГ</t>
        </is>
      </c>
      <c r="L222" s="38" t="n">
        <v>180</v>
      </c>
      <c r="M222" s="475">
        <f>HYPERLINK("https://abi.ru/products/Замороженные/Стародворье/Сочные/Пельмени/P002719/","Пельмени Сочные Сочные 0,9 Сфера Стародворье")</f>
        <v/>
      </c>
      <c r="N222" s="389" t="n"/>
      <c r="O222" s="389" t="n"/>
      <c r="P222" s="389" t="n"/>
      <c r="Q222" s="355" t="n"/>
      <c r="R222" s="40" t="inlineStr"/>
      <c r="S222" s="40" t="inlineStr"/>
      <c r="T222" s="41" t="inlineStr">
        <is>
          <t>кор</t>
        </is>
      </c>
      <c r="U222" s="390" t="n">
        <v>0</v>
      </c>
      <c r="V222" s="391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>
      <c r="A223" s="180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92" t="n"/>
      <c r="M223" s="393" t="inlineStr">
        <is>
          <t>Итого</t>
        </is>
      </c>
      <c r="N223" s="363" t="n"/>
      <c r="O223" s="363" t="n"/>
      <c r="P223" s="363" t="n"/>
      <c r="Q223" s="363" t="n"/>
      <c r="R223" s="363" t="n"/>
      <c r="S223" s="364" t="n"/>
      <c r="T223" s="43" t="inlineStr">
        <is>
          <t>кор</t>
        </is>
      </c>
      <c r="U223" s="394">
        <f>IFERROR(SUM(U221:U222),"0")</f>
        <v/>
      </c>
      <c r="V223" s="394">
        <f>IFERROR(SUM(V221:V222),"0")</f>
        <v/>
      </c>
      <c r="W223" s="394">
        <f>IFERROR(IF(W221="",0,W221),"0")+IFERROR(IF(W222="",0,W222),"0")</f>
        <v/>
      </c>
      <c r="X223" s="395" t="n"/>
      <c r="Y223" s="395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92" t="n"/>
      <c r="M224" s="393" t="inlineStr">
        <is>
          <t>Итого</t>
        </is>
      </c>
      <c r="N224" s="363" t="n"/>
      <c r="O224" s="363" t="n"/>
      <c r="P224" s="363" t="n"/>
      <c r="Q224" s="363" t="n"/>
      <c r="R224" s="363" t="n"/>
      <c r="S224" s="364" t="n"/>
      <c r="T224" s="43" t="inlineStr">
        <is>
          <t>кг</t>
        </is>
      </c>
      <c r="U224" s="394">
        <f>IFERROR(SUMPRODUCT(U221:U222*H221:H222),"0")</f>
        <v/>
      </c>
      <c r="V224" s="394">
        <f>IFERROR(SUMPRODUCT(V221:V222*H221:H222),"0")</f>
        <v/>
      </c>
      <c r="W224" s="43" t="n"/>
      <c r="X224" s="395" t="n"/>
      <c r="Y224" s="395" t="n"/>
    </row>
    <row r="225" ht="27.75" customHeight="1">
      <c r="A225" s="204" t="inlineStr">
        <is>
          <t>Колбасный стандарт</t>
        </is>
      </c>
      <c r="B225" s="386" t="n"/>
      <c r="C225" s="386" t="n"/>
      <c r="D225" s="386" t="n"/>
      <c r="E225" s="386" t="n"/>
      <c r="F225" s="386" t="n"/>
      <c r="G225" s="386" t="n"/>
      <c r="H225" s="386" t="n"/>
      <c r="I225" s="386" t="n"/>
      <c r="J225" s="386" t="n"/>
      <c r="K225" s="386" t="n"/>
      <c r="L225" s="386" t="n"/>
      <c r="M225" s="386" t="n"/>
      <c r="N225" s="386" t="n"/>
      <c r="O225" s="386" t="n"/>
      <c r="P225" s="386" t="n"/>
      <c r="Q225" s="386" t="n"/>
      <c r="R225" s="386" t="n"/>
      <c r="S225" s="386" t="n"/>
      <c r="T225" s="386" t="n"/>
      <c r="U225" s="386" t="n"/>
      <c r="V225" s="386" t="n"/>
      <c r="W225" s="386" t="n"/>
      <c r="X225" s="55" t="n"/>
      <c r="Y225" s="55" t="n"/>
    </row>
    <row r="226" ht="16.5" customHeight="1">
      <c r="A226" s="202" t="inlineStr">
        <is>
          <t>Владимирский Стандарт ЗПФ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202" t="n"/>
      <c r="Y226" s="202" t="n"/>
    </row>
    <row r="227" ht="14.25" customHeight="1">
      <c r="A227" s="193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93" t="n"/>
      <c r="Y227" s="193" t="n"/>
    </row>
    <row r="228" ht="27" customHeight="1">
      <c r="A228" s="64" t="inlineStr">
        <is>
          <t>SU002267</t>
        </is>
      </c>
      <c r="B228" s="64" t="inlineStr">
        <is>
          <t>P003223</t>
        </is>
      </c>
      <c r="C228" s="37" t="n">
        <v>4301070941</v>
      </c>
      <c r="D228" s="185" t="n">
        <v>4607111036162</v>
      </c>
      <c r="E228" s="355" t="n"/>
      <c r="F228" s="387" t="n">
        <v>0.8</v>
      </c>
      <c r="G228" s="38" t="n">
        <v>8</v>
      </c>
      <c r="H228" s="387" t="n">
        <v>6.4</v>
      </c>
      <c r="I228" s="387" t="n">
        <v>6.6812</v>
      </c>
      <c r="J228" s="38" t="n">
        <v>84</v>
      </c>
      <c r="K228" s="39" t="inlineStr">
        <is>
          <t>МГ</t>
        </is>
      </c>
      <c r="L228" s="38" t="n">
        <v>90</v>
      </c>
      <c r="M228" s="47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8" s="389" t="n"/>
      <c r="O228" s="389" t="n"/>
      <c r="P228" s="389" t="n"/>
      <c r="Q228" s="355" t="n"/>
      <c r="R228" s="40" t="inlineStr"/>
      <c r="S228" s="40" t="inlineStr"/>
      <c r="T228" s="41" t="inlineStr">
        <is>
          <t>кор</t>
        </is>
      </c>
      <c r="U228" s="390" t="n">
        <v>0</v>
      </c>
      <c r="V228" s="391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57" t="inlineStr">
        <is>
          <t>ЗПФ</t>
        </is>
      </c>
    </row>
    <row r="229">
      <c r="A229" s="180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92" t="n"/>
      <c r="M229" s="393" t="inlineStr">
        <is>
          <t>Итого</t>
        </is>
      </c>
      <c r="N229" s="363" t="n"/>
      <c r="O229" s="363" t="n"/>
      <c r="P229" s="363" t="n"/>
      <c r="Q229" s="363" t="n"/>
      <c r="R229" s="363" t="n"/>
      <c r="S229" s="364" t="n"/>
      <c r="T229" s="43" t="inlineStr">
        <is>
          <t>кор</t>
        </is>
      </c>
      <c r="U229" s="394">
        <f>IFERROR(SUM(U228:U228),"0")</f>
        <v/>
      </c>
      <c r="V229" s="394">
        <f>IFERROR(SUM(V228:V228),"0")</f>
        <v/>
      </c>
      <c r="W229" s="394">
        <f>IFERROR(IF(W228="",0,W228),"0")</f>
        <v/>
      </c>
      <c r="X229" s="395" t="n"/>
      <c r="Y229" s="395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92" t="n"/>
      <c r="M230" s="393" t="inlineStr">
        <is>
          <t>Итого</t>
        </is>
      </c>
      <c r="N230" s="363" t="n"/>
      <c r="O230" s="363" t="n"/>
      <c r="P230" s="363" t="n"/>
      <c r="Q230" s="363" t="n"/>
      <c r="R230" s="363" t="n"/>
      <c r="S230" s="364" t="n"/>
      <c r="T230" s="43" t="inlineStr">
        <is>
          <t>кг</t>
        </is>
      </c>
      <c r="U230" s="394">
        <f>IFERROR(SUMPRODUCT(U228:U228*H228:H228),"0")</f>
        <v/>
      </c>
      <c r="V230" s="394">
        <f>IFERROR(SUMPRODUCT(V228:V228*H228:H228),"0")</f>
        <v/>
      </c>
      <c r="W230" s="43" t="n"/>
      <c r="X230" s="395" t="n"/>
      <c r="Y230" s="395" t="n"/>
    </row>
    <row r="231" ht="27.75" customHeight="1">
      <c r="A231" s="204" t="inlineStr">
        <is>
          <t>Особый рецепт</t>
        </is>
      </c>
      <c r="B231" s="386" t="n"/>
      <c r="C231" s="386" t="n"/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  <c r="P231" s="386" t="n"/>
      <c r="Q231" s="386" t="n"/>
      <c r="R231" s="386" t="n"/>
      <c r="S231" s="386" t="n"/>
      <c r="T231" s="386" t="n"/>
      <c r="U231" s="386" t="n"/>
      <c r="V231" s="386" t="n"/>
      <c r="W231" s="386" t="n"/>
      <c r="X231" s="55" t="n"/>
      <c r="Y231" s="55" t="n"/>
    </row>
    <row r="232" ht="16.5" customHeight="1">
      <c r="A232" s="202" t="inlineStr">
        <is>
          <t>Любимая ложка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202" t="n"/>
      <c r="Y232" s="202" t="n"/>
    </row>
    <row r="233" ht="14.25" customHeight="1">
      <c r="A233" s="193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93" t="n"/>
      <c r="Y233" s="193" t="n"/>
    </row>
    <row r="234" ht="27" customHeight="1">
      <c r="A234" s="64" t="inlineStr">
        <is>
          <t>SU002268</t>
        </is>
      </c>
      <c r="B234" s="64" t="inlineStr">
        <is>
          <t>P002746</t>
        </is>
      </c>
      <c r="C234" s="37" t="n">
        <v>4301070882</v>
      </c>
      <c r="D234" s="185" t="n">
        <v>4607111035899</v>
      </c>
      <c r="E234" s="355" t="n"/>
      <c r="F234" s="387" t="n">
        <v>1</v>
      </c>
      <c r="G234" s="38" t="n">
        <v>5</v>
      </c>
      <c r="H234" s="387" t="n">
        <v>5</v>
      </c>
      <c r="I234" s="387" t="n">
        <v>5.262</v>
      </c>
      <c r="J234" s="38" t="n">
        <v>84</v>
      </c>
      <c r="K234" s="39" t="inlineStr">
        <is>
          <t>МГ</t>
        </is>
      </c>
      <c r="L234" s="38" t="n">
        <v>120</v>
      </c>
      <c r="M234" s="47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4" s="389" t="n"/>
      <c r="O234" s="389" t="n"/>
      <c r="P234" s="389" t="n"/>
      <c r="Q234" s="355" t="n"/>
      <c r="R234" s="40" t="inlineStr"/>
      <c r="S234" s="40" t="inlineStr"/>
      <c r="T234" s="41" t="inlineStr">
        <is>
          <t>кор</t>
        </is>
      </c>
      <c r="U234" s="390" t="n">
        <v>240</v>
      </c>
      <c r="V234" s="391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58" t="inlineStr">
        <is>
          <t>ЗПФ</t>
        </is>
      </c>
    </row>
    <row r="235">
      <c r="A235" s="18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92" t="n"/>
      <c r="M235" s="393" t="inlineStr">
        <is>
          <t>Итого</t>
        </is>
      </c>
      <c r="N235" s="363" t="n"/>
      <c r="O235" s="363" t="n"/>
      <c r="P235" s="363" t="n"/>
      <c r="Q235" s="363" t="n"/>
      <c r="R235" s="363" t="n"/>
      <c r="S235" s="364" t="n"/>
      <c r="T235" s="43" t="inlineStr">
        <is>
          <t>кор</t>
        </is>
      </c>
      <c r="U235" s="394">
        <f>IFERROR(SUM(U234:U234),"0")</f>
        <v/>
      </c>
      <c r="V235" s="394">
        <f>IFERROR(SUM(V234:V234),"0")</f>
        <v/>
      </c>
      <c r="W235" s="394">
        <f>IFERROR(IF(W234="",0,W234),"0")</f>
        <v/>
      </c>
      <c r="X235" s="395" t="n"/>
      <c r="Y235" s="395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92" t="n"/>
      <c r="M236" s="393" t="inlineStr">
        <is>
          <t>Итого</t>
        </is>
      </c>
      <c r="N236" s="363" t="n"/>
      <c r="O236" s="363" t="n"/>
      <c r="P236" s="363" t="n"/>
      <c r="Q236" s="363" t="n"/>
      <c r="R236" s="363" t="n"/>
      <c r="S236" s="364" t="n"/>
      <c r="T236" s="43" t="inlineStr">
        <is>
          <t>кг</t>
        </is>
      </c>
      <c r="U236" s="394">
        <f>IFERROR(SUMPRODUCT(U234:U234*H234:H234),"0")</f>
        <v/>
      </c>
      <c r="V236" s="394">
        <f>IFERROR(SUMPRODUCT(V234:V234*H234:H234),"0")</f>
        <v/>
      </c>
      <c r="W236" s="43" t="n"/>
      <c r="X236" s="395" t="n"/>
      <c r="Y236" s="395" t="n"/>
    </row>
    <row r="237" ht="16.5" customHeight="1">
      <c r="A237" s="202" t="inlineStr">
        <is>
          <t>Особая Без свинины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202" t="n"/>
      <c r="Y237" s="202" t="n"/>
    </row>
    <row r="238" ht="14.25" customHeight="1">
      <c r="A238" s="193" t="inlineStr">
        <is>
          <t>Пельмени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93" t="n"/>
      <c r="Y238" s="193" t="n"/>
    </row>
    <row r="239" ht="27" customHeight="1">
      <c r="A239" s="64" t="inlineStr">
        <is>
          <t>SU002408</t>
        </is>
      </c>
      <c r="B239" s="64" t="inlineStr">
        <is>
          <t>P002686</t>
        </is>
      </c>
      <c r="C239" s="37" t="n">
        <v>4301070870</v>
      </c>
      <c r="D239" s="185" t="n">
        <v>4607111036711</v>
      </c>
      <c r="E239" s="355" t="n"/>
      <c r="F239" s="387" t="n">
        <v>0.8</v>
      </c>
      <c r="G239" s="38" t="n">
        <v>8</v>
      </c>
      <c r="H239" s="387" t="n">
        <v>6.4</v>
      </c>
      <c r="I239" s="387" t="n">
        <v>6.67</v>
      </c>
      <c r="J239" s="38" t="n">
        <v>84</v>
      </c>
      <c r="K239" s="39" t="inlineStr">
        <is>
          <t>МГ</t>
        </is>
      </c>
      <c r="L239" s="38" t="n">
        <v>90</v>
      </c>
      <c r="M239" s="47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39" s="389" t="n"/>
      <c r="O239" s="389" t="n"/>
      <c r="P239" s="389" t="n"/>
      <c r="Q239" s="355" t="n"/>
      <c r="R239" s="40" t="inlineStr"/>
      <c r="S239" s="40" t="inlineStr"/>
      <c r="T239" s="41" t="inlineStr">
        <is>
          <t>кор</t>
        </is>
      </c>
      <c r="U239" s="390" t="n">
        <v>0</v>
      </c>
      <c r="V239" s="391">
        <f>IFERROR(IF(U239="","",U239),"")</f>
        <v/>
      </c>
      <c r="W239" s="42">
        <f>IFERROR(IF(U239="","",U239*0.0155),"")</f>
        <v/>
      </c>
      <c r="X239" s="69" t="inlineStr"/>
      <c r="Y239" s="70" t="inlineStr"/>
      <c r="AC239" s="74" t="n"/>
      <c r="AZ239" s="159" t="inlineStr">
        <is>
          <t>ЗПФ</t>
        </is>
      </c>
    </row>
    <row r="240">
      <c r="A240" s="180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92" t="n"/>
      <c r="M240" s="393" t="inlineStr">
        <is>
          <t>Итого</t>
        </is>
      </c>
      <c r="N240" s="363" t="n"/>
      <c r="O240" s="363" t="n"/>
      <c r="P240" s="363" t="n"/>
      <c r="Q240" s="363" t="n"/>
      <c r="R240" s="363" t="n"/>
      <c r="S240" s="364" t="n"/>
      <c r="T240" s="43" t="inlineStr">
        <is>
          <t>кор</t>
        </is>
      </c>
      <c r="U240" s="394">
        <f>IFERROR(SUM(U239:U239),"0")</f>
        <v/>
      </c>
      <c r="V240" s="394">
        <f>IFERROR(SUM(V239:V239),"0")</f>
        <v/>
      </c>
      <c r="W240" s="394">
        <f>IFERROR(IF(W239="",0,W239),"0")</f>
        <v/>
      </c>
      <c r="X240" s="395" t="n"/>
      <c r="Y240" s="395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92" t="n"/>
      <c r="M241" s="393" t="inlineStr">
        <is>
          <t>Итого</t>
        </is>
      </c>
      <c r="N241" s="363" t="n"/>
      <c r="O241" s="363" t="n"/>
      <c r="P241" s="363" t="n"/>
      <c r="Q241" s="363" t="n"/>
      <c r="R241" s="363" t="n"/>
      <c r="S241" s="364" t="n"/>
      <c r="T241" s="43" t="inlineStr">
        <is>
          <t>кг</t>
        </is>
      </c>
      <c r="U241" s="394">
        <f>IFERROR(SUMPRODUCT(U239:U239*H239:H239),"0")</f>
        <v/>
      </c>
      <c r="V241" s="394">
        <f>IFERROR(SUMPRODUCT(V239:V239*H239:H239),"0")</f>
        <v/>
      </c>
      <c r="W241" s="43" t="n"/>
      <c r="X241" s="395" t="n"/>
      <c r="Y241" s="395" t="n"/>
    </row>
    <row r="242" ht="27.75" customHeight="1">
      <c r="A242" s="204" t="inlineStr">
        <is>
          <t>Зареченские</t>
        </is>
      </c>
      <c r="B242" s="386" t="n"/>
      <c r="C242" s="386" t="n"/>
      <c r="D242" s="386" t="n"/>
      <c r="E242" s="386" t="n"/>
      <c r="F242" s="386" t="n"/>
      <c r="G242" s="386" t="n"/>
      <c r="H242" s="386" t="n"/>
      <c r="I242" s="386" t="n"/>
      <c r="J242" s="386" t="n"/>
      <c r="K242" s="386" t="n"/>
      <c r="L242" s="386" t="n"/>
      <c r="M242" s="386" t="n"/>
      <c r="N242" s="386" t="n"/>
      <c r="O242" s="386" t="n"/>
      <c r="P242" s="386" t="n"/>
      <c r="Q242" s="386" t="n"/>
      <c r="R242" s="386" t="n"/>
      <c r="S242" s="386" t="n"/>
      <c r="T242" s="386" t="n"/>
      <c r="U242" s="386" t="n"/>
      <c r="V242" s="386" t="n"/>
      <c r="W242" s="386" t="n"/>
      <c r="X242" s="55" t="n"/>
      <c r="Y242" s="55" t="n"/>
    </row>
    <row r="243" ht="16.5" customHeight="1">
      <c r="A243" s="202" t="inlineStr">
        <is>
          <t>Зареченские продукты ПГП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202" t="n"/>
      <c r="Y243" s="202" t="n"/>
    </row>
    <row r="244" ht="14.25" customHeight="1">
      <c r="A244" s="193" t="inlineStr">
        <is>
          <t>Крылья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93" t="n"/>
      <c r="Y244" s="193" t="n"/>
    </row>
    <row r="245" ht="27" customHeight="1">
      <c r="A245" s="64" t="inlineStr">
        <is>
          <t>SU003024</t>
        </is>
      </c>
      <c r="B245" s="64" t="inlineStr">
        <is>
          <t>P003488</t>
        </is>
      </c>
      <c r="C245" s="37" t="n">
        <v>4301131019</v>
      </c>
      <c r="D245" s="185" t="n">
        <v>4640242180427</v>
      </c>
      <c r="E245" s="355" t="n"/>
      <c r="F245" s="387" t="n">
        <v>1.8</v>
      </c>
      <c r="G245" s="38" t="n">
        <v>1</v>
      </c>
      <c r="H245" s="387" t="n">
        <v>1.8</v>
      </c>
      <c r="I245" s="387" t="n">
        <v>1.915</v>
      </c>
      <c r="J245" s="38" t="n">
        <v>234</v>
      </c>
      <c r="K245" s="39" t="inlineStr">
        <is>
          <t>МГ</t>
        </is>
      </c>
      <c r="L245" s="38" t="n">
        <v>180</v>
      </c>
      <c r="M245" s="479" t="inlineStr">
        <is>
          <t>Крылья «Хрустящие крылышки» Весовой ТМ «Зареченские» 1,8 кг</t>
        </is>
      </c>
      <c r="N245" s="389" t="n"/>
      <c r="O245" s="389" t="n"/>
      <c r="P245" s="389" t="n"/>
      <c r="Q245" s="355" t="n"/>
      <c r="R245" s="40" t="inlineStr"/>
      <c r="S245" s="40" t="inlineStr"/>
      <c r="T245" s="41" t="inlineStr">
        <is>
          <t>кор</t>
        </is>
      </c>
      <c r="U245" s="390" t="n">
        <v>56</v>
      </c>
      <c r="V245" s="391">
        <f>IFERROR(IF(U245="","",U245),"")</f>
        <v/>
      </c>
      <c r="W245" s="42">
        <f>IFERROR(IF(U245="","",U245*0.00502),"")</f>
        <v/>
      </c>
      <c r="X245" s="69" t="inlineStr"/>
      <c r="Y245" s="70" t="inlineStr">
        <is>
          <t>Новинка</t>
        </is>
      </c>
      <c r="AC245" s="74" t="n"/>
      <c r="AZ245" s="160" t="inlineStr">
        <is>
          <t>ПГП</t>
        </is>
      </c>
    </row>
    <row r="246">
      <c r="A246" s="180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92" t="n"/>
      <c r="M246" s="393" t="inlineStr">
        <is>
          <t>Итого</t>
        </is>
      </c>
      <c r="N246" s="363" t="n"/>
      <c r="O246" s="363" t="n"/>
      <c r="P246" s="363" t="n"/>
      <c r="Q246" s="363" t="n"/>
      <c r="R246" s="363" t="n"/>
      <c r="S246" s="364" t="n"/>
      <c r="T246" s="43" t="inlineStr">
        <is>
          <t>кор</t>
        </is>
      </c>
      <c r="U246" s="394">
        <f>IFERROR(SUM(U245:U245),"0")</f>
        <v/>
      </c>
      <c r="V246" s="394">
        <f>IFERROR(SUM(V245:V245),"0")</f>
        <v/>
      </c>
      <c r="W246" s="394">
        <f>IFERROR(IF(W245="",0,W245),"0")</f>
        <v/>
      </c>
      <c r="X246" s="395" t="n"/>
      <c r="Y246" s="395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92" t="n"/>
      <c r="M247" s="393" t="inlineStr">
        <is>
          <t>Итого</t>
        </is>
      </c>
      <c r="N247" s="363" t="n"/>
      <c r="O247" s="363" t="n"/>
      <c r="P247" s="363" t="n"/>
      <c r="Q247" s="363" t="n"/>
      <c r="R247" s="363" t="n"/>
      <c r="S247" s="364" t="n"/>
      <c r="T247" s="43" t="inlineStr">
        <is>
          <t>кг</t>
        </is>
      </c>
      <c r="U247" s="394">
        <f>IFERROR(SUMPRODUCT(U245:U245*H245:H245),"0")</f>
        <v/>
      </c>
      <c r="V247" s="394">
        <f>IFERROR(SUMPRODUCT(V245:V245*H245:H245),"0")</f>
        <v/>
      </c>
      <c r="W247" s="43" t="n"/>
      <c r="X247" s="395" t="n"/>
      <c r="Y247" s="395" t="n"/>
    </row>
    <row r="248" ht="14.25" customHeight="1">
      <c r="A248" s="193" t="inlineStr">
        <is>
          <t>Наггетсы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93" t="n"/>
      <c r="Y248" s="193" t="n"/>
    </row>
    <row r="249" ht="27" customHeight="1">
      <c r="A249" s="64" t="inlineStr">
        <is>
          <t>SU003020</t>
        </is>
      </c>
      <c r="B249" s="64" t="inlineStr">
        <is>
          <t>P003486</t>
        </is>
      </c>
      <c r="C249" s="37" t="n">
        <v>4301132080</v>
      </c>
      <c r="D249" s="185" t="n">
        <v>4640242180397</v>
      </c>
      <c r="E249" s="355" t="n"/>
      <c r="F249" s="387" t="n">
        <v>1</v>
      </c>
      <c r="G249" s="38" t="n">
        <v>6</v>
      </c>
      <c r="H249" s="387" t="n">
        <v>6</v>
      </c>
      <c r="I249" s="387" t="n">
        <v>6.26</v>
      </c>
      <c r="J249" s="38" t="n">
        <v>84</v>
      </c>
      <c r="K249" s="39" t="inlineStr">
        <is>
          <t>МГ</t>
        </is>
      </c>
      <c r="L249" s="38" t="n">
        <v>180</v>
      </c>
      <c r="M249" s="480" t="inlineStr">
        <is>
          <t>Наггетсы «Хрустящие» Весовые ТМ «Зареченские» 6 кг</t>
        </is>
      </c>
      <c r="N249" s="389" t="n"/>
      <c r="O249" s="389" t="n"/>
      <c r="P249" s="389" t="n"/>
      <c r="Q249" s="355" t="n"/>
      <c r="R249" s="40" t="inlineStr"/>
      <c r="S249" s="40" t="inlineStr"/>
      <c r="T249" s="41" t="inlineStr">
        <is>
          <t>кор</t>
        </is>
      </c>
      <c r="U249" s="390" t="n">
        <v>0</v>
      </c>
      <c r="V249" s="391">
        <f>IFERROR(IF(U249="","",U249),"")</f>
        <v/>
      </c>
      <c r="W249" s="42">
        <f>IFERROR(IF(U249="","",U249*0.0155),"")</f>
        <v/>
      </c>
      <c r="X249" s="69" t="inlineStr"/>
      <c r="Y249" s="70" t="inlineStr"/>
      <c r="AC249" s="74" t="n"/>
      <c r="AZ249" s="161" t="inlineStr">
        <is>
          <t>ПГП</t>
        </is>
      </c>
    </row>
    <row r="250">
      <c r="A250" s="1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92" t="n"/>
      <c r="M250" s="393" t="inlineStr">
        <is>
          <t>Итого</t>
        </is>
      </c>
      <c r="N250" s="363" t="n"/>
      <c r="O250" s="363" t="n"/>
      <c r="P250" s="363" t="n"/>
      <c r="Q250" s="363" t="n"/>
      <c r="R250" s="363" t="n"/>
      <c r="S250" s="364" t="n"/>
      <c r="T250" s="43" t="inlineStr">
        <is>
          <t>кор</t>
        </is>
      </c>
      <c r="U250" s="394">
        <f>IFERROR(SUM(U249:U249),"0")</f>
        <v/>
      </c>
      <c r="V250" s="394">
        <f>IFERROR(SUM(V249:V249),"0")</f>
        <v/>
      </c>
      <c r="W250" s="394">
        <f>IFERROR(IF(W249="",0,W249),"0")</f>
        <v/>
      </c>
      <c r="X250" s="395" t="n"/>
      <c r="Y250" s="395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92" t="n"/>
      <c r="M251" s="393" t="inlineStr">
        <is>
          <t>Итого</t>
        </is>
      </c>
      <c r="N251" s="363" t="n"/>
      <c r="O251" s="363" t="n"/>
      <c r="P251" s="363" t="n"/>
      <c r="Q251" s="363" t="n"/>
      <c r="R251" s="363" t="n"/>
      <c r="S251" s="364" t="n"/>
      <c r="T251" s="43" t="inlineStr">
        <is>
          <t>кг</t>
        </is>
      </c>
      <c r="U251" s="394">
        <f>IFERROR(SUMPRODUCT(U249:U249*H249:H249),"0")</f>
        <v/>
      </c>
      <c r="V251" s="394">
        <f>IFERROR(SUMPRODUCT(V249:V249*H249:H249),"0")</f>
        <v/>
      </c>
      <c r="W251" s="43" t="n"/>
      <c r="X251" s="395" t="n"/>
      <c r="Y251" s="395" t="n"/>
    </row>
    <row r="252" ht="14.25" customHeight="1">
      <c r="A252" s="193" t="inlineStr">
        <is>
          <t>Чебуреки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93" t="n"/>
      <c r="Y252" s="193" t="n"/>
    </row>
    <row r="253" ht="27" customHeight="1">
      <c r="A253" s="64" t="inlineStr">
        <is>
          <t>SU003012</t>
        </is>
      </c>
      <c r="B253" s="64" t="inlineStr">
        <is>
          <t>P003478</t>
        </is>
      </c>
      <c r="C253" s="37" t="n">
        <v>4301136028</v>
      </c>
      <c r="D253" s="185" t="n">
        <v>4640242180304</v>
      </c>
      <c r="E253" s="355" t="n"/>
      <c r="F253" s="387" t="n">
        <v>2.7</v>
      </c>
      <c r="G253" s="38" t="n">
        <v>1</v>
      </c>
      <c r="H253" s="387" t="n">
        <v>2.7</v>
      </c>
      <c r="I253" s="387" t="n">
        <v>2.8906</v>
      </c>
      <c r="J253" s="38" t="n">
        <v>126</v>
      </c>
      <c r="K253" s="39" t="inlineStr">
        <is>
          <t>МГ</t>
        </is>
      </c>
      <c r="L253" s="38" t="n">
        <v>180</v>
      </c>
      <c r="M253" s="481" t="inlineStr">
        <is>
          <t>Чебуреки «Мясные» Весовые ТМ «Зареченские» 2,7 кг</t>
        </is>
      </c>
      <c r="N253" s="389" t="n"/>
      <c r="O253" s="389" t="n"/>
      <c r="P253" s="389" t="n"/>
      <c r="Q253" s="355" t="n"/>
      <c r="R253" s="40" t="inlineStr"/>
      <c r="S253" s="40" t="inlineStr"/>
      <c r="T253" s="41" t="inlineStr">
        <is>
          <t>кор</t>
        </is>
      </c>
      <c r="U253" s="390" t="n">
        <v>185</v>
      </c>
      <c r="V253" s="391">
        <f>IFERROR(IF(U253="","",U253),"")</f>
        <v/>
      </c>
      <c r="W253" s="42">
        <f>IFERROR(IF(U253="","",U253*0.00936),"")</f>
        <v/>
      </c>
      <c r="X253" s="69" t="inlineStr"/>
      <c r="Y253" s="70" t="inlineStr"/>
      <c r="AC253" s="74" t="n"/>
      <c r="AZ253" s="162" t="inlineStr">
        <is>
          <t>ПГП</t>
        </is>
      </c>
    </row>
    <row r="254" ht="37.5" customHeight="1">
      <c r="A254" s="64" t="inlineStr">
        <is>
          <t>SU003011</t>
        </is>
      </c>
      <c r="B254" s="64" t="inlineStr">
        <is>
          <t>P003477</t>
        </is>
      </c>
      <c r="C254" s="37" t="n">
        <v>4301136027</v>
      </c>
      <c r="D254" s="185" t="n">
        <v>4640242180298</v>
      </c>
      <c r="E254" s="355" t="n"/>
      <c r="F254" s="387" t="n">
        <v>2.7</v>
      </c>
      <c r="G254" s="38" t="n">
        <v>1</v>
      </c>
      <c r="H254" s="387" t="n">
        <v>2.7</v>
      </c>
      <c r="I254" s="387" t="n">
        <v>2.892</v>
      </c>
      <c r="J254" s="38" t="n">
        <v>126</v>
      </c>
      <c r="K254" s="39" t="inlineStr">
        <is>
          <t>МГ</t>
        </is>
      </c>
      <c r="L254" s="38" t="n">
        <v>180</v>
      </c>
      <c r="M254" s="482" t="inlineStr">
        <is>
          <t>Чебуреки «с мясом, грибами и картофелем» Весовые ТМ «Зареченские» 2,7 кг</t>
        </is>
      </c>
      <c r="N254" s="389" t="n"/>
      <c r="O254" s="389" t="n"/>
      <c r="P254" s="389" t="n"/>
      <c r="Q254" s="355" t="n"/>
      <c r="R254" s="40" t="inlineStr"/>
      <c r="S254" s="40" t="inlineStr"/>
      <c r="T254" s="41" t="inlineStr">
        <is>
          <t>кор</t>
        </is>
      </c>
      <c r="U254" s="390" t="n">
        <v>0</v>
      </c>
      <c r="V254" s="391">
        <f>IFERROR(IF(U254="","",U254),"")</f>
        <v/>
      </c>
      <c r="W254" s="42">
        <f>IFERROR(IF(U254="","",U254*0.00936),"")</f>
        <v/>
      </c>
      <c r="X254" s="69" t="inlineStr"/>
      <c r="Y254" s="70" t="inlineStr"/>
      <c r="AC254" s="74" t="n"/>
      <c r="AZ254" s="163" t="inlineStr">
        <is>
          <t>ПГП</t>
        </is>
      </c>
    </row>
    <row r="255" ht="27" customHeight="1">
      <c r="A255" s="64" t="inlineStr">
        <is>
          <t>SU003010</t>
        </is>
      </c>
      <c r="B255" s="64" t="inlineStr">
        <is>
          <t>P003476</t>
        </is>
      </c>
      <c r="C255" s="37" t="n">
        <v>4301136026</v>
      </c>
      <c r="D255" s="185" t="n">
        <v>4640242180236</v>
      </c>
      <c r="E255" s="355" t="n"/>
      <c r="F255" s="387" t="n">
        <v>5</v>
      </c>
      <c r="G255" s="38" t="n">
        <v>1</v>
      </c>
      <c r="H255" s="387" t="n">
        <v>5</v>
      </c>
      <c r="I255" s="387" t="n">
        <v>5.235</v>
      </c>
      <c r="J255" s="38" t="n">
        <v>84</v>
      </c>
      <c r="K255" s="39" t="inlineStr">
        <is>
          <t>МГ</t>
        </is>
      </c>
      <c r="L255" s="38" t="n">
        <v>180</v>
      </c>
      <c r="M255" s="483" t="inlineStr">
        <is>
          <t>Чебуреки «Сочные» Весовые ТМ «Зареченские» 5 кг</t>
        </is>
      </c>
      <c r="N255" s="389" t="n"/>
      <c r="O255" s="389" t="n"/>
      <c r="P255" s="389" t="n"/>
      <c r="Q255" s="355" t="n"/>
      <c r="R255" s="40" t="inlineStr"/>
      <c r="S255" s="40" t="inlineStr"/>
      <c r="T255" s="41" t="inlineStr">
        <is>
          <t>кор</t>
        </is>
      </c>
      <c r="U255" s="390" t="n">
        <v>60</v>
      </c>
      <c r="V255" s="391">
        <f>IFERROR(IF(U255="","",U255),"")</f>
        <v/>
      </c>
      <c r="W255" s="42">
        <f>IFERROR(IF(U255="","",U255*0.0155),"")</f>
        <v/>
      </c>
      <c r="X255" s="69" t="inlineStr"/>
      <c r="Y255" s="70" t="inlineStr"/>
      <c r="AC255" s="74" t="n"/>
      <c r="AZ255" s="164" t="inlineStr">
        <is>
          <t>ПГП</t>
        </is>
      </c>
    </row>
    <row r="256">
      <c r="A256" s="1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392" t="n"/>
      <c r="M256" s="393" t="inlineStr">
        <is>
          <t>Итого</t>
        </is>
      </c>
      <c r="N256" s="363" t="n"/>
      <c r="O256" s="363" t="n"/>
      <c r="P256" s="363" t="n"/>
      <c r="Q256" s="363" t="n"/>
      <c r="R256" s="363" t="n"/>
      <c r="S256" s="364" t="n"/>
      <c r="T256" s="43" t="inlineStr">
        <is>
          <t>кор</t>
        </is>
      </c>
      <c r="U256" s="394">
        <f>IFERROR(SUM(U253:U255),"0")</f>
        <v/>
      </c>
      <c r="V256" s="394">
        <f>IFERROR(SUM(V253:V255),"0")</f>
        <v/>
      </c>
      <c r="W256" s="394">
        <f>IFERROR(IF(W253="",0,W253),"0")+IFERROR(IF(W254="",0,W254),"0")+IFERROR(IF(W255="",0,W255),"0")</f>
        <v/>
      </c>
      <c r="X256" s="395" t="n"/>
      <c r="Y256" s="39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392" t="n"/>
      <c r="M257" s="393" t="inlineStr">
        <is>
          <t>Итого</t>
        </is>
      </c>
      <c r="N257" s="363" t="n"/>
      <c r="O257" s="363" t="n"/>
      <c r="P257" s="363" t="n"/>
      <c r="Q257" s="363" t="n"/>
      <c r="R257" s="363" t="n"/>
      <c r="S257" s="364" t="n"/>
      <c r="T257" s="43" t="inlineStr">
        <is>
          <t>кг</t>
        </is>
      </c>
      <c r="U257" s="394">
        <f>IFERROR(SUMPRODUCT(U253:U255*H253:H255),"0")</f>
        <v/>
      </c>
      <c r="V257" s="394">
        <f>IFERROR(SUMPRODUCT(V253:V255*H253:H255),"0")</f>
        <v/>
      </c>
      <c r="W257" s="43" t="n"/>
      <c r="X257" s="395" t="n"/>
      <c r="Y257" s="395" t="n"/>
    </row>
    <row r="258" ht="14.25" customHeight="1">
      <c r="A258" s="193" t="inlineStr">
        <is>
          <t>Снеки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93" t="n"/>
      <c r="Y258" s="193" t="n"/>
    </row>
    <row r="259" ht="27" customHeight="1">
      <c r="A259" s="64" t="inlineStr">
        <is>
          <t>SU003023</t>
        </is>
      </c>
      <c r="B259" s="64" t="inlineStr">
        <is>
          <t>P003490</t>
        </is>
      </c>
      <c r="C259" s="37" t="n">
        <v>4301135195</v>
      </c>
      <c r="D259" s="185" t="n">
        <v>4640242180366</v>
      </c>
      <c r="E259" s="355" t="n"/>
      <c r="F259" s="387" t="n">
        <v>3.7</v>
      </c>
      <c r="G259" s="38" t="n">
        <v>1</v>
      </c>
      <c r="H259" s="387" t="n">
        <v>3.7</v>
      </c>
      <c r="I259" s="387" t="n">
        <v>3.892</v>
      </c>
      <c r="J259" s="38" t="n">
        <v>126</v>
      </c>
      <c r="K259" s="39" t="inlineStr">
        <is>
          <t>МГ</t>
        </is>
      </c>
      <c r="L259" s="38" t="n">
        <v>180</v>
      </c>
      <c r="M259" s="484" t="inlineStr">
        <is>
          <t>Снеки «Жар-ладушки с клубникой и вишней» Весовые ТМ «Зареченские» 3,7 кг</t>
        </is>
      </c>
      <c r="N259" s="389" t="n"/>
      <c r="O259" s="389" t="n"/>
      <c r="P259" s="389" t="n"/>
      <c r="Q259" s="355" t="n"/>
      <c r="R259" s="40" t="inlineStr"/>
      <c r="S259" s="40" t="inlineStr"/>
      <c r="T259" s="41" t="inlineStr">
        <is>
          <t>кор</t>
        </is>
      </c>
      <c r="U259" s="390" t="n">
        <v>81</v>
      </c>
      <c r="V259" s="391">
        <f>IFERROR(IF(U259="","",U259),"")</f>
        <v/>
      </c>
      <c r="W259" s="42">
        <f>IFERROR(IF(U259="","",U259*0.00936),"")</f>
        <v/>
      </c>
      <c r="X259" s="69" t="inlineStr"/>
      <c r="Y259" s="70" t="inlineStr">
        <is>
          <t>Новинка</t>
        </is>
      </c>
      <c r="AC259" s="74" t="n"/>
      <c r="AZ259" s="165" t="inlineStr">
        <is>
          <t>ПГП</t>
        </is>
      </c>
    </row>
    <row r="260" ht="27" customHeight="1">
      <c r="A260" s="64" t="inlineStr">
        <is>
          <t>SU003021</t>
        </is>
      </c>
      <c r="B260" s="64" t="inlineStr">
        <is>
          <t>P003489</t>
        </is>
      </c>
      <c r="C260" s="37" t="n">
        <v>4301135193</v>
      </c>
      <c r="D260" s="185" t="n">
        <v>4640242180403</v>
      </c>
      <c r="E260" s="355" t="n"/>
      <c r="F260" s="387" t="n">
        <v>3</v>
      </c>
      <c r="G260" s="38" t="n">
        <v>1</v>
      </c>
      <c r="H260" s="387" t="n">
        <v>3</v>
      </c>
      <c r="I260" s="387" t="n">
        <v>3.192</v>
      </c>
      <c r="J260" s="38" t="n">
        <v>126</v>
      </c>
      <c r="K260" s="39" t="inlineStr">
        <is>
          <t>МГ</t>
        </is>
      </c>
      <c r="L260" s="38" t="n">
        <v>180</v>
      </c>
      <c r="M260" s="485" t="inlineStr">
        <is>
          <t>Снеки «Фрай-пицца с ветчиной и грибами» Весовые ТМ «Зареченские» 3 кг</t>
        </is>
      </c>
      <c r="N260" s="389" t="n"/>
      <c r="O260" s="389" t="n"/>
      <c r="P260" s="389" t="n"/>
      <c r="Q260" s="355" t="n"/>
      <c r="R260" s="40" t="inlineStr"/>
      <c r="S260" s="40" t="inlineStr"/>
      <c r="T260" s="41" t="inlineStr">
        <is>
          <t>кор</t>
        </is>
      </c>
      <c r="U260" s="390" t="n">
        <v>100</v>
      </c>
      <c r="V260" s="391">
        <f>IFERROR(IF(U260="","",U260),"")</f>
        <v/>
      </c>
      <c r="W260" s="42">
        <f>IFERROR(IF(U260="","",U260*0.00936),"")</f>
        <v/>
      </c>
      <c r="X260" s="69" t="inlineStr"/>
      <c r="Y260" s="70" t="inlineStr">
        <is>
          <t>Новинка</t>
        </is>
      </c>
      <c r="AC260" s="74" t="n"/>
      <c r="AZ260" s="166" t="inlineStr">
        <is>
          <t>ПГП</t>
        </is>
      </c>
    </row>
    <row r="261" ht="27" customHeight="1">
      <c r="A261" s="64" t="inlineStr">
        <is>
          <t>SU003015</t>
        </is>
      </c>
      <c r="B261" s="64" t="inlineStr">
        <is>
          <t>P003481</t>
        </is>
      </c>
      <c r="C261" s="37" t="n">
        <v>4301135188</v>
      </c>
      <c r="D261" s="185" t="n">
        <v>4640242180335</v>
      </c>
      <c r="E261" s="355" t="n"/>
      <c r="F261" s="387" t="n">
        <v>3.7</v>
      </c>
      <c r="G261" s="38" t="n">
        <v>1</v>
      </c>
      <c r="H261" s="387" t="n">
        <v>3.7</v>
      </c>
      <c r="I261" s="387" t="n">
        <v>3.892</v>
      </c>
      <c r="J261" s="38" t="n">
        <v>126</v>
      </c>
      <c r="K261" s="39" t="inlineStr">
        <is>
          <t>МГ</t>
        </is>
      </c>
      <c r="L261" s="38" t="n">
        <v>180</v>
      </c>
      <c r="M261" s="486" t="inlineStr">
        <is>
          <t>Снеки «Жар-ладушки с мясом» Весовые ТМ «Зареченские» 3,7 кг</t>
        </is>
      </c>
      <c r="N261" s="389" t="n"/>
      <c r="O261" s="389" t="n"/>
      <c r="P261" s="389" t="n"/>
      <c r="Q261" s="355" t="n"/>
      <c r="R261" s="40" t="inlineStr"/>
      <c r="S261" s="40" t="inlineStr"/>
      <c r="T261" s="41" t="inlineStr">
        <is>
          <t>кор</t>
        </is>
      </c>
      <c r="U261" s="390" t="n">
        <v>0</v>
      </c>
      <c r="V261" s="391">
        <f>IFERROR(IF(U261="","",U261),"")</f>
        <v/>
      </c>
      <c r="W261" s="42">
        <f>IFERROR(IF(U261="","",U261*0.00936),"")</f>
        <v/>
      </c>
      <c r="X261" s="69" t="inlineStr"/>
      <c r="Y261" s="70" t="inlineStr"/>
      <c r="AC261" s="74" t="n"/>
      <c r="AZ261" s="167" t="inlineStr">
        <is>
          <t>ПГП</t>
        </is>
      </c>
    </row>
    <row r="262" ht="37.5" customHeight="1">
      <c r="A262" s="64" t="inlineStr">
        <is>
          <t>SU003016</t>
        </is>
      </c>
      <c r="B262" s="64" t="inlineStr">
        <is>
          <t>P003482</t>
        </is>
      </c>
      <c r="C262" s="37" t="n">
        <v>4301135189</v>
      </c>
      <c r="D262" s="185" t="n">
        <v>4640242180342</v>
      </c>
      <c r="E262" s="355" t="n"/>
      <c r="F262" s="387" t="n">
        <v>3.7</v>
      </c>
      <c r="G262" s="38" t="n">
        <v>1</v>
      </c>
      <c r="H262" s="387" t="n">
        <v>3.7</v>
      </c>
      <c r="I262" s="387" t="n">
        <v>3.892</v>
      </c>
      <c r="J262" s="38" t="n">
        <v>126</v>
      </c>
      <c r="K262" s="39" t="inlineStr">
        <is>
          <t>МГ</t>
        </is>
      </c>
      <c r="L262" s="38" t="n">
        <v>180</v>
      </c>
      <c r="M262" s="487" t="inlineStr">
        <is>
          <t>Снеки «Жар-ладушки с мясом, картофелем и грибами» Весовые ТМ «Зареченские» 3,7 кг</t>
        </is>
      </c>
      <c r="N262" s="389" t="n"/>
      <c r="O262" s="389" t="n"/>
      <c r="P262" s="389" t="n"/>
      <c r="Q262" s="355" t="n"/>
      <c r="R262" s="40" t="inlineStr"/>
      <c r="S262" s="40" t="inlineStr"/>
      <c r="T262" s="41" t="inlineStr">
        <is>
          <t>кор</t>
        </is>
      </c>
      <c r="U262" s="390" t="n">
        <v>0</v>
      </c>
      <c r="V262" s="391">
        <f>IFERROR(IF(U262="","",U262),"")</f>
        <v/>
      </c>
      <c r="W262" s="42">
        <f>IFERROR(IF(U262="","",U262*0.00936),"")</f>
        <v/>
      </c>
      <c r="X262" s="69" t="inlineStr"/>
      <c r="Y262" s="70" t="inlineStr"/>
      <c r="AC262" s="74" t="n"/>
      <c r="AZ262" s="168" t="inlineStr">
        <is>
          <t>ПГП</t>
        </is>
      </c>
    </row>
    <row r="263" ht="27" customHeight="1">
      <c r="A263" s="64" t="inlineStr">
        <is>
          <t>SU003017</t>
        </is>
      </c>
      <c r="B263" s="64" t="inlineStr">
        <is>
          <t>P003483</t>
        </is>
      </c>
      <c r="C263" s="37" t="n">
        <v>4301135190</v>
      </c>
      <c r="D263" s="185" t="n">
        <v>4640242180359</v>
      </c>
      <c r="E263" s="355" t="n"/>
      <c r="F263" s="387" t="n">
        <v>3.7</v>
      </c>
      <c r="G263" s="38" t="n">
        <v>1</v>
      </c>
      <c r="H263" s="387" t="n">
        <v>3.7</v>
      </c>
      <c r="I263" s="387" t="n">
        <v>3.892</v>
      </c>
      <c r="J263" s="38" t="n">
        <v>126</v>
      </c>
      <c r="K263" s="39" t="inlineStr">
        <is>
          <t>МГ</t>
        </is>
      </c>
      <c r="L263" s="38" t="n">
        <v>180</v>
      </c>
      <c r="M263" s="488" t="inlineStr">
        <is>
          <t>Снеки «Жар-ладушки с яблоком и грушей» Весовые ТМ «Зареченские» 3,7 кг</t>
        </is>
      </c>
      <c r="N263" s="389" t="n"/>
      <c r="O263" s="389" t="n"/>
      <c r="P263" s="389" t="n"/>
      <c r="Q263" s="355" t="n"/>
      <c r="R263" s="40" t="inlineStr"/>
      <c r="S263" s="40" t="inlineStr"/>
      <c r="T263" s="41" t="inlineStr">
        <is>
          <t>кор</t>
        </is>
      </c>
      <c r="U263" s="390" t="n">
        <v>0</v>
      </c>
      <c r="V263" s="391">
        <f>IFERROR(IF(U263="","",U263),"")</f>
        <v/>
      </c>
      <c r="W263" s="42">
        <f>IFERROR(IF(U263="","",U263*0.00936),"")</f>
        <v/>
      </c>
      <c r="X263" s="69" t="inlineStr"/>
      <c r="Y263" s="70" t="inlineStr"/>
      <c r="AC263" s="74" t="n"/>
      <c r="AZ263" s="169" t="inlineStr">
        <is>
          <t>ПГП</t>
        </is>
      </c>
    </row>
    <row r="264" ht="27" customHeight="1">
      <c r="A264" s="64" t="inlineStr">
        <is>
          <t>SU003019</t>
        </is>
      </c>
      <c r="B264" s="64" t="inlineStr">
        <is>
          <t>P003485</t>
        </is>
      </c>
      <c r="C264" s="37" t="n">
        <v>4301135192</v>
      </c>
      <c r="D264" s="185" t="n">
        <v>4640242180380</v>
      </c>
      <c r="E264" s="355" t="n"/>
      <c r="F264" s="387" t="n">
        <v>3.7</v>
      </c>
      <c r="G264" s="38" t="n">
        <v>1</v>
      </c>
      <c r="H264" s="387" t="n">
        <v>3.7</v>
      </c>
      <c r="I264" s="387" t="n">
        <v>3.892</v>
      </c>
      <c r="J264" s="38" t="n">
        <v>126</v>
      </c>
      <c r="K264" s="39" t="inlineStr">
        <is>
          <t>МГ</t>
        </is>
      </c>
      <c r="L264" s="38" t="n">
        <v>180</v>
      </c>
      <c r="M264" s="489" t="inlineStr">
        <is>
          <t>Снеки «Мини-сосиски в тесте Фрайпики» Весовые ТМ «Зареченские» 3,7 кг</t>
        </is>
      </c>
      <c r="N264" s="389" t="n"/>
      <c r="O264" s="389" t="n"/>
      <c r="P264" s="389" t="n"/>
      <c r="Q264" s="355" t="n"/>
      <c r="R264" s="40" t="inlineStr"/>
      <c r="S264" s="40" t="inlineStr"/>
      <c r="T264" s="41" t="inlineStr">
        <is>
          <t>кор</t>
        </is>
      </c>
      <c r="U264" s="390" t="n">
        <v>135</v>
      </c>
      <c r="V264" s="391">
        <f>IFERROR(IF(U264="","",U264),"")</f>
        <v/>
      </c>
      <c r="W264" s="42">
        <f>IFERROR(IF(U264="","",U264*0.00936),"")</f>
        <v/>
      </c>
      <c r="X264" s="69" t="inlineStr"/>
      <c r="Y264" s="70" t="inlineStr"/>
      <c r="AC264" s="74" t="n"/>
      <c r="AZ264" s="170" t="inlineStr">
        <is>
          <t>ПГП</t>
        </is>
      </c>
    </row>
    <row r="265" ht="27" customHeight="1">
      <c r="A265" s="64" t="inlineStr">
        <is>
          <t>SU003013</t>
        </is>
      </c>
      <c r="B265" s="64" t="inlineStr">
        <is>
          <t>P003479</t>
        </is>
      </c>
      <c r="C265" s="37" t="n">
        <v>4301135186</v>
      </c>
      <c r="D265" s="185" t="n">
        <v>4640242180311</v>
      </c>
      <c r="E265" s="355" t="n"/>
      <c r="F265" s="387" t="n">
        <v>5.5</v>
      </c>
      <c r="G265" s="38" t="n">
        <v>1</v>
      </c>
      <c r="H265" s="387" t="n">
        <v>5.5</v>
      </c>
      <c r="I265" s="387" t="n">
        <v>5.735</v>
      </c>
      <c r="J265" s="38" t="n">
        <v>84</v>
      </c>
      <c r="K265" s="39" t="inlineStr">
        <is>
          <t>МГ</t>
        </is>
      </c>
      <c r="L265" s="38" t="n">
        <v>180</v>
      </c>
      <c r="M265" s="490" t="inlineStr">
        <is>
          <t>Снеки «Жар-мени» Весовые ТМ «Зареченские» 5,5 кг</t>
        </is>
      </c>
      <c r="N265" s="389" t="n"/>
      <c r="O265" s="389" t="n"/>
      <c r="P265" s="389" t="n"/>
      <c r="Q265" s="355" t="n"/>
      <c r="R265" s="40" t="inlineStr"/>
      <c r="S265" s="40" t="inlineStr"/>
      <c r="T265" s="41" t="inlineStr">
        <is>
          <t>кор</t>
        </is>
      </c>
      <c r="U265" s="390" t="n">
        <v>236</v>
      </c>
      <c r="V265" s="391">
        <f>IFERROR(IF(U265="","",U265),"")</f>
        <v/>
      </c>
      <c r="W265" s="42">
        <f>IFERROR(IF(U265="","",U265*0.0155),"")</f>
        <v/>
      </c>
      <c r="X265" s="69" t="inlineStr"/>
      <c r="Y265" s="70" t="inlineStr"/>
      <c r="AC265" s="74" t="n"/>
      <c r="AZ265" s="171" t="inlineStr">
        <is>
          <t>ПГП</t>
        </is>
      </c>
    </row>
    <row r="266" ht="37.5" customHeight="1">
      <c r="A266" s="64" t="inlineStr">
        <is>
          <t>SU003014</t>
        </is>
      </c>
      <c r="B266" s="64" t="inlineStr">
        <is>
          <t>P003480</t>
        </is>
      </c>
      <c r="C266" s="37" t="n">
        <v>4301135187</v>
      </c>
      <c r="D266" s="185" t="n">
        <v>4640242180328</v>
      </c>
      <c r="E266" s="355" t="n"/>
      <c r="F266" s="387" t="n">
        <v>3.5</v>
      </c>
      <c r="G266" s="38" t="n">
        <v>1</v>
      </c>
      <c r="H266" s="387" t="n">
        <v>3.5</v>
      </c>
      <c r="I266" s="387" t="n">
        <v>3.692</v>
      </c>
      <c r="J266" s="38" t="n">
        <v>126</v>
      </c>
      <c r="K266" s="39" t="inlineStr">
        <is>
          <t>МГ</t>
        </is>
      </c>
      <c r="L266" s="38" t="n">
        <v>180</v>
      </c>
      <c r="M266" s="491" t="inlineStr">
        <is>
          <t>Снеки «Жар-мени с картофелем и сочной грудинкой» Весовые ТМ «Зареченские» 3,5 кг</t>
        </is>
      </c>
      <c r="N266" s="389" t="n"/>
      <c r="O266" s="389" t="n"/>
      <c r="P266" s="389" t="n"/>
      <c r="Q266" s="355" t="n"/>
      <c r="R266" s="40" t="inlineStr"/>
      <c r="S266" s="40" t="inlineStr"/>
      <c r="T266" s="41" t="inlineStr">
        <is>
          <t>кор</t>
        </is>
      </c>
      <c r="U266" s="390" t="n">
        <v>0</v>
      </c>
      <c r="V266" s="391">
        <f>IFERROR(IF(U266="","",U266),"")</f>
        <v/>
      </c>
      <c r="W266" s="42">
        <f>IFERROR(IF(U266="","",U266*0.00936),"")</f>
        <v/>
      </c>
      <c r="X266" s="69" t="inlineStr"/>
      <c r="Y266" s="70" t="inlineStr"/>
      <c r="AC266" s="74" t="n"/>
      <c r="AZ266" s="172" t="inlineStr">
        <is>
          <t>ПГП</t>
        </is>
      </c>
    </row>
    <row r="267">
      <c r="A267" s="180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392" t="n"/>
      <c r="M267" s="393" t="inlineStr">
        <is>
          <t>Итого</t>
        </is>
      </c>
      <c r="N267" s="363" t="n"/>
      <c r="O267" s="363" t="n"/>
      <c r="P267" s="363" t="n"/>
      <c r="Q267" s="363" t="n"/>
      <c r="R267" s="363" t="n"/>
      <c r="S267" s="364" t="n"/>
      <c r="T267" s="43" t="inlineStr">
        <is>
          <t>кор</t>
        </is>
      </c>
      <c r="U267" s="394">
        <f>IFERROR(SUM(U259:U266),"0")</f>
        <v/>
      </c>
      <c r="V267" s="394">
        <f>IFERROR(SUM(V259:V266),"0")</f>
        <v/>
      </c>
      <c r="W267" s="394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/>
      </c>
      <c r="X267" s="395" t="n"/>
      <c r="Y267" s="395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392" t="n"/>
      <c r="M268" s="393" t="inlineStr">
        <is>
          <t>Итого</t>
        </is>
      </c>
      <c r="N268" s="363" t="n"/>
      <c r="O268" s="363" t="n"/>
      <c r="P268" s="363" t="n"/>
      <c r="Q268" s="363" t="n"/>
      <c r="R268" s="363" t="n"/>
      <c r="S268" s="364" t="n"/>
      <c r="T268" s="43" t="inlineStr">
        <is>
          <t>кг</t>
        </is>
      </c>
      <c r="U268" s="394">
        <f>IFERROR(SUMPRODUCT(U259:U266*H259:H266),"0")</f>
        <v/>
      </c>
      <c r="V268" s="394">
        <f>IFERROR(SUMPRODUCT(V259:V266*H259:H266),"0")</f>
        <v/>
      </c>
      <c r="W268" s="43" t="n"/>
      <c r="X268" s="395" t="n"/>
      <c r="Y268" s="395" t="n"/>
    </row>
    <row r="269" ht="15" customHeight="1">
      <c r="A269" s="184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352" t="n"/>
      <c r="M269" s="492" t="inlineStr">
        <is>
          <t>ИТОГО НЕТТО</t>
        </is>
      </c>
      <c r="N269" s="346" t="n"/>
      <c r="O269" s="346" t="n"/>
      <c r="P269" s="346" t="n"/>
      <c r="Q269" s="346" t="n"/>
      <c r="R269" s="346" t="n"/>
      <c r="S269" s="347" t="n"/>
      <c r="T269" s="43" t="inlineStr">
        <is>
          <t>кг</t>
        </is>
      </c>
      <c r="U269" s="394">
        <f>IFERROR(U24+U33+U41+U47+U57+U63+U68+U74+U84+U91+U99+U105+U110+U118+U123+U129+U134+U140+U144+U151+U164+U169+U177+U182+U189+U194+U199+U205+U213+U218+U224+U230+U236+U241+U247+U251+U257+U268,"0")</f>
        <v/>
      </c>
      <c r="V269" s="394">
        <f>IFERROR(V24+V33+V41+V47+V57+V63+V68+V74+V84+V91+V99+V105+V110+V118+V123+V129+V134+V140+V144+V151+V164+V169+V177+V182+V189+V194+V199+V205+V213+V218+V224+V230+V236+V241+V247+V251+V257+V268,"0")</f>
        <v/>
      </c>
      <c r="W269" s="43" t="n"/>
      <c r="X269" s="395" t="n"/>
      <c r="Y269" s="395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352" t="n"/>
      <c r="M270" s="492" t="inlineStr">
        <is>
          <t>ИТОГО БРУТТО</t>
        </is>
      </c>
      <c r="N270" s="346" t="n"/>
      <c r="O270" s="346" t="n"/>
      <c r="P270" s="346" t="n"/>
      <c r="Q270" s="346" t="n"/>
      <c r="R270" s="346" t="n"/>
      <c r="S270" s="347" t="n"/>
      <c r="T270" s="43" t="inlineStr">
        <is>
          <t>кг</t>
        </is>
      </c>
      <c r="U270" s="39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/>
      </c>
      <c r="V270" s="39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/>
      </c>
      <c r="W270" s="43" t="n"/>
      <c r="X270" s="395" t="n"/>
      <c r="Y270" s="395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352" t="n"/>
      <c r="M271" s="492" t="inlineStr">
        <is>
          <t>Кол-во паллет</t>
        </is>
      </c>
      <c r="N271" s="346" t="n"/>
      <c r="O271" s="346" t="n"/>
      <c r="P271" s="346" t="n"/>
      <c r="Q271" s="346" t="n"/>
      <c r="R271" s="346" t="n"/>
      <c r="S271" s="347" t="n"/>
      <c r="T271" s="43" t="inlineStr">
        <is>
          <t>шт</t>
        </is>
      </c>
      <c r="U271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/>
      </c>
      <c r="V27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/>
      </c>
      <c r="W271" s="43" t="n"/>
      <c r="X271" s="395" t="n"/>
      <c r="Y271" s="395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352" t="n"/>
      <c r="M272" s="492" t="inlineStr">
        <is>
          <t>Вес брутто  с паллетами</t>
        </is>
      </c>
      <c r="N272" s="346" t="n"/>
      <c r="O272" s="346" t="n"/>
      <c r="P272" s="346" t="n"/>
      <c r="Q272" s="346" t="n"/>
      <c r="R272" s="346" t="n"/>
      <c r="S272" s="347" t="n"/>
      <c r="T272" s="43" t="inlineStr">
        <is>
          <t>кг</t>
        </is>
      </c>
      <c r="U272" s="394">
        <f>GrossWeightTotal+PalletQtyTotal*25</f>
        <v/>
      </c>
      <c r="V272" s="394">
        <f>GrossWeightTotalR+PalletQtyTotalR*25</f>
        <v/>
      </c>
      <c r="W272" s="43" t="n"/>
      <c r="X272" s="395" t="n"/>
      <c r="Y272" s="395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352" t="n"/>
      <c r="M273" s="492" t="inlineStr">
        <is>
          <t>Кол-во коробок</t>
        </is>
      </c>
      <c r="N273" s="346" t="n"/>
      <c r="O273" s="346" t="n"/>
      <c r="P273" s="346" t="n"/>
      <c r="Q273" s="346" t="n"/>
      <c r="R273" s="346" t="n"/>
      <c r="S273" s="347" t="n"/>
      <c r="T273" s="43" t="inlineStr">
        <is>
          <t>шт</t>
        </is>
      </c>
      <c r="U273" s="394">
        <f>IFERROR(U23+U32+U40+U46+U56+U62+U67+U73+U83+U90+U98+U104+U109+U117+U122+U128+U133+U139+U143+U150+U163+U168+U176+U181+U188+U193+U198+U204+U212+U217+U223+U229+U235+U240+U246+U250+U256+U267,"0")</f>
        <v/>
      </c>
      <c r="V273" s="394">
        <f>IFERROR(V23+V32+V40+V46+V56+V62+V67+V73+V83+V90+V98+V104+V109+V117+V122+V128+V133+V139+V143+V150+V163+V168+V176+V181+V188+V193+V198+V204+V212+V217+V223+V229+V235+V240+V246+V250+V256+V267,"0")</f>
        <v/>
      </c>
      <c r="W273" s="43" t="n"/>
      <c r="X273" s="395" t="n"/>
      <c r="Y273" s="395" t="n"/>
    </row>
    <row r="274" ht="14.2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352" t="n"/>
      <c r="M274" s="492" t="inlineStr">
        <is>
          <t>Объем заказа</t>
        </is>
      </c>
      <c r="N274" s="346" t="n"/>
      <c r="O274" s="346" t="n"/>
      <c r="P274" s="346" t="n"/>
      <c r="Q274" s="346" t="n"/>
      <c r="R274" s="346" t="n"/>
      <c r="S274" s="347" t="n"/>
      <c r="T274" s="46" t="inlineStr">
        <is>
          <t>м3</t>
        </is>
      </c>
      <c r="U274" s="43" t="n"/>
      <c r="V274" s="43" t="n"/>
      <c r="W274" s="43">
        <f>IFERROR(W23+W32+W40+W46+W56+W62+W67+W73+W83+W90+W98+W104+W109+W117+W122+W128+W133+W139+W143+W150+W163+W168+W176+W181+W188+W193+W198+W204+W212+W217+W223+W229+W235+W240+W246+W250+W256+W267,"0")</f>
        <v/>
      </c>
      <c r="X274" s="395" t="n"/>
      <c r="Y274" s="395" t="n"/>
    </row>
    <row r="275" ht="13.5" customHeight="1" thickBot="1"/>
    <row r="276" ht="27" customHeight="1" thickBot="1" thickTop="1">
      <c r="A276" s="47" t="inlineStr">
        <is>
          <t>ТОРГОВАЯ МАРКА</t>
        </is>
      </c>
      <c r="B276" s="173" t="inlineStr">
        <is>
          <t>Ядрена копоть</t>
        </is>
      </c>
      <c r="C276" s="173" t="inlineStr">
        <is>
          <t>Горячая штучка</t>
        </is>
      </c>
      <c r="D276" s="493" t="n"/>
      <c r="E276" s="493" t="n"/>
      <c r="F276" s="493" t="n"/>
      <c r="G276" s="493" t="n"/>
      <c r="H276" s="493" t="n"/>
      <c r="I276" s="493" t="n"/>
      <c r="J276" s="493" t="n"/>
      <c r="K276" s="493" t="n"/>
      <c r="L276" s="493" t="n"/>
      <c r="M276" s="493" t="n"/>
      <c r="N276" s="493" t="n"/>
      <c r="O276" s="493" t="n"/>
      <c r="P276" s="493" t="n"/>
      <c r="Q276" s="493" t="n"/>
      <c r="R276" s="494" t="n"/>
      <c r="S276" s="173" t="inlineStr">
        <is>
          <t>No Name</t>
        </is>
      </c>
      <c r="T276" s="493" t="n"/>
      <c r="U276" s="494" t="n"/>
      <c r="V276" s="173" t="inlineStr">
        <is>
          <t>Вязанка</t>
        </is>
      </c>
      <c r="W276" s="493" t="n"/>
      <c r="X276" s="494" t="n"/>
      <c r="Y276" s="173" t="inlineStr">
        <is>
          <t>Стародворье</t>
        </is>
      </c>
      <c r="Z276" s="493" t="n"/>
      <c r="AA276" s="493" t="n"/>
      <c r="AB276" s="494" t="n"/>
      <c r="AC276" s="173" t="inlineStr">
        <is>
          <t>Колбасный стандарт</t>
        </is>
      </c>
      <c r="AD276" s="173" t="inlineStr">
        <is>
          <t>Особый рецепт</t>
        </is>
      </c>
      <c r="AE276" s="494" t="n"/>
      <c r="AF276" s="173" t="inlineStr">
        <is>
          <t>Зареченские</t>
        </is>
      </c>
    </row>
    <row r="277" ht="14.25" customHeight="1" thickTop="1">
      <c r="A277" s="174" t="inlineStr">
        <is>
          <t>СЕРИЯ</t>
        </is>
      </c>
      <c r="B277" s="173" t="inlineStr">
        <is>
          <t>Ядрена копоть</t>
        </is>
      </c>
      <c r="C277" s="173" t="inlineStr">
        <is>
          <t>Наггетсы ГШ</t>
        </is>
      </c>
      <c r="D277" s="173" t="inlineStr">
        <is>
          <t>Grandmeni</t>
        </is>
      </c>
      <c r="E277" s="173" t="inlineStr">
        <is>
          <t>Чебупай</t>
        </is>
      </c>
      <c r="F277" s="173" t="inlineStr">
        <is>
          <t>Бигбули ГШ</t>
        </is>
      </c>
      <c r="G277" s="173" t="inlineStr">
        <is>
          <t>Бульмени вес ГШ</t>
        </is>
      </c>
      <c r="H277" s="173" t="inlineStr">
        <is>
          <t>Бельмеши</t>
        </is>
      </c>
      <c r="I277" s="173" t="inlineStr">
        <is>
          <t>Крылышки ГШ</t>
        </is>
      </c>
      <c r="J277" s="173" t="inlineStr">
        <is>
          <t>Чебупели</t>
        </is>
      </c>
      <c r="K277" s="173" t="inlineStr">
        <is>
          <t>Чебуреки</t>
        </is>
      </c>
      <c r="L277" s="173" t="inlineStr">
        <is>
          <t>Бульмени ГШ</t>
        </is>
      </c>
      <c r="M277" s="173" t="inlineStr">
        <is>
          <t>Чебупицца</t>
        </is>
      </c>
      <c r="N277" s="173" t="inlineStr">
        <is>
          <t>Хотстеры</t>
        </is>
      </c>
      <c r="O277" s="173" t="inlineStr">
        <is>
          <t>Круггетсы</t>
        </is>
      </c>
      <c r="P277" s="173" t="inlineStr">
        <is>
          <t>Пекерсы</t>
        </is>
      </c>
      <c r="Q277" s="173" t="inlineStr">
        <is>
          <t>Супермени</t>
        </is>
      </c>
      <c r="R277" s="173" t="inlineStr">
        <is>
          <t>Чебуманы</t>
        </is>
      </c>
      <c r="S277" s="173" t="inlineStr">
        <is>
          <t>No Name ПГП</t>
        </is>
      </c>
      <c r="T277" s="173" t="inlineStr">
        <is>
          <t>Стародворье ПГП</t>
        </is>
      </c>
      <c r="U277" s="173" t="inlineStr">
        <is>
          <t>No Name ЗПФ</t>
        </is>
      </c>
      <c r="V277" s="173" t="inlineStr">
        <is>
          <t>Няняггетсы Сливушки</t>
        </is>
      </c>
      <c r="W277" s="173" t="inlineStr">
        <is>
          <t>Печеные пельмени</t>
        </is>
      </c>
      <c r="X277" s="173" t="inlineStr">
        <is>
          <t>Вязанка</t>
        </is>
      </c>
      <c r="Y277" s="173" t="inlineStr">
        <is>
          <t>Стародворье ЗПФ</t>
        </is>
      </c>
      <c r="Z277" s="173" t="inlineStr">
        <is>
          <t>Медвежье ушко</t>
        </is>
      </c>
      <c r="AA277" s="173" t="inlineStr">
        <is>
          <t>Бордо</t>
        </is>
      </c>
      <c r="AB277" s="173" t="inlineStr">
        <is>
          <t>Сочные</t>
        </is>
      </c>
      <c r="AC277" s="173" t="inlineStr">
        <is>
          <t>Владимирский Стандарт ЗПФ</t>
        </is>
      </c>
      <c r="AD277" s="173" t="inlineStr">
        <is>
          <t>Любимая ложка</t>
        </is>
      </c>
      <c r="AE277" s="173" t="inlineStr">
        <is>
          <t>Особая Без свинины</t>
        </is>
      </c>
      <c r="AF277" s="173" t="inlineStr">
        <is>
          <t>Зареченские продукты ПГП</t>
        </is>
      </c>
    </row>
    <row r="278" ht="13.5" customHeight="1" thickBot="1">
      <c r="A278" s="495" t="n"/>
      <c r="B278" s="496" t="n"/>
      <c r="C278" s="496" t="n"/>
      <c r="D278" s="496" t="n"/>
      <c r="E278" s="496" t="n"/>
      <c r="F278" s="496" t="n"/>
      <c r="G278" s="496" t="n"/>
      <c r="H278" s="496" t="n"/>
      <c r="I278" s="496" t="n"/>
      <c r="J278" s="496" t="n"/>
      <c r="K278" s="496" t="n"/>
      <c r="L278" s="496" t="n"/>
      <c r="M278" s="496" t="n"/>
      <c r="N278" s="496" t="n"/>
      <c r="O278" s="496" t="n"/>
      <c r="P278" s="496" t="n"/>
      <c r="Q278" s="496" t="n"/>
      <c r="R278" s="496" t="n"/>
      <c r="S278" s="496" t="n"/>
      <c r="T278" s="496" t="n"/>
      <c r="U278" s="496" t="n"/>
      <c r="V278" s="496" t="n"/>
      <c r="W278" s="496" t="n"/>
      <c r="X278" s="496" t="n"/>
      <c r="Y278" s="496" t="n"/>
      <c r="Z278" s="496" t="n"/>
      <c r="AA278" s="496" t="n"/>
      <c r="AB278" s="496" t="n"/>
      <c r="AC278" s="496" t="n"/>
      <c r="AD278" s="496" t="n"/>
      <c r="AE278" s="496" t="n"/>
      <c r="AF278" s="496" t="n"/>
    </row>
    <row r="279" ht="18" customHeight="1" thickBot="1" thickTop="1">
      <c r="A279" s="47" t="inlineStr">
        <is>
          <t>ИТОГО, кг</t>
        </is>
      </c>
      <c r="B279" s="53">
        <f>IFERROR(U22*H22,"0")</f>
        <v/>
      </c>
      <c r="C279" s="53">
        <f>IFERROR(U28*H28,"0")+IFERROR(U29*H29,"0")+IFERROR(U30*H30,"0")+IFERROR(U31*H31,"0")</f>
        <v/>
      </c>
      <c r="D279" s="53">
        <f>IFERROR(U36*H36,"0")+IFERROR(U37*H37,"0")+IFERROR(U38*H38,"0")+IFERROR(U39*H39,"0")</f>
        <v/>
      </c>
      <c r="E279" s="53">
        <f>IFERROR(U44*H44,"0")+IFERROR(U45*H45,"0")</f>
        <v/>
      </c>
      <c r="F279" s="53">
        <f>IFERROR(U50*H50,"0")+IFERROR(U51*H51,"0")+IFERROR(U52*H52,"0")+IFERROR(U53*H53,"0")+IFERROR(U54*H54,"0")+IFERROR(U55*H55,"0")</f>
        <v/>
      </c>
      <c r="G279" s="53">
        <f>IFERROR(U60*H60,"0")+IFERROR(U61*H61,"0")</f>
        <v/>
      </c>
      <c r="H279" s="53">
        <f>IFERROR(U66*H66,"0")</f>
        <v/>
      </c>
      <c r="I279" s="53">
        <f>IFERROR(U71*H71,"0")+IFERROR(U72*H72,"0")</f>
        <v/>
      </c>
      <c r="J279" s="53">
        <f>IFERROR(U77*H77,"0")+IFERROR(U78*H78,"0")+IFERROR(U79*H79,"0")+IFERROR(U80*H80,"0")+IFERROR(U81*H81,"0")+IFERROR(U82*H82,"0")</f>
        <v/>
      </c>
      <c r="K279" s="53">
        <f>IFERROR(U87*H87,"0")+IFERROR(U88*H88,"0")+IFERROR(U89*H89,"0")</f>
        <v/>
      </c>
      <c r="L279" s="53">
        <f>IFERROR(U94*H94,"0")+IFERROR(U95*H95,"0")+IFERROR(U96*H96,"0")+IFERROR(U97*H97,"0")</f>
        <v/>
      </c>
      <c r="M279" s="53">
        <f>IFERROR(U102*H102,"0")+IFERROR(U103*H103,"0")</f>
        <v/>
      </c>
      <c r="N279" s="53">
        <f>IFERROR(U108*H108,"0")</f>
        <v/>
      </c>
      <c r="O279" s="53">
        <f>IFERROR(U113*H113,"0")+IFERROR(U114*H114,"0")+IFERROR(U115*H115,"0")+IFERROR(U116*H116,"0")</f>
        <v/>
      </c>
      <c r="P279" s="53">
        <f>IFERROR(U121*H121,"0")</f>
        <v/>
      </c>
      <c r="Q279" s="53">
        <f>IFERROR(U126*H126,"0")+IFERROR(U127*H127,"0")</f>
        <v/>
      </c>
      <c r="R279" s="53">
        <f>IFERROR(U132*H132,"0")</f>
        <v/>
      </c>
      <c r="S279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79" s="53">
        <f>IFERROR(U167*H167,"0")</f>
        <v/>
      </c>
      <c r="U279" s="53">
        <f>IFERROR(U172*H172,"0")+IFERROR(U173*H173,"0")+IFERROR(U174*H174,"0")+IFERROR(U175*H175,"0")+IFERROR(U179*H179,"0")+IFERROR(U180*H180,"0")</f>
        <v/>
      </c>
      <c r="V279" s="53">
        <f>IFERROR(U186*H186,"0")+IFERROR(U187*H187,"0")</f>
        <v/>
      </c>
      <c r="W279" s="53">
        <f>IFERROR(U192*H192,"0")</f>
        <v/>
      </c>
      <c r="X279" s="53">
        <f>IFERROR(U197*H197,"0")</f>
        <v/>
      </c>
      <c r="Y279" s="53">
        <f>IFERROR(U203*H203,"0")</f>
        <v/>
      </c>
      <c r="Z279" s="53">
        <f>IFERROR(U208*H208,"0")+IFERROR(U209*H209,"0")+IFERROR(U210*H210,"0")+IFERROR(U211*H211,"0")</f>
        <v/>
      </c>
      <c r="AA279" s="53">
        <f>IFERROR(U216*H216,"0")</f>
        <v/>
      </c>
      <c r="AB279" s="53">
        <f>IFERROR(U221*H221,"0")+IFERROR(U222*H222,"0")</f>
        <v/>
      </c>
      <c r="AC279" s="53">
        <f>IFERROR(U228*H228,"0")</f>
        <v/>
      </c>
      <c r="AD279" s="53">
        <f>IFERROR(U234*H234,"0")</f>
        <v/>
      </c>
      <c r="AE279" s="53">
        <f>IFERROR(U239*H239,"0")</f>
        <v/>
      </c>
      <c r="AF279" s="53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/>
      </c>
    </row>
    <row r="280" ht="13.5" customHeight="1" thickTop="1">
      <c r="C280" s="1" t="n"/>
    </row>
    <row r="281" ht="19.5" customHeight="1">
      <c r="A281" s="71" t="inlineStr">
        <is>
          <t>ЗПФ, кг</t>
        </is>
      </c>
      <c r="B281" s="71" t="inlineStr">
        <is>
          <t xml:space="preserve">ПГП, кг </t>
        </is>
      </c>
      <c r="C281" s="71" t="inlineStr">
        <is>
          <t>КИЗ, кг</t>
        </is>
      </c>
    </row>
    <row r="282">
      <c r="A282" s="72">
        <f>SUMPRODUCT(--(AZ:AZ="ЗПФ"),--(T:T="кор"),H:H,V:V)+SUMPRODUCT(--(AZ:AZ="ЗПФ"),--(T:T="кг"),V:V)</f>
        <v/>
      </c>
      <c r="B282" s="73">
        <f>SUMPRODUCT(--(AZ:AZ="ПГП"),--(T:T="кор"),H:H,V:V)+SUMPRODUCT(--(AZ:AZ="ПГП"),--(T:T="кг"),V:V)</f>
        <v/>
      </c>
      <c r="C282" s="73">
        <f>SUMPRODUCT(--(AZ:AZ="КИЗ"),--(T:T="кор"),H:H,V:V)+SUMPRODUCT(--(AZ:AZ="КИЗ"),--(T:T="кг"),V:V)</f>
        <v/>
      </c>
    </row>
    <row r="2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RofurljL19xvYjakQhZg==" formatRows="1" sort="0" spinCount="100000" hashValue="61+VOg2/b3nfmAt3cV3V50aB7VANOOrgLFz7aos14DJ73yLp8ATlWFAAkV6bkqgunb7G9SP4O3KowVb/B7WiBA==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ZUdY6oQZOB4MUNf9mmu/Q==" formatRows="1" sort="0" spinCount="100000" hashValue="LJ892oRBG+rRCXiBtGYV11B8baFPyrnNbkIcBHZcfIjWDyJmt6Y0HktQuhRjSthuy+ocNyQTIloSz46+Nxyya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2023-09-06T09:53:31Z</dcterms:modified>
  <cp:lastModifiedBy>Uaer4</cp:lastModifiedBy>
</cp:coreProperties>
</file>