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820" windowHeight="12045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заказа'!$S$12</definedName>
    <definedName name="DeliveryConditionsList">Setting!$B$10:$B$20</definedName>
    <definedName name="DeliveryDate">'Бланк заказа'!$N$9</definedName>
    <definedName name="DeliveryMethodList">Setting!$B$3:$B$4</definedName>
    <definedName name="DeliveryNumAdressList">Setting!$D$6:$D$6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заказа'!$U$244:$U$244</definedName>
    <definedName name="GrossWeightTotalR">'Бланк заказа'!$V$244:$V$244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Setting!$B$9:$B$10</definedName>
    <definedName name="PalletQtyTotal">'Бланк заказа'!$U$245:$U$245</definedName>
    <definedName name="PalletQtyTotalR">'Бланк заказа'!$V$245:$V$245</definedName>
    <definedName name="PassportProxy">'Бланк заказа'!$J$9:$K$9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заказа'!$B$229:$B$229</definedName>
    <definedName name="ProductId84">'Бланк заказа'!$B$235:$B$235</definedName>
    <definedName name="ProductId85">'Бланк заказа'!$B$240:$B$240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заказа'!$U$62:$U$62</definedName>
    <definedName name="SalesQty21">'Бланк заказа'!$U$67:$U$67</definedName>
    <definedName name="SalesQty22">'Бланк заказа'!$U$72:$U$72</definedName>
    <definedName name="SalesQty23">'Бланк заказа'!$U$73:$U$73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заказа'!$U$217:$U$217</definedName>
    <definedName name="SalesQty81">'Бланк заказа'!$U$222:$U$222</definedName>
    <definedName name="SalesQty82">'Бланк заказа'!$U$223:$U$223</definedName>
    <definedName name="SalesQty83">'Бланк заказа'!$U$229:$U$229</definedName>
    <definedName name="SalesQty84">'Бланк заказа'!$U$235:$U$235</definedName>
    <definedName name="SalesQty85">'Бланк заказа'!$U$240:$U$240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заказа'!$V$62:$V$62</definedName>
    <definedName name="SalesRoundBox21">'Бланк заказа'!$V$67:$V$67</definedName>
    <definedName name="SalesRoundBox22">'Бланк заказа'!$V$72:$V$72</definedName>
    <definedName name="SalesRoundBox23">'Бланк заказа'!$V$73:$V$73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заказа'!$V$217:$V$217</definedName>
    <definedName name="SalesRoundBox81">'Бланк заказа'!$V$222:$V$222</definedName>
    <definedName name="SalesRoundBox82">'Бланк заказа'!$V$223:$V$223</definedName>
    <definedName name="SalesRoundBox83">'Бланк заказа'!$V$229:$V$229</definedName>
    <definedName name="SalesRoundBox84">'Бланк заказа'!$V$235:$V$235</definedName>
    <definedName name="SalesRoundBox85">'Бланк заказа'!$V$240:$V$240</definedName>
    <definedName name="SalesRoundBox9">'Бланк заказа'!$V$39:$V$39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заказа'!$T$62:$T$62</definedName>
    <definedName name="UnitOfMeasure21">'Бланк заказа'!$T$67:$T$67</definedName>
    <definedName name="UnitOfMeasure22">'Бланк заказа'!$T$72:$T$72</definedName>
    <definedName name="UnitOfMeasure23">'Бланк заказа'!$T$73:$T$73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заказа'!$T$217:$T$217</definedName>
    <definedName name="UnitOfMeasure81">'Бланк заказа'!$T$222:$T$222</definedName>
    <definedName name="UnitOfMeasure82">'Бланк заказа'!$T$223:$T$223</definedName>
    <definedName name="UnitOfMeasure83">'Бланк заказа'!$T$229:$T$229</definedName>
    <definedName name="UnitOfMeasure84">'Бланк заказа'!$T$235:$T$235</definedName>
    <definedName name="UnitOfMeasure85">'Бланк заказа'!$T$240:$T$240</definedName>
    <definedName name="UnitOfMeasure9">'Бланк заказа'!$T$39:$T$39</definedName>
    <definedName name="UnloadAddress">'Бланк заказа'!$D$8</definedName>
    <definedName name="UnloadAdressList0001">Setting!$B$8:$B$8</definedName>
    <definedName name="_xlnm._FilterDatabase" localSheetId="0" hidden="1">'Бланк заказа'!$B$18:$W$18</definedName>
  </definedNames>
  <calcPr calcId="162913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257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199">
      <c r="A1" s="48" t="n"/>
      <c r="B1" s="48" t="n"/>
      <c r="C1" s="48" t="n"/>
      <c r="D1" s="161" t="inlineStr">
        <is>
          <t xml:space="preserve">  БЛАНК ЗАКАЗА </t>
        </is>
      </c>
      <c r="G1" s="14" t="inlineStr">
        <is>
          <t>ЗПФ</t>
        </is>
      </c>
      <c r="H1" s="161" t="inlineStr">
        <is>
          <t>на отгрузку продукции с ООО Трейд-Сервис с</t>
        </is>
      </c>
      <c r="O1" s="162" t="inlineStr">
        <is>
          <t>14.09.2023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199">
      <c r="A2" s="34" t="inlineStr">
        <is>
          <t>бланк создан</t>
        </is>
      </c>
      <c r="B2" s="35" t="inlineStr">
        <is>
          <t>14.09.2023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64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19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19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199">
      <c r="A5" s="165" t="inlineStr">
        <is>
          <t xml:space="preserve">Ваш контактный телефон и имя: </t>
        </is>
      </c>
      <c r="B5" s="322" t="n"/>
      <c r="C5" s="323" t="n"/>
      <c r="D5" s="166" t="n"/>
      <c r="E5" s="324" t="n"/>
      <c r="F5" s="167" t="inlineStr">
        <is>
          <t>Комментарий к заказу:</t>
        </is>
      </c>
      <c r="G5" s="323" t="n"/>
      <c r="H5" s="166" t="n"/>
      <c r="I5" s="325" t="n"/>
      <c r="J5" s="325" t="n"/>
      <c r="K5" s="324" t="n"/>
      <c r="M5" s="29" t="inlineStr">
        <is>
          <t>Дата загрузки</t>
        </is>
      </c>
      <c r="N5" s="326" t="n">
        <v>45187</v>
      </c>
      <c r="O5" s="327" t="n"/>
      <c r="Q5" s="170" t="inlineStr">
        <is>
          <t>Способ доставки (доставка/самовывоз)</t>
        </is>
      </c>
      <c r="R5" s="328" t="n"/>
      <c r="S5" s="329" t="inlineStr">
        <is>
          <t>Самовывоз</t>
        </is>
      </c>
      <c r="T5" s="327" t="n"/>
      <c r="Y5" s="60" t="n"/>
      <c r="Z5" s="60" t="n"/>
      <c r="AA5" s="60" t="n"/>
    </row>
    <row r="6" ht="24" customFormat="1" customHeight="1" s="199">
      <c r="A6" s="165" t="inlineStr">
        <is>
          <t>Адрес доставки:</t>
        </is>
      </c>
      <c r="B6" s="322" t="n"/>
      <c r="C6" s="323" t="n"/>
      <c r="D6" s="173" t="inlineStr">
        <is>
          <t>ЛП, ООО, Крым Респ, Симферополь г, Данилова ул, д. 43В, лит В, офис 4</t>
        </is>
      </c>
      <c r="E6" s="330" t="n"/>
      <c r="F6" s="330" t="n"/>
      <c r="G6" s="330" t="n"/>
      <c r="H6" s="330" t="n"/>
      <c r="I6" s="330" t="n"/>
      <c r="J6" s="330" t="n"/>
      <c r="K6" s="327" t="n"/>
      <c r="M6" s="29" t="inlineStr">
        <is>
          <t>День недели</t>
        </is>
      </c>
      <c r="N6" s="174">
        <f>IF(N5=0," ",CHOOSE(WEEKDAY(N5,2),"Понедельник","Вторник","Среда","Четверг","Пятница","Суббота","Воскресенье"))</f>
        <v/>
      </c>
      <c r="O6" s="331" t="n"/>
      <c r="Q6" s="176" t="inlineStr">
        <is>
          <t>Наименование клиента</t>
        </is>
      </c>
      <c r="R6" s="328" t="n"/>
      <c r="S6" s="332" t="inlineStr">
        <is>
          <t>ОБЩЕСТВО С ОГРАНИЧЕННОЙ ОТВЕТСТВЕННОСТЬЮ "ЛОГИСТИЧЕСКИЙ ПАРТНЕР"</t>
        </is>
      </c>
      <c r="T6" s="333" t="n"/>
      <c r="Y6" s="60" t="n"/>
      <c r="Z6" s="60" t="n"/>
      <c r="AA6" s="60" t="n"/>
    </row>
    <row r="7" hidden="1" ht="21.75" customFormat="1" customHeight="1" s="199">
      <c r="A7" s="65" t="n"/>
      <c r="B7" s="65" t="n"/>
      <c r="C7" s="65" t="n"/>
      <c r="D7" s="334">
        <f>IFERROR(VLOOKUP(DeliveryAddress,Table,3,0),1)</f>
        <v/>
      </c>
      <c r="E7" s="335" t="n"/>
      <c r="F7" s="335" t="n"/>
      <c r="G7" s="335" t="n"/>
      <c r="H7" s="335" t="n"/>
      <c r="I7" s="335" t="n"/>
      <c r="J7" s="335" t="n"/>
      <c r="K7" s="336" t="n"/>
      <c r="M7" s="29" t="n"/>
      <c r="N7" s="49" t="n"/>
      <c r="O7" s="49" t="n"/>
      <c r="Q7" s="1" t="n"/>
      <c r="R7" s="328" t="n"/>
      <c r="S7" s="337" t="n"/>
      <c r="T7" s="338" t="n"/>
      <c r="Y7" s="60" t="n"/>
      <c r="Z7" s="60" t="n"/>
      <c r="AA7" s="60" t="n"/>
    </row>
    <row r="8" ht="25.5" customFormat="1" customHeight="1" s="199">
      <c r="A8" s="186" t="inlineStr">
        <is>
          <t>Адрес сдачи груза:</t>
        </is>
      </c>
      <c r="B8" s="339" t="n"/>
      <c r="C8" s="340" t="n"/>
      <c r="D8" s="187" t="inlineStr">
        <is>
          <t>295021Российская Федерация, Крым Респ, Симферополь г, Данилова ул, д. 43В, лит В, офис 4</t>
        </is>
      </c>
      <c r="E8" s="341" t="n"/>
      <c r="F8" s="341" t="n"/>
      <c r="G8" s="341" t="n"/>
      <c r="H8" s="341" t="n"/>
      <c r="I8" s="341" t="n"/>
      <c r="J8" s="341" t="n"/>
      <c r="K8" s="342" t="n"/>
      <c r="M8" s="29" t="inlineStr">
        <is>
          <t>Время загрузки</t>
        </is>
      </c>
      <c r="N8" s="188" t="n">
        <v>0.3333333333333333</v>
      </c>
      <c r="O8" s="327" t="n"/>
      <c r="Q8" s="1" t="n"/>
      <c r="R8" s="328" t="n"/>
      <c r="S8" s="337" t="n"/>
      <c r="T8" s="338" t="n"/>
      <c r="Y8" s="60" t="n"/>
      <c r="Z8" s="60" t="n"/>
      <c r="AA8" s="60" t="n"/>
    </row>
    <row r="9" ht="39.95" customFormat="1" customHeight="1" s="199">
      <c r="A9" s="18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190" t="inlineStr"/>
      <c r="E9" s="3" t="n"/>
      <c r="F9" s="18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192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19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326" t="n"/>
      <c r="O9" s="327" t="n"/>
      <c r="Q9" s="1" t="n"/>
      <c r="R9" s="328" t="n"/>
      <c r="S9" s="343" t="n"/>
      <c r="T9" s="344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199">
      <c r="A10" s="18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190" t="n"/>
      <c r="E10" s="3" t="n"/>
      <c r="F10" s="18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193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188" t="n"/>
      <c r="O10" s="327" t="n"/>
      <c r="R10" s="29" t="inlineStr">
        <is>
          <t>КОД Аксапты Клиента</t>
        </is>
      </c>
      <c r="S10" s="345" t="inlineStr">
        <is>
          <t>590704</t>
        </is>
      </c>
      <c r="T10" s="333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19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188" t="n"/>
      <c r="O11" s="327" t="n"/>
      <c r="R11" s="29" t="inlineStr">
        <is>
          <t>Тип заказа</t>
        </is>
      </c>
      <c r="S11" s="196" t="inlineStr">
        <is>
          <t>Основной заказ</t>
        </is>
      </c>
      <c r="T11" s="346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199">
      <c r="A12" s="197" t="inlineStr">
        <is>
          <t>Телефоны для заказов:8(919)022-63-02 E-mail: Zamorozka@abiproduct.ru, Телефон сотрудников склада: 8-980-75-76-203</t>
        </is>
      </c>
      <c r="B12" s="322" t="n"/>
      <c r="C12" s="322" t="n"/>
      <c r="D12" s="322" t="n"/>
      <c r="E12" s="322" t="n"/>
      <c r="F12" s="322" t="n"/>
      <c r="G12" s="322" t="n"/>
      <c r="H12" s="322" t="n"/>
      <c r="I12" s="322" t="n"/>
      <c r="J12" s="322" t="n"/>
      <c r="K12" s="323" t="n"/>
      <c r="M12" s="29" t="inlineStr">
        <is>
          <t>Время доставки 3 машины</t>
        </is>
      </c>
      <c r="N12" s="198" t="n"/>
      <c r="O12" s="336" t="n"/>
      <c r="P12" s="28" t="n"/>
      <c r="R12" s="29" t="inlineStr"/>
      <c r="S12" s="199" t="n"/>
      <c r="T12" s="1" t="n"/>
      <c r="Y12" s="60" t="n"/>
      <c r="Z12" s="60" t="n"/>
      <c r="AA12" s="60" t="n"/>
    </row>
    <row r="13" ht="23.25" customFormat="1" customHeight="1" s="199">
      <c r="A13" s="197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22" t="n"/>
      <c r="C13" s="322" t="n"/>
      <c r="D13" s="322" t="n"/>
      <c r="E13" s="322" t="n"/>
      <c r="F13" s="322" t="n"/>
      <c r="G13" s="322" t="n"/>
      <c r="H13" s="322" t="n"/>
      <c r="I13" s="322" t="n"/>
      <c r="J13" s="322" t="n"/>
      <c r="K13" s="323" t="n"/>
      <c r="L13" s="31" t="n"/>
      <c r="M13" s="31" t="inlineStr">
        <is>
          <t>Время доставки 4 машины</t>
        </is>
      </c>
      <c r="N13" s="196" t="n"/>
      <c r="O13" s="346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199">
      <c r="A14" s="197" t="inlineStr">
        <is>
          <t>Телефон менеджера по логистике: 8 (919) 012-30-55 - по вопросам доставки продукции</t>
        </is>
      </c>
      <c r="B14" s="322" t="n"/>
      <c r="C14" s="322" t="n"/>
      <c r="D14" s="322" t="n"/>
      <c r="E14" s="322" t="n"/>
      <c r="F14" s="322" t="n"/>
      <c r="G14" s="322" t="n"/>
      <c r="H14" s="322" t="n"/>
      <c r="I14" s="322" t="n"/>
      <c r="J14" s="322" t="n"/>
      <c r="K14" s="323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199">
      <c r="A15" s="200" t="inlineStr">
        <is>
          <t>Телефон по работе с претензиями/жалобами (WhatSapp): 8 (980) 757-69-93       E-mail: Claims@abiproduct.ru</t>
        </is>
      </c>
      <c r="B15" s="322" t="n"/>
      <c r="C15" s="322" t="n"/>
      <c r="D15" s="322" t="n"/>
      <c r="E15" s="322" t="n"/>
      <c r="F15" s="322" t="n"/>
      <c r="G15" s="322" t="n"/>
      <c r="H15" s="322" t="n"/>
      <c r="I15" s="322" t="n"/>
      <c r="J15" s="322" t="n"/>
      <c r="K15" s="323" t="n"/>
      <c r="M15" s="202" t="inlineStr">
        <is>
          <t>Кликните на продукт, чтобы просмотреть изображение</t>
        </is>
      </c>
      <c r="U15" s="199" t="n"/>
      <c r="V15" s="199" t="n"/>
      <c r="W15" s="199" t="n"/>
      <c r="X15" s="199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347" t="n"/>
      <c r="N16" s="347" t="n"/>
      <c r="O16" s="347" t="n"/>
      <c r="P16" s="347" t="n"/>
      <c r="Q16" s="347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204" t="inlineStr">
        <is>
          <t>Код единицы продаж</t>
        </is>
      </c>
      <c r="B17" s="204" t="inlineStr">
        <is>
          <t>Код продукта</t>
        </is>
      </c>
      <c r="C17" s="205" t="inlineStr">
        <is>
          <t>Номер варианта</t>
        </is>
      </c>
      <c r="D17" s="204" t="inlineStr">
        <is>
          <t xml:space="preserve">Штрих-код </t>
        </is>
      </c>
      <c r="E17" s="348" t="n"/>
      <c r="F17" s="204" t="inlineStr">
        <is>
          <t>Вес нетто штуки, кг</t>
        </is>
      </c>
      <c r="G17" s="204" t="inlineStr">
        <is>
          <t>Кол-во штук в коробе, шт</t>
        </is>
      </c>
      <c r="H17" s="204" t="inlineStr">
        <is>
          <t>Вес нетто короба, кг</t>
        </is>
      </c>
      <c r="I17" s="204" t="inlineStr">
        <is>
          <t>Вес брутто короба, кг</t>
        </is>
      </c>
      <c r="J17" s="204" t="inlineStr">
        <is>
          <t>Кол-во кор. на паллте, шт</t>
        </is>
      </c>
      <c r="K17" s="204" t="inlineStr">
        <is>
          <t>Завод</t>
        </is>
      </c>
      <c r="L17" s="204" t="inlineStr">
        <is>
          <t>Срок годности, сут.</t>
        </is>
      </c>
      <c r="M17" s="204" t="inlineStr">
        <is>
          <t>Наименование</t>
        </is>
      </c>
      <c r="N17" s="349" t="n"/>
      <c r="O17" s="349" t="n"/>
      <c r="P17" s="349" t="n"/>
      <c r="Q17" s="348" t="n"/>
      <c r="R17" s="203" t="inlineStr">
        <is>
          <t>Доступно к отгрузке</t>
        </is>
      </c>
      <c r="S17" s="323" t="n"/>
      <c r="T17" s="204" t="inlineStr">
        <is>
          <t>Ед. изм.</t>
        </is>
      </c>
      <c r="U17" s="204" t="inlineStr">
        <is>
          <t>Заказ</t>
        </is>
      </c>
      <c r="V17" s="208" t="inlineStr">
        <is>
          <t>Заказ с округлением до короба</t>
        </is>
      </c>
      <c r="W17" s="204" t="inlineStr">
        <is>
          <t>Объём заказа, м3</t>
        </is>
      </c>
      <c r="X17" s="210" t="inlineStr">
        <is>
          <t>Примечание по продуктку</t>
        </is>
      </c>
      <c r="Y17" s="210" t="inlineStr">
        <is>
          <t>Признак "НОВИНКА"</t>
        </is>
      </c>
      <c r="Z17" s="210" t="inlineStr">
        <is>
          <t>Для формул</t>
        </is>
      </c>
      <c r="AA17" s="350" t="n"/>
      <c r="AB17" s="351" t="n"/>
      <c r="AC17" s="217" t="n"/>
      <c r="AZ17" s="218" t="inlineStr">
        <is>
          <t>Вид продукции</t>
        </is>
      </c>
    </row>
    <row r="18" ht="14.25" customHeight="1">
      <c r="A18" s="352" t="n"/>
      <c r="B18" s="352" t="n"/>
      <c r="C18" s="352" t="n"/>
      <c r="D18" s="353" t="n"/>
      <c r="E18" s="354" t="n"/>
      <c r="F18" s="352" t="n"/>
      <c r="G18" s="352" t="n"/>
      <c r="H18" s="352" t="n"/>
      <c r="I18" s="352" t="n"/>
      <c r="J18" s="352" t="n"/>
      <c r="K18" s="352" t="n"/>
      <c r="L18" s="352" t="n"/>
      <c r="M18" s="353" t="n"/>
      <c r="N18" s="355" t="n"/>
      <c r="O18" s="355" t="n"/>
      <c r="P18" s="355" t="n"/>
      <c r="Q18" s="354" t="n"/>
      <c r="R18" s="203" t="inlineStr">
        <is>
          <t>начиная с</t>
        </is>
      </c>
      <c r="S18" s="203" t="inlineStr">
        <is>
          <t>до</t>
        </is>
      </c>
      <c r="T18" s="352" t="n"/>
      <c r="U18" s="352" t="n"/>
      <c r="V18" s="356" t="n"/>
      <c r="W18" s="352" t="n"/>
      <c r="X18" s="357" t="n"/>
      <c r="Y18" s="357" t="n"/>
      <c r="Z18" s="358" t="n"/>
      <c r="AA18" s="359" t="n"/>
      <c r="AB18" s="360" t="n"/>
      <c r="AC18" s="361" t="n"/>
      <c r="AZ18" s="1" t="n"/>
    </row>
    <row r="19" ht="27.75" customHeight="1">
      <c r="A19" s="219" t="inlineStr">
        <is>
          <t>Ядрена копоть</t>
        </is>
      </c>
      <c r="B19" s="362" t="n"/>
      <c r="C19" s="362" t="n"/>
      <c r="D19" s="362" t="n"/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55" t="n"/>
      <c r="Y19" s="55" t="n"/>
    </row>
    <row r="20" ht="16.5" customHeight="1">
      <c r="A20" s="220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220" t="n"/>
      <c r="Y20" s="220" t="n"/>
    </row>
    <row r="21" ht="14.25" customHeight="1">
      <c r="A21" s="221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221" t="n"/>
      <c r="Y21" s="221" t="n"/>
    </row>
    <row r="22" ht="27" customHeight="1">
      <c r="A22" s="64" t="inlineStr">
        <is>
          <t>SU002224</t>
        </is>
      </c>
      <c r="B22" s="64" t="inlineStr">
        <is>
          <t>P002410</t>
        </is>
      </c>
      <c r="C22" s="37" t="n">
        <v>4301070826</v>
      </c>
      <c r="D22" s="222" t="n">
        <v>4607111035752</v>
      </c>
      <c r="E22" s="331" t="n"/>
      <c r="F22" s="363" t="n">
        <v>0.43</v>
      </c>
      <c r="G22" s="38" t="n">
        <v>16</v>
      </c>
      <c r="H22" s="363" t="n">
        <v>6.88</v>
      </c>
      <c r="I22" s="363" t="n">
        <v>7.254</v>
      </c>
      <c r="J22" s="38" t="n">
        <v>84</v>
      </c>
      <c r="K22" s="39" t="inlineStr">
        <is>
          <t>МГ</t>
        </is>
      </c>
      <c r="L22" s="38" t="n">
        <v>90</v>
      </c>
      <c r="M22" s="364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/>
      </c>
      <c r="N22" s="365" t="n"/>
      <c r="O22" s="365" t="n"/>
      <c r="P22" s="365" t="n"/>
      <c r="Q22" s="331" t="n"/>
      <c r="R22" s="40" t="inlineStr"/>
      <c r="S22" s="40" t="inlineStr"/>
      <c r="T22" s="41" t="inlineStr">
        <is>
          <t>кор</t>
        </is>
      </c>
      <c r="U22" s="366" t="n">
        <v>0</v>
      </c>
      <c r="V22" s="367">
        <f>IFERROR(IF(U22="","",U22),"")</f>
        <v/>
      </c>
      <c r="W22" s="42">
        <f>IFERROR(IF(U22="","",U22*0.0155),"")</f>
        <v/>
      </c>
      <c r="X22" s="69" t="inlineStr"/>
      <c r="Y22" s="70" t="inlineStr"/>
      <c r="AC22" s="74" t="n"/>
      <c r="AZ22" s="76" t="inlineStr">
        <is>
          <t>ЗПФ</t>
        </is>
      </c>
    </row>
    <row r="23">
      <c r="A23" s="230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368" t="n"/>
      <c r="M23" s="369" t="inlineStr">
        <is>
          <t>Итого</t>
        </is>
      </c>
      <c r="N23" s="339" t="n"/>
      <c r="O23" s="339" t="n"/>
      <c r="P23" s="339" t="n"/>
      <c r="Q23" s="339" t="n"/>
      <c r="R23" s="339" t="n"/>
      <c r="S23" s="340" t="n"/>
      <c r="T23" s="43" t="inlineStr">
        <is>
          <t>кор</t>
        </is>
      </c>
      <c r="U23" s="370">
        <f>IFERROR(SUM(U22:U22),"0")</f>
        <v/>
      </c>
      <c r="V23" s="370">
        <f>IFERROR(SUM(V22:V22),"0")</f>
        <v/>
      </c>
      <c r="W23" s="370">
        <f>IFERROR(IF(W22="",0,W22),"0")</f>
        <v/>
      </c>
      <c r="X23" s="371" t="n"/>
      <c r="Y23" s="371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368" t="n"/>
      <c r="M24" s="369" t="inlineStr">
        <is>
          <t>Итого</t>
        </is>
      </c>
      <c r="N24" s="339" t="n"/>
      <c r="O24" s="339" t="n"/>
      <c r="P24" s="339" t="n"/>
      <c r="Q24" s="339" t="n"/>
      <c r="R24" s="339" t="n"/>
      <c r="S24" s="340" t="n"/>
      <c r="T24" s="43" t="inlineStr">
        <is>
          <t>кг</t>
        </is>
      </c>
      <c r="U24" s="370">
        <f>IFERROR(SUMPRODUCT(U22:U22*H22:H22),"0")</f>
        <v/>
      </c>
      <c r="V24" s="370">
        <f>IFERROR(SUMPRODUCT(V22:V22*H22:H22),"0")</f>
        <v/>
      </c>
      <c r="W24" s="43" t="n"/>
      <c r="X24" s="371" t="n"/>
      <c r="Y24" s="371" t="n"/>
    </row>
    <row r="25" ht="27.75" customHeight="1">
      <c r="A25" s="219" t="inlineStr">
        <is>
          <t>Горячая штучка</t>
        </is>
      </c>
      <c r="B25" s="362" t="n"/>
      <c r="C25" s="362" t="n"/>
      <c r="D25" s="362" t="n"/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55" t="n"/>
      <c r="Y25" s="55" t="n"/>
    </row>
    <row r="26" ht="16.5" customHeight="1">
      <c r="A26" s="220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220" t="n"/>
      <c r="Y26" s="220" t="n"/>
    </row>
    <row r="27" ht="14.25" customHeight="1">
      <c r="A27" s="221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221" t="n"/>
      <c r="Y27" s="221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222" t="n">
        <v>4607111036520</v>
      </c>
      <c r="E28" s="331" t="n"/>
      <c r="F28" s="363" t="n">
        <v>0.25</v>
      </c>
      <c r="G28" s="38" t="n">
        <v>6</v>
      </c>
      <c r="H28" s="363" t="n">
        <v>1.5</v>
      </c>
      <c r="I28" s="363" t="n">
        <v>1.9218</v>
      </c>
      <c r="J28" s="38" t="n">
        <v>126</v>
      </c>
      <c r="K28" s="39" t="inlineStr">
        <is>
          <t>МГ</t>
        </is>
      </c>
      <c r="L28" s="38" t="n">
        <v>180</v>
      </c>
      <c r="M28" s="372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N28" s="365" t="n"/>
      <c r="O28" s="365" t="n"/>
      <c r="P28" s="365" t="n"/>
      <c r="Q28" s="331" t="n"/>
      <c r="R28" s="40" t="inlineStr"/>
      <c r="S28" s="40" t="inlineStr"/>
      <c r="T28" s="41" t="inlineStr">
        <is>
          <t>кор</t>
        </is>
      </c>
      <c r="U28" s="366" t="n">
        <v>0</v>
      </c>
      <c r="V28" s="367">
        <f>IFERROR(IF(U28="","",U28),"")</f>
        <v/>
      </c>
      <c r="W28" s="42">
        <f>IFERROR(IF(U28="","",U28*0.00936),"")</f>
        <v/>
      </c>
      <c r="X28" s="69" t="inlineStr"/>
      <c r="Y28" s="70" t="inlineStr"/>
      <c r="AC28" s="74" t="n"/>
      <c r="AZ28" s="77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222" t="n">
        <v>4607111036605</v>
      </c>
      <c r="E29" s="331" t="n"/>
      <c r="F29" s="363" t="n">
        <v>0.25</v>
      </c>
      <c r="G29" s="38" t="n">
        <v>6</v>
      </c>
      <c r="H29" s="363" t="n">
        <v>1.5</v>
      </c>
      <c r="I29" s="363" t="n">
        <v>1.9218</v>
      </c>
      <c r="J29" s="38" t="n">
        <v>126</v>
      </c>
      <c r="K29" s="39" t="inlineStr">
        <is>
          <t>МГ</t>
        </is>
      </c>
      <c r="L29" s="38" t="n">
        <v>180</v>
      </c>
      <c r="M29" s="373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N29" s="365" t="n"/>
      <c r="O29" s="365" t="n"/>
      <c r="P29" s="365" t="n"/>
      <c r="Q29" s="331" t="n"/>
      <c r="R29" s="40" t="inlineStr"/>
      <c r="S29" s="40" t="inlineStr"/>
      <c r="T29" s="41" t="inlineStr">
        <is>
          <t>кор</t>
        </is>
      </c>
      <c r="U29" s="366" t="n">
        <v>0</v>
      </c>
      <c r="V29" s="367">
        <f>IFERROR(IF(U29="","",U29),"")</f>
        <v/>
      </c>
      <c r="W29" s="42">
        <f>IFERROR(IF(U29="","",U29*0.00936),"")</f>
        <v/>
      </c>
      <c r="X29" s="69" t="inlineStr"/>
      <c r="Y29" s="70" t="inlineStr"/>
      <c r="AC29" s="74" t="n"/>
      <c r="AZ29" s="78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222" t="n">
        <v>4607111036537</v>
      </c>
      <c r="E30" s="331" t="n"/>
      <c r="F30" s="363" t="n">
        <v>0.25</v>
      </c>
      <c r="G30" s="38" t="n">
        <v>6</v>
      </c>
      <c r="H30" s="363" t="n">
        <v>1.5</v>
      </c>
      <c r="I30" s="363" t="n">
        <v>1.9218</v>
      </c>
      <c r="J30" s="38" t="n">
        <v>126</v>
      </c>
      <c r="K30" s="39" t="inlineStr">
        <is>
          <t>МГ</t>
        </is>
      </c>
      <c r="L30" s="38" t="n">
        <v>180</v>
      </c>
      <c r="M30" s="374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N30" s="365" t="n"/>
      <c r="O30" s="365" t="n"/>
      <c r="P30" s="365" t="n"/>
      <c r="Q30" s="331" t="n"/>
      <c r="R30" s="40" t="inlineStr"/>
      <c r="S30" s="40" t="inlineStr"/>
      <c r="T30" s="41" t="inlineStr">
        <is>
          <t>кор</t>
        </is>
      </c>
      <c r="U30" s="366" t="n">
        <v>0</v>
      </c>
      <c r="V30" s="367">
        <f>IFERROR(IF(U30="","",U30),"")</f>
        <v/>
      </c>
      <c r="W30" s="42">
        <f>IFERROR(IF(U30="","",U30*0.00936),"")</f>
        <v/>
      </c>
      <c r="X30" s="69" t="inlineStr"/>
      <c r="Y30" s="70" t="inlineStr"/>
      <c r="AC30" s="74" t="n"/>
      <c r="AZ30" s="79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222" t="n">
        <v>4607111036599</v>
      </c>
      <c r="E31" s="331" t="n"/>
      <c r="F31" s="363" t="n">
        <v>0.25</v>
      </c>
      <c r="G31" s="38" t="n">
        <v>6</v>
      </c>
      <c r="H31" s="363" t="n">
        <v>1.5</v>
      </c>
      <c r="I31" s="363" t="n">
        <v>1.9218</v>
      </c>
      <c r="J31" s="38" t="n">
        <v>126</v>
      </c>
      <c r="K31" s="39" t="inlineStr">
        <is>
          <t>МГ</t>
        </is>
      </c>
      <c r="L31" s="38" t="n">
        <v>180</v>
      </c>
      <c r="M31" s="375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N31" s="365" t="n"/>
      <c r="O31" s="365" t="n"/>
      <c r="P31" s="365" t="n"/>
      <c r="Q31" s="331" t="n"/>
      <c r="R31" s="40" t="inlineStr"/>
      <c r="S31" s="40" t="inlineStr"/>
      <c r="T31" s="41" t="inlineStr">
        <is>
          <t>кор</t>
        </is>
      </c>
      <c r="U31" s="366" t="n">
        <v>0</v>
      </c>
      <c r="V31" s="367">
        <f>IFERROR(IF(U31="","",U31),"")</f>
        <v/>
      </c>
      <c r="W31" s="42">
        <f>IFERROR(IF(U31="","",U31*0.00936),"")</f>
        <v/>
      </c>
      <c r="X31" s="69" t="inlineStr"/>
      <c r="Y31" s="70" t="inlineStr"/>
      <c r="AC31" s="74" t="n"/>
      <c r="AZ31" s="80" t="inlineStr">
        <is>
          <t>ПГП</t>
        </is>
      </c>
    </row>
    <row r="32">
      <c r="A32" s="230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368" t="n"/>
      <c r="M32" s="369" t="inlineStr">
        <is>
          <t>Итого</t>
        </is>
      </c>
      <c r="N32" s="339" t="n"/>
      <c r="O32" s="339" t="n"/>
      <c r="P32" s="339" t="n"/>
      <c r="Q32" s="339" t="n"/>
      <c r="R32" s="339" t="n"/>
      <c r="S32" s="340" t="n"/>
      <c r="T32" s="43" t="inlineStr">
        <is>
          <t>кор</t>
        </is>
      </c>
      <c r="U32" s="370">
        <f>IFERROR(SUM(U28:U31),"0")</f>
        <v/>
      </c>
      <c r="V32" s="370">
        <f>IFERROR(SUM(V28:V31),"0")</f>
        <v/>
      </c>
      <c r="W32" s="370">
        <f>IFERROR(IF(W28="",0,W28),"0")+IFERROR(IF(W29="",0,W29),"0")+IFERROR(IF(W30="",0,W30),"0")+IFERROR(IF(W31="",0,W31),"0")</f>
        <v/>
      </c>
      <c r="X32" s="371" t="n"/>
      <c r="Y32" s="371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368" t="n"/>
      <c r="M33" s="369" t="inlineStr">
        <is>
          <t>Итого</t>
        </is>
      </c>
      <c r="N33" s="339" t="n"/>
      <c r="O33" s="339" t="n"/>
      <c r="P33" s="339" t="n"/>
      <c r="Q33" s="339" t="n"/>
      <c r="R33" s="339" t="n"/>
      <c r="S33" s="340" t="n"/>
      <c r="T33" s="43" t="inlineStr">
        <is>
          <t>кг</t>
        </is>
      </c>
      <c r="U33" s="370">
        <f>IFERROR(SUMPRODUCT(U28:U31*H28:H31),"0")</f>
        <v/>
      </c>
      <c r="V33" s="370">
        <f>IFERROR(SUMPRODUCT(V28:V31*H28:H31),"0")</f>
        <v/>
      </c>
      <c r="W33" s="43" t="n"/>
      <c r="X33" s="371" t="n"/>
      <c r="Y33" s="371" t="n"/>
    </row>
    <row r="34" ht="16.5" customHeight="1">
      <c r="A34" s="220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220" t="n"/>
      <c r="Y34" s="220" t="n"/>
    </row>
    <row r="35" ht="14.25" customHeight="1">
      <c r="A35" s="221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221" t="n"/>
      <c r="Y35" s="221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222" t="n">
        <v>4607111036285</v>
      </c>
      <c r="E36" s="331" t="n"/>
      <c r="F36" s="363" t="n">
        <v>0.75</v>
      </c>
      <c r="G36" s="38" t="n">
        <v>8</v>
      </c>
      <c r="H36" s="363" t="n">
        <v>6</v>
      </c>
      <c r="I36" s="363" t="n">
        <v>6.27</v>
      </c>
      <c r="J36" s="38" t="n">
        <v>84</v>
      </c>
      <c r="K36" s="39" t="inlineStr">
        <is>
          <t>МГ</t>
        </is>
      </c>
      <c r="L36" s="38" t="n">
        <v>180</v>
      </c>
      <c r="M36" s="376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N36" s="365" t="n"/>
      <c r="O36" s="365" t="n"/>
      <c r="P36" s="365" t="n"/>
      <c r="Q36" s="331" t="n"/>
      <c r="R36" s="40" t="inlineStr"/>
      <c r="S36" s="40" t="inlineStr"/>
      <c r="T36" s="41" t="inlineStr">
        <is>
          <t>кор</t>
        </is>
      </c>
      <c r="U36" s="366" t="n">
        <v>0</v>
      </c>
      <c r="V36" s="367">
        <f>IFERROR(IF(U36="","",U36),"")</f>
        <v/>
      </c>
      <c r="W36" s="42">
        <f>IFERROR(IF(U36="","",U36*0.0155),"")</f>
        <v/>
      </c>
      <c r="X36" s="69" t="inlineStr"/>
      <c r="Y36" s="70" t="inlineStr"/>
      <c r="AC36" s="74" t="n"/>
      <c r="AZ36" s="81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222" t="n">
        <v>4607111036308</v>
      </c>
      <c r="E37" s="331" t="n"/>
      <c r="F37" s="363" t="n">
        <v>0.75</v>
      </c>
      <c r="G37" s="38" t="n">
        <v>8</v>
      </c>
      <c r="H37" s="363" t="n">
        <v>6</v>
      </c>
      <c r="I37" s="363" t="n">
        <v>6.27</v>
      </c>
      <c r="J37" s="38" t="n">
        <v>84</v>
      </c>
      <c r="K37" s="39" t="inlineStr">
        <is>
          <t>МГ</t>
        </is>
      </c>
      <c r="L37" s="38" t="n">
        <v>180</v>
      </c>
      <c r="M37" s="377" t="inlineStr">
        <is>
          <t>Пельмени Grandmeni с говядиной в сливочном соусе Grandmeni 0,75 Сфера Горячая штучка</t>
        </is>
      </c>
      <c r="N37" s="365" t="n"/>
      <c r="O37" s="365" t="n"/>
      <c r="P37" s="365" t="n"/>
      <c r="Q37" s="331" t="n"/>
      <c r="R37" s="40" t="inlineStr"/>
      <c r="S37" s="40" t="inlineStr"/>
      <c r="T37" s="41" t="inlineStr">
        <is>
          <t>кор</t>
        </is>
      </c>
      <c r="U37" s="366" t="n">
        <v>0</v>
      </c>
      <c r="V37" s="367">
        <f>IFERROR(IF(U37="","",U37),"")</f>
        <v/>
      </c>
      <c r="W37" s="42">
        <f>IFERROR(IF(U37="","",U37*0.0155),"")</f>
        <v/>
      </c>
      <c r="X37" s="69" t="inlineStr"/>
      <c r="Y37" s="70" t="inlineStr"/>
      <c r="AC37" s="74" t="n"/>
      <c r="AZ37" s="82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222" t="n">
        <v>4607111036315</v>
      </c>
      <c r="E38" s="331" t="n"/>
      <c r="F38" s="363" t="n">
        <v>0.75</v>
      </c>
      <c r="G38" s="38" t="n">
        <v>8</v>
      </c>
      <c r="H38" s="363" t="n">
        <v>6</v>
      </c>
      <c r="I38" s="363" t="n">
        <v>6.27</v>
      </c>
      <c r="J38" s="38" t="n">
        <v>84</v>
      </c>
      <c r="K38" s="39" t="inlineStr">
        <is>
          <t>МГ</t>
        </is>
      </c>
      <c r="L38" s="38" t="n">
        <v>180</v>
      </c>
      <c r="M38" s="378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N38" s="365" t="n"/>
      <c r="O38" s="365" t="n"/>
      <c r="P38" s="365" t="n"/>
      <c r="Q38" s="331" t="n"/>
      <c r="R38" s="40" t="inlineStr"/>
      <c r="S38" s="40" t="inlineStr"/>
      <c r="T38" s="41" t="inlineStr">
        <is>
          <t>кор</t>
        </is>
      </c>
      <c r="U38" s="366" t="n">
        <v>0</v>
      </c>
      <c r="V38" s="367">
        <f>IFERROR(IF(U38="","",U38),"")</f>
        <v/>
      </c>
      <c r="W38" s="42">
        <f>IFERROR(IF(U38="","",U38*0.0155),"")</f>
        <v/>
      </c>
      <c r="X38" s="69" t="inlineStr"/>
      <c r="Y38" s="70" t="inlineStr"/>
      <c r="AC38" s="74" t="n"/>
      <c r="AZ38" s="83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222" t="n">
        <v>4607111036292</v>
      </c>
      <c r="E39" s="331" t="n"/>
      <c r="F39" s="363" t="n">
        <v>0.75</v>
      </c>
      <c r="G39" s="38" t="n">
        <v>8</v>
      </c>
      <c r="H39" s="363" t="n">
        <v>6</v>
      </c>
      <c r="I39" s="363" t="n">
        <v>6.27</v>
      </c>
      <c r="J39" s="38" t="n">
        <v>84</v>
      </c>
      <c r="K39" s="39" t="inlineStr">
        <is>
          <t>МГ</t>
        </is>
      </c>
      <c r="L39" s="38" t="n">
        <v>180</v>
      </c>
      <c r="M39" s="379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N39" s="365" t="n"/>
      <c r="O39" s="365" t="n"/>
      <c r="P39" s="365" t="n"/>
      <c r="Q39" s="331" t="n"/>
      <c r="R39" s="40" t="inlineStr"/>
      <c r="S39" s="40" t="inlineStr"/>
      <c r="T39" s="41" t="inlineStr">
        <is>
          <t>кор</t>
        </is>
      </c>
      <c r="U39" s="366" t="n">
        <v>28</v>
      </c>
      <c r="V39" s="367">
        <f>IFERROR(IF(U39="","",U39),"")</f>
        <v/>
      </c>
      <c r="W39" s="42">
        <f>IFERROR(IF(U39="","",U39*0.0155),"")</f>
        <v/>
      </c>
      <c r="X39" s="69" t="inlineStr"/>
      <c r="Y39" s="70" t="inlineStr"/>
      <c r="AC39" s="74" t="n"/>
      <c r="AZ39" s="84" t="inlineStr">
        <is>
          <t>ЗПФ</t>
        </is>
      </c>
    </row>
    <row r="40">
      <c r="A40" s="230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368" t="n"/>
      <c r="M40" s="369" t="inlineStr">
        <is>
          <t>Итого</t>
        </is>
      </c>
      <c r="N40" s="339" t="n"/>
      <c r="O40" s="339" t="n"/>
      <c r="P40" s="339" t="n"/>
      <c r="Q40" s="339" t="n"/>
      <c r="R40" s="339" t="n"/>
      <c r="S40" s="340" t="n"/>
      <c r="T40" s="43" t="inlineStr">
        <is>
          <t>кор</t>
        </is>
      </c>
      <c r="U40" s="370">
        <f>IFERROR(SUM(U36:U39),"0")</f>
        <v/>
      </c>
      <c r="V40" s="370">
        <f>IFERROR(SUM(V36:V39),"0")</f>
        <v/>
      </c>
      <c r="W40" s="370">
        <f>IFERROR(IF(W36="",0,W36),"0")+IFERROR(IF(W37="",0,W37),"0")+IFERROR(IF(W38="",0,W38),"0")+IFERROR(IF(W39="",0,W39),"0")</f>
        <v/>
      </c>
      <c r="X40" s="371" t="n"/>
      <c r="Y40" s="371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368" t="n"/>
      <c r="M41" s="369" t="inlineStr">
        <is>
          <t>Итого</t>
        </is>
      </c>
      <c r="N41" s="339" t="n"/>
      <c r="O41" s="339" t="n"/>
      <c r="P41" s="339" t="n"/>
      <c r="Q41" s="339" t="n"/>
      <c r="R41" s="339" t="n"/>
      <c r="S41" s="340" t="n"/>
      <c r="T41" s="43" t="inlineStr">
        <is>
          <t>кг</t>
        </is>
      </c>
      <c r="U41" s="370">
        <f>IFERROR(SUMPRODUCT(U36:U39*H36:H39),"0")</f>
        <v/>
      </c>
      <c r="V41" s="370">
        <f>IFERROR(SUMPRODUCT(V36:V39*H36:H39),"0")</f>
        <v/>
      </c>
      <c r="W41" s="43" t="n"/>
      <c r="X41" s="371" t="n"/>
      <c r="Y41" s="371" t="n"/>
    </row>
    <row r="42" ht="16.5" customHeight="1">
      <c r="A42" s="220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220" t="n"/>
      <c r="Y42" s="220" t="n"/>
    </row>
    <row r="43" ht="14.25" customHeight="1">
      <c r="A43" s="221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221" t="n"/>
      <c r="Y43" s="221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222" t="n">
        <v>4607111037053</v>
      </c>
      <c r="E44" s="331" t="n"/>
      <c r="F44" s="363" t="n">
        <v>0.2</v>
      </c>
      <c r="G44" s="38" t="n">
        <v>6</v>
      </c>
      <c r="H44" s="363" t="n">
        <v>1.2</v>
      </c>
      <c r="I44" s="363" t="n">
        <v>1.5918</v>
      </c>
      <c r="J44" s="38" t="n">
        <v>130</v>
      </c>
      <c r="K44" s="39" t="inlineStr">
        <is>
          <t>МГ</t>
        </is>
      </c>
      <c r="L44" s="38" t="n">
        <v>365</v>
      </c>
      <c r="M44" s="380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N44" s="365" t="n"/>
      <c r="O44" s="365" t="n"/>
      <c r="P44" s="365" t="n"/>
      <c r="Q44" s="331" t="n"/>
      <c r="R44" s="40" t="inlineStr"/>
      <c r="S44" s="40" t="inlineStr"/>
      <c r="T44" s="41" t="inlineStr">
        <is>
          <t>кор</t>
        </is>
      </c>
      <c r="U44" s="366" t="n">
        <v>0</v>
      </c>
      <c r="V44" s="367">
        <f>IFERROR(IF(U44="","",U44),"")</f>
        <v/>
      </c>
      <c r="W44" s="42">
        <f>IFERROR(IF(U44="","",U44*0.0095),"")</f>
        <v/>
      </c>
      <c r="X44" s="69" t="inlineStr"/>
      <c r="Y44" s="70" t="inlineStr"/>
      <c r="AC44" s="74" t="n"/>
      <c r="AZ44" s="85" t="inlineStr">
        <is>
          <t>ПГП</t>
        </is>
      </c>
    </row>
    <row r="45" ht="27" customHeight="1">
      <c r="A45" s="64" t="inlineStr">
        <is>
          <t>SU002582</t>
        </is>
      </c>
      <c r="B45" s="64" t="inlineStr">
        <is>
          <t>P003184</t>
        </is>
      </c>
      <c r="C45" s="37" t="n">
        <v>4301190015</v>
      </c>
      <c r="D45" s="222" t="n">
        <v>4607111037060</v>
      </c>
      <c r="E45" s="331" t="n"/>
      <c r="F45" s="363" t="n">
        <v>0.2</v>
      </c>
      <c r="G45" s="38" t="n">
        <v>6</v>
      </c>
      <c r="H45" s="363" t="n">
        <v>1.2</v>
      </c>
      <c r="I45" s="363" t="n">
        <v>1.5918</v>
      </c>
      <c r="J45" s="38" t="n">
        <v>130</v>
      </c>
      <c r="K45" s="39" t="inlineStr">
        <is>
          <t>МГ</t>
        </is>
      </c>
      <c r="L45" s="38" t="n">
        <v>365</v>
      </c>
      <c r="M45" s="381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/>
      </c>
      <c r="N45" s="365" t="n"/>
      <c r="O45" s="365" t="n"/>
      <c r="P45" s="365" t="n"/>
      <c r="Q45" s="331" t="n"/>
      <c r="R45" s="40" t="inlineStr"/>
      <c r="S45" s="40" t="inlineStr"/>
      <c r="T45" s="41" t="inlineStr">
        <is>
          <t>кор</t>
        </is>
      </c>
      <c r="U45" s="366" t="n">
        <v>0</v>
      </c>
      <c r="V45" s="367">
        <f>IFERROR(IF(U45="","",U45),"")</f>
        <v/>
      </c>
      <c r="W45" s="42">
        <f>IFERROR(IF(U45="","",U45*0.0095),"")</f>
        <v/>
      </c>
      <c r="X45" s="69" t="inlineStr"/>
      <c r="Y45" s="70" t="inlineStr"/>
      <c r="AC45" s="74" t="n"/>
      <c r="AZ45" s="86" t="inlineStr">
        <is>
          <t>ПГП</t>
        </is>
      </c>
    </row>
    <row r="46">
      <c r="A46" s="230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368" t="n"/>
      <c r="M46" s="369" t="inlineStr">
        <is>
          <t>Итого</t>
        </is>
      </c>
      <c r="N46" s="339" t="n"/>
      <c r="O46" s="339" t="n"/>
      <c r="P46" s="339" t="n"/>
      <c r="Q46" s="339" t="n"/>
      <c r="R46" s="339" t="n"/>
      <c r="S46" s="340" t="n"/>
      <c r="T46" s="43" t="inlineStr">
        <is>
          <t>кор</t>
        </is>
      </c>
      <c r="U46" s="370">
        <f>IFERROR(SUM(U44:U45),"0")</f>
        <v/>
      </c>
      <c r="V46" s="370">
        <f>IFERROR(SUM(V44:V45),"0")</f>
        <v/>
      </c>
      <c r="W46" s="370">
        <f>IFERROR(IF(W44="",0,W44),"0")+IFERROR(IF(W45="",0,W45),"0")</f>
        <v/>
      </c>
      <c r="X46" s="371" t="n"/>
      <c r="Y46" s="371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368" t="n"/>
      <c r="M47" s="369" t="inlineStr">
        <is>
          <t>Итого</t>
        </is>
      </c>
      <c r="N47" s="339" t="n"/>
      <c r="O47" s="339" t="n"/>
      <c r="P47" s="339" t="n"/>
      <c r="Q47" s="339" t="n"/>
      <c r="R47" s="339" t="n"/>
      <c r="S47" s="340" t="n"/>
      <c r="T47" s="43" t="inlineStr">
        <is>
          <t>кг</t>
        </is>
      </c>
      <c r="U47" s="370">
        <f>IFERROR(SUMPRODUCT(U44:U45*H44:H45),"0")</f>
        <v/>
      </c>
      <c r="V47" s="370">
        <f>IFERROR(SUMPRODUCT(V44:V45*H44:H45),"0")</f>
        <v/>
      </c>
      <c r="W47" s="43" t="n"/>
      <c r="X47" s="371" t="n"/>
      <c r="Y47" s="371" t="n"/>
    </row>
    <row r="48" ht="16.5" customHeight="1">
      <c r="A48" s="220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220" t="n"/>
      <c r="Y48" s="220" t="n"/>
    </row>
    <row r="49" ht="14.25" customHeight="1">
      <c r="A49" s="221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221" t="n"/>
      <c r="Y49" s="221" t="n"/>
    </row>
    <row r="50" ht="27" customHeight="1">
      <c r="A50" s="64" t="inlineStr">
        <is>
          <t>SU002771</t>
        </is>
      </c>
      <c r="B50" s="64" t="inlineStr">
        <is>
          <t>P003155</t>
        </is>
      </c>
      <c r="C50" s="37" t="n">
        <v>4301070935</v>
      </c>
      <c r="D50" s="222" t="n">
        <v>4607111037190</v>
      </c>
      <c r="E50" s="331" t="n"/>
      <c r="F50" s="363" t="n">
        <v>0.43</v>
      </c>
      <c r="G50" s="38" t="n">
        <v>16</v>
      </c>
      <c r="H50" s="363" t="n">
        <v>6.88</v>
      </c>
      <c r="I50" s="363" t="n">
        <v>7.1996</v>
      </c>
      <c r="J50" s="38" t="n">
        <v>84</v>
      </c>
      <c r="K50" s="39" t="inlineStr">
        <is>
          <t>МГ</t>
        </is>
      </c>
      <c r="L50" s="38" t="n">
        <v>150</v>
      </c>
      <c r="M50" s="382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/>
      </c>
      <c r="N50" s="365" t="n"/>
      <c r="O50" s="365" t="n"/>
      <c r="P50" s="365" t="n"/>
      <c r="Q50" s="331" t="n"/>
      <c r="R50" s="40" t="inlineStr"/>
      <c r="S50" s="40" t="inlineStr"/>
      <c r="T50" s="41" t="inlineStr">
        <is>
          <t>кор</t>
        </is>
      </c>
      <c r="U50" s="366" t="n">
        <v>0</v>
      </c>
      <c r="V50" s="367">
        <f>IFERROR(IF(U50="","",U50),"")</f>
        <v/>
      </c>
      <c r="W50" s="42">
        <f>IFERROR(IF(U50="","",U50*0.0155),"")</f>
        <v/>
      </c>
      <c r="X50" s="69" t="inlineStr"/>
      <c r="Y50" s="70" t="inlineStr"/>
      <c r="AC50" s="74" t="n"/>
      <c r="AZ50" s="87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P003682</t>
        </is>
      </c>
      <c r="C51" s="37" t="n">
        <v>4301070972</v>
      </c>
      <c r="D51" s="222" t="n">
        <v>4607111037183</v>
      </c>
      <c r="E51" s="331" t="n"/>
      <c r="F51" s="363" t="n">
        <v>0.9</v>
      </c>
      <c r="G51" s="38" t="n">
        <v>8</v>
      </c>
      <c r="H51" s="363" t="n">
        <v>7.2</v>
      </c>
      <c r="I51" s="363" t="n">
        <v>7.486</v>
      </c>
      <c r="J51" s="38" t="n">
        <v>84</v>
      </c>
      <c r="K51" s="39" t="inlineStr">
        <is>
          <t>МГ</t>
        </is>
      </c>
      <c r="L51" s="38" t="n">
        <v>180</v>
      </c>
      <c r="M51" s="383" t="inlineStr">
        <is>
          <t>Пельмени «Бигбули #МЕГАВКУСИЩЕ с сочной грудинкой» 0,9 сфера ТМ «Горячая штучка»</t>
        </is>
      </c>
      <c r="N51" s="365" t="n"/>
      <c r="O51" s="365" t="n"/>
      <c r="P51" s="365" t="n"/>
      <c r="Q51" s="331" t="n"/>
      <c r="R51" s="40" t="inlineStr"/>
      <c r="S51" s="40" t="inlineStr"/>
      <c r="T51" s="41" t="inlineStr">
        <is>
          <t>кор</t>
        </is>
      </c>
      <c r="U51" s="366" t="n">
        <v>0</v>
      </c>
      <c r="V51" s="367">
        <f>IFERROR(IF(U51="","",U51),"")</f>
        <v/>
      </c>
      <c r="W51" s="42">
        <f>IFERROR(IF(U51="","",U51*0.0155),"")</f>
        <v/>
      </c>
      <c r="X51" s="69" t="inlineStr"/>
      <c r="Y51" s="70" t="inlineStr"/>
      <c r="AC51" s="74" t="n"/>
      <c r="AZ51" s="88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P003081</t>
        </is>
      </c>
      <c r="C52" s="37" t="n">
        <v>4301070928</v>
      </c>
      <c r="D52" s="222" t="n">
        <v>4607111037091</v>
      </c>
      <c r="E52" s="331" t="n"/>
      <c r="F52" s="363" t="n">
        <v>0.43</v>
      </c>
      <c r="G52" s="38" t="n">
        <v>16</v>
      </c>
      <c r="H52" s="363" t="n">
        <v>6.88</v>
      </c>
      <c r="I52" s="363" t="n">
        <v>7.11</v>
      </c>
      <c r="J52" s="38" t="n">
        <v>84</v>
      </c>
      <c r="K52" s="39" t="inlineStr">
        <is>
          <t>МГ</t>
        </is>
      </c>
      <c r="L52" s="38" t="n">
        <v>150</v>
      </c>
      <c r="M52" s="384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/>
      </c>
      <c r="N52" s="365" t="n"/>
      <c r="O52" s="365" t="n"/>
      <c r="P52" s="365" t="n"/>
      <c r="Q52" s="331" t="n"/>
      <c r="R52" s="40" t="inlineStr"/>
      <c r="S52" s="40" t="inlineStr"/>
      <c r="T52" s="41" t="inlineStr">
        <is>
          <t>кор</t>
        </is>
      </c>
      <c r="U52" s="366" t="n">
        <v>0</v>
      </c>
      <c r="V52" s="367">
        <f>IFERROR(IF(U52="","",U52),"")</f>
        <v/>
      </c>
      <c r="W52" s="42">
        <f>IFERROR(IF(U52="","",U52*0.0155),"")</f>
        <v/>
      </c>
      <c r="X52" s="69" t="inlineStr"/>
      <c r="Y52" s="70" t="inlineStr"/>
      <c r="AC52" s="74" t="n"/>
      <c r="AZ52" s="89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P003251</t>
        </is>
      </c>
      <c r="C53" s="37" t="n">
        <v>4301070944</v>
      </c>
      <c r="D53" s="222" t="n">
        <v>4607111036902</v>
      </c>
      <c r="E53" s="331" t="n"/>
      <c r="F53" s="363" t="n">
        <v>0.9</v>
      </c>
      <c r="G53" s="38" t="n">
        <v>8</v>
      </c>
      <c r="H53" s="363" t="n">
        <v>7.2</v>
      </c>
      <c r="I53" s="363" t="n">
        <v>7.43</v>
      </c>
      <c r="J53" s="38" t="n">
        <v>84</v>
      </c>
      <c r="K53" s="39" t="inlineStr">
        <is>
          <t>МГ</t>
        </is>
      </c>
      <c r="L53" s="38" t="n">
        <v>150</v>
      </c>
      <c r="M53" s="385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/>
      </c>
      <c r="N53" s="365" t="n"/>
      <c r="O53" s="365" t="n"/>
      <c r="P53" s="365" t="n"/>
      <c r="Q53" s="331" t="n"/>
      <c r="R53" s="40" t="inlineStr"/>
      <c r="S53" s="40" t="inlineStr"/>
      <c r="T53" s="41" t="inlineStr">
        <is>
          <t>кор</t>
        </is>
      </c>
      <c r="U53" s="366" t="n">
        <v>0</v>
      </c>
      <c r="V53" s="367">
        <f>IFERROR(IF(U53="","",U53),"")</f>
        <v/>
      </c>
      <c r="W53" s="42">
        <f>IFERROR(IF(U53="","",U53*0.0155),"")</f>
        <v/>
      </c>
      <c r="X53" s="69" t="inlineStr"/>
      <c r="Y53" s="70" t="inlineStr"/>
      <c r="AC53" s="74" t="n"/>
      <c r="AZ53" s="90" t="inlineStr">
        <is>
          <t>ЗПФ</t>
        </is>
      </c>
    </row>
    <row r="54" ht="27" customHeight="1">
      <c r="A54" s="64" t="inlineStr">
        <is>
          <t>SU002625</t>
        </is>
      </c>
      <c r="B54" s="64" t="inlineStr">
        <is>
          <t>P002963</t>
        </is>
      </c>
      <c r="C54" s="37" t="n">
        <v>4301070938</v>
      </c>
      <c r="D54" s="222" t="n">
        <v>4607111036858</v>
      </c>
      <c r="E54" s="331" t="n"/>
      <c r="F54" s="363" t="n">
        <v>0.43</v>
      </c>
      <c r="G54" s="38" t="n">
        <v>16</v>
      </c>
      <c r="H54" s="363" t="n">
        <v>6.88</v>
      </c>
      <c r="I54" s="363" t="n">
        <v>7.1996</v>
      </c>
      <c r="J54" s="38" t="n">
        <v>84</v>
      </c>
      <c r="K54" s="39" t="inlineStr">
        <is>
          <t>МГ</t>
        </is>
      </c>
      <c r="L54" s="38" t="n">
        <v>150</v>
      </c>
      <c r="M54" s="386">
        <f>HYPERLINK("https://abi.ru/products/Замороженные/Горячая штучка/Бигбули ГШ/Пельмени/P002963/","Пельмени Бигбули с мясом Бигбули ГШ 0,43 Сфера Горячая штучка")</f>
        <v/>
      </c>
      <c r="N54" s="365" t="n"/>
      <c r="O54" s="365" t="n"/>
      <c r="P54" s="365" t="n"/>
      <c r="Q54" s="331" t="n"/>
      <c r="R54" s="40" t="inlineStr"/>
      <c r="S54" s="40" t="inlineStr"/>
      <c r="T54" s="41" t="inlineStr">
        <is>
          <t>кор</t>
        </is>
      </c>
      <c r="U54" s="366" t="n">
        <v>0</v>
      </c>
      <c r="V54" s="367">
        <f>IFERROR(IF(U54="","",U54),"")</f>
        <v/>
      </c>
      <c r="W54" s="42">
        <f>IFERROR(IF(U54="","",U54*0.0155),"")</f>
        <v/>
      </c>
      <c r="X54" s="69" t="inlineStr"/>
      <c r="Y54" s="70" t="inlineStr"/>
      <c r="AC54" s="74" t="n"/>
      <c r="AZ54" s="91" t="inlineStr">
        <is>
          <t>ЗПФ</t>
        </is>
      </c>
    </row>
    <row r="55" ht="27" customHeight="1">
      <c r="A55" s="64" t="inlineStr">
        <is>
          <t>SU002624</t>
        </is>
      </c>
      <c r="B55" s="64" t="inlineStr">
        <is>
          <t>P002962</t>
        </is>
      </c>
      <c r="C55" s="37" t="n">
        <v>4301070909</v>
      </c>
      <c r="D55" s="222" t="n">
        <v>4607111036889</v>
      </c>
      <c r="E55" s="331" t="n"/>
      <c r="F55" s="363" t="n">
        <v>0.9</v>
      </c>
      <c r="G55" s="38" t="n">
        <v>8</v>
      </c>
      <c r="H55" s="363" t="n">
        <v>7.2</v>
      </c>
      <c r="I55" s="363" t="n">
        <v>7.486</v>
      </c>
      <c r="J55" s="38" t="n">
        <v>84</v>
      </c>
      <c r="K55" s="39" t="inlineStr">
        <is>
          <t>МГ</t>
        </is>
      </c>
      <c r="L55" s="38" t="n">
        <v>150</v>
      </c>
      <c r="M55" s="387">
        <f>HYPERLINK("https://abi.ru/products/Замороженные/Горячая штучка/Бигбули ГШ/Пельмени/P002962/","Пельмени Бигбули с мясом Бигбули ГШ 0,9 Сфера Горячая штучка")</f>
        <v/>
      </c>
      <c r="N55" s="365" t="n"/>
      <c r="O55" s="365" t="n"/>
      <c r="P55" s="365" t="n"/>
      <c r="Q55" s="331" t="n"/>
      <c r="R55" s="40" t="inlineStr"/>
      <c r="S55" s="40" t="inlineStr"/>
      <c r="T55" s="41" t="inlineStr">
        <is>
          <t>кор</t>
        </is>
      </c>
      <c r="U55" s="366" t="n">
        <v>27</v>
      </c>
      <c r="V55" s="367">
        <f>IFERROR(IF(U55="","",U55),"")</f>
        <v/>
      </c>
      <c r="W55" s="42">
        <f>IFERROR(IF(U55="","",U55*0.0155),"")</f>
        <v/>
      </c>
      <c r="X55" s="69" t="inlineStr"/>
      <c r="Y55" s="70" t="inlineStr"/>
      <c r="AC55" s="74" t="n"/>
      <c r="AZ55" s="92" t="inlineStr">
        <is>
          <t>ЗПФ</t>
        </is>
      </c>
    </row>
    <row r="56">
      <c r="A56" s="230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368" t="n"/>
      <c r="M56" s="369" t="inlineStr">
        <is>
          <t>Итого</t>
        </is>
      </c>
      <c r="N56" s="339" t="n"/>
      <c r="O56" s="339" t="n"/>
      <c r="P56" s="339" t="n"/>
      <c r="Q56" s="339" t="n"/>
      <c r="R56" s="339" t="n"/>
      <c r="S56" s="340" t="n"/>
      <c r="T56" s="43" t="inlineStr">
        <is>
          <t>кор</t>
        </is>
      </c>
      <c r="U56" s="370">
        <f>IFERROR(SUM(U50:U55),"0")</f>
        <v/>
      </c>
      <c r="V56" s="370">
        <f>IFERROR(SUM(V50:V55),"0")</f>
        <v/>
      </c>
      <c r="W56" s="370">
        <f>IFERROR(IF(W50="",0,W50),"0")+IFERROR(IF(W51="",0,W51),"0")+IFERROR(IF(W52="",0,W52),"0")+IFERROR(IF(W53="",0,W53),"0")+IFERROR(IF(W54="",0,W54),"0")+IFERROR(IF(W55="",0,W55),"0")</f>
        <v/>
      </c>
      <c r="X56" s="371" t="n"/>
      <c r="Y56" s="371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368" t="n"/>
      <c r="M57" s="369" t="inlineStr">
        <is>
          <t>Итого</t>
        </is>
      </c>
      <c r="N57" s="339" t="n"/>
      <c r="O57" s="339" t="n"/>
      <c r="P57" s="339" t="n"/>
      <c r="Q57" s="339" t="n"/>
      <c r="R57" s="339" t="n"/>
      <c r="S57" s="340" t="n"/>
      <c r="T57" s="43" t="inlineStr">
        <is>
          <t>кг</t>
        </is>
      </c>
      <c r="U57" s="370">
        <f>IFERROR(SUMPRODUCT(U50:U55*H50:H55),"0")</f>
        <v/>
      </c>
      <c r="V57" s="370">
        <f>IFERROR(SUMPRODUCT(V50:V55*H50:H55),"0")</f>
        <v/>
      </c>
      <c r="W57" s="43" t="n"/>
      <c r="X57" s="371" t="n"/>
      <c r="Y57" s="371" t="n"/>
    </row>
    <row r="58" ht="16.5" customHeight="1">
      <c r="A58" s="220" t="inlineStr">
        <is>
          <t>Бульмени вес ГШ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220" t="n"/>
      <c r="Y58" s="220" t="n"/>
    </row>
    <row r="59" ht="14.25" customHeight="1">
      <c r="A59" s="221" t="inlineStr">
        <is>
          <t>Пельмени</t>
        </is>
      </c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221" t="n"/>
      <c r="Y59" s="221" t="n"/>
    </row>
    <row r="60" ht="27" customHeight="1">
      <c r="A60" s="64" t="inlineStr">
        <is>
          <t>SU002798</t>
        </is>
      </c>
      <c r="B60" s="64" t="inlineStr">
        <is>
          <t>P003220</t>
        </is>
      </c>
      <c r="C60" s="37" t="n">
        <v>4301070939</v>
      </c>
      <c r="D60" s="222" t="n">
        <v>4607111037411</v>
      </c>
      <c r="E60" s="331" t="n"/>
      <c r="F60" s="363" t="n">
        <v>2.7</v>
      </c>
      <c r="G60" s="38" t="n">
        <v>1</v>
      </c>
      <c r="H60" s="363" t="n">
        <v>2.7</v>
      </c>
      <c r="I60" s="363" t="n">
        <v>2.8132</v>
      </c>
      <c r="J60" s="38" t="n">
        <v>234</v>
      </c>
      <c r="K60" s="39" t="inlineStr">
        <is>
          <t>МГ</t>
        </is>
      </c>
      <c r="L60" s="38" t="n">
        <v>150</v>
      </c>
      <c r="M60" s="388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/>
      </c>
      <c r="N60" s="365" t="n"/>
      <c r="O60" s="365" t="n"/>
      <c r="P60" s="365" t="n"/>
      <c r="Q60" s="331" t="n"/>
      <c r="R60" s="40" t="inlineStr"/>
      <c r="S60" s="40" t="inlineStr"/>
      <c r="T60" s="41" t="inlineStr">
        <is>
          <t>кор</t>
        </is>
      </c>
      <c r="U60" s="366" t="n">
        <v>0</v>
      </c>
      <c r="V60" s="367">
        <f>IFERROR(IF(U60="","",U60),"")</f>
        <v/>
      </c>
      <c r="W60" s="42">
        <f>IFERROR(IF(U60="","",U60*0.00502),"")</f>
        <v/>
      </c>
      <c r="X60" s="69" t="inlineStr"/>
      <c r="Y60" s="70" t="inlineStr"/>
      <c r="AC60" s="74" t="n"/>
      <c r="AZ60" s="93" t="inlineStr">
        <is>
          <t>ЗПФ</t>
        </is>
      </c>
    </row>
    <row r="61" ht="27" customHeight="1">
      <c r="A61" s="64" t="inlineStr">
        <is>
          <t>SU002798</t>
        </is>
      </c>
      <c r="B61" s="64" t="inlineStr">
        <is>
          <t>P003687</t>
        </is>
      </c>
      <c r="C61" s="37" t="n">
        <v>4301070977</v>
      </c>
      <c r="D61" s="222" t="n">
        <v>4607111037411</v>
      </c>
      <c r="E61" s="331" t="n"/>
      <c r="F61" s="363" t="n">
        <v>2.7</v>
      </c>
      <c r="G61" s="38" t="n">
        <v>1</v>
      </c>
      <c r="H61" s="363" t="n">
        <v>2.7</v>
      </c>
      <c r="I61" s="363" t="n">
        <v>2.8132</v>
      </c>
      <c r="J61" s="38" t="n">
        <v>234</v>
      </c>
      <c r="K61" s="39" t="inlineStr">
        <is>
          <t>МГ</t>
        </is>
      </c>
      <c r="L61" s="38" t="n">
        <v>180</v>
      </c>
      <c r="M61" s="389" t="inlineStr">
        <is>
          <t>Пельмени «Бульмени с говядиной и свининой Наваристые» Весовые Сфера ТМ «Горячая штучка» 2,7 кг</t>
        </is>
      </c>
      <c r="N61" s="365" t="n"/>
      <c r="O61" s="365" t="n"/>
      <c r="P61" s="365" t="n"/>
      <c r="Q61" s="331" t="n"/>
      <c r="R61" s="40" t="inlineStr">
        <is>
          <t>15.09.2023</t>
        </is>
      </c>
      <c r="S61" s="40" t="inlineStr"/>
      <c r="T61" s="41" t="inlineStr">
        <is>
          <t>кор</t>
        </is>
      </c>
      <c r="U61" s="366" t="n">
        <v>0</v>
      </c>
      <c r="V61" s="367">
        <f>IFERROR(IF(U61="","",U61),"")</f>
        <v/>
      </c>
      <c r="W61" s="42">
        <f>IFERROR(IF(U61="","",U61*0.00502),"")</f>
        <v/>
      </c>
      <c r="X61" s="69" t="inlineStr"/>
      <c r="Y61" s="70" t="inlineStr"/>
      <c r="AC61" s="74" t="n"/>
      <c r="AZ61" s="94" t="inlineStr">
        <is>
          <t>ЗПФ</t>
        </is>
      </c>
    </row>
    <row r="62" ht="27" customHeight="1">
      <c r="A62" s="64" t="inlineStr">
        <is>
          <t>SU002595</t>
        </is>
      </c>
      <c r="B62" s="64" t="inlineStr">
        <is>
          <t>P003697</t>
        </is>
      </c>
      <c r="C62" s="37" t="n">
        <v>4301070981</v>
      </c>
      <c r="D62" s="222" t="n">
        <v>4607111036728</v>
      </c>
      <c r="E62" s="331" t="n"/>
      <c r="F62" s="363" t="n">
        <v>5</v>
      </c>
      <c r="G62" s="38" t="n">
        <v>1</v>
      </c>
      <c r="H62" s="363" t="n">
        <v>5</v>
      </c>
      <c r="I62" s="363" t="n">
        <v>5.2132</v>
      </c>
      <c r="J62" s="38" t="n">
        <v>144</v>
      </c>
      <c r="K62" s="39" t="inlineStr">
        <is>
          <t>МГ</t>
        </is>
      </c>
      <c r="L62" s="38" t="n">
        <v>180</v>
      </c>
      <c r="M62" s="390" t="inlineStr">
        <is>
          <t>Пельмени «Бульмени с говядиной и свининой Наваристые» Весовые Сфера ТМ «Горячая штучка» 5 кг</t>
        </is>
      </c>
      <c r="N62" s="365" t="n"/>
      <c r="O62" s="365" t="n"/>
      <c r="P62" s="365" t="n"/>
      <c r="Q62" s="331" t="n"/>
      <c r="R62" s="40" t="inlineStr"/>
      <c r="S62" s="40" t="inlineStr"/>
      <c r="T62" s="41" t="inlineStr">
        <is>
          <t>кор</t>
        </is>
      </c>
      <c r="U62" s="366" t="n">
        <v>221</v>
      </c>
      <c r="V62" s="367">
        <f>IFERROR(IF(U62="","",U62),"")</f>
        <v/>
      </c>
      <c r="W62" s="42">
        <f>IFERROR(IF(U62="","",U62*0.00866),"")</f>
        <v/>
      </c>
      <c r="X62" s="69" t="inlineStr"/>
      <c r="Y62" s="70" t="inlineStr"/>
      <c r="AC62" s="74" t="n"/>
      <c r="AZ62" s="95" t="inlineStr">
        <is>
          <t>ЗПФ</t>
        </is>
      </c>
    </row>
    <row r="63">
      <c r="A63" s="230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368" t="n"/>
      <c r="M63" s="369" t="inlineStr">
        <is>
          <t>Итого</t>
        </is>
      </c>
      <c r="N63" s="339" t="n"/>
      <c r="O63" s="339" t="n"/>
      <c r="P63" s="339" t="n"/>
      <c r="Q63" s="339" t="n"/>
      <c r="R63" s="339" t="n"/>
      <c r="S63" s="340" t="n"/>
      <c r="T63" s="43" t="inlineStr">
        <is>
          <t>кор</t>
        </is>
      </c>
      <c r="U63" s="370">
        <f>IFERROR(SUM(U60:U62),"0")</f>
        <v/>
      </c>
      <c r="V63" s="370">
        <f>IFERROR(SUM(V60:V62),"0")</f>
        <v/>
      </c>
      <c r="W63" s="370">
        <f>IFERROR(IF(W60="",0,W60),"0")+IFERROR(IF(W61="",0,W61),"0")+IFERROR(IF(W62="",0,W62),"0")</f>
        <v/>
      </c>
      <c r="X63" s="371" t="n"/>
      <c r="Y63" s="371" t="n"/>
    </row>
    <row r="64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368" t="n"/>
      <c r="M64" s="369" t="inlineStr">
        <is>
          <t>Итого</t>
        </is>
      </c>
      <c r="N64" s="339" t="n"/>
      <c r="O64" s="339" t="n"/>
      <c r="P64" s="339" t="n"/>
      <c r="Q64" s="339" t="n"/>
      <c r="R64" s="339" t="n"/>
      <c r="S64" s="340" t="n"/>
      <c r="T64" s="43" t="inlineStr">
        <is>
          <t>кг</t>
        </is>
      </c>
      <c r="U64" s="370">
        <f>IFERROR(SUMPRODUCT(U60:U62*H60:H62),"0")</f>
        <v/>
      </c>
      <c r="V64" s="370">
        <f>IFERROR(SUMPRODUCT(V60:V62*H60:H62),"0")</f>
        <v/>
      </c>
      <c r="W64" s="43" t="n"/>
      <c r="X64" s="371" t="n"/>
      <c r="Y64" s="371" t="n"/>
    </row>
    <row r="65" ht="16.5" customHeight="1">
      <c r="A65" s="220" t="inlineStr">
        <is>
          <t>Бельмеши</t>
        </is>
      </c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220" t="n"/>
      <c r="Y65" s="220" t="n"/>
    </row>
    <row r="66" ht="14.25" customHeight="1">
      <c r="A66" s="221" t="inlineStr">
        <is>
          <t>Снеки</t>
        </is>
      </c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221" t="n"/>
      <c r="Y66" s="221" t="n"/>
    </row>
    <row r="67" ht="27" customHeight="1">
      <c r="A67" s="64" t="inlineStr">
        <is>
          <t>SU002560</t>
        </is>
      </c>
      <c r="B67" s="64" t="inlineStr">
        <is>
          <t>P002878</t>
        </is>
      </c>
      <c r="C67" s="37" t="n">
        <v>4301135113</v>
      </c>
      <c r="D67" s="222" t="n">
        <v>4607111033659</v>
      </c>
      <c r="E67" s="331" t="n"/>
      <c r="F67" s="363" t="n">
        <v>0.3</v>
      </c>
      <c r="G67" s="38" t="n">
        <v>12</v>
      </c>
      <c r="H67" s="363" t="n">
        <v>3.6</v>
      </c>
      <c r="I67" s="363" t="n">
        <v>4.3036</v>
      </c>
      <c r="J67" s="38" t="n">
        <v>70</v>
      </c>
      <c r="K67" s="39" t="inlineStr">
        <is>
          <t>МГ</t>
        </is>
      </c>
      <c r="L67" s="38" t="n">
        <v>180</v>
      </c>
      <c r="M67" s="391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N67" s="365" t="n"/>
      <c r="O67" s="365" t="n"/>
      <c r="P67" s="365" t="n"/>
      <c r="Q67" s="331" t="n"/>
      <c r="R67" s="40" t="inlineStr"/>
      <c r="S67" s="40" t="inlineStr"/>
      <c r="T67" s="41" t="inlineStr">
        <is>
          <t>кор</t>
        </is>
      </c>
      <c r="U67" s="366" t="n">
        <v>0</v>
      </c>
      <c r="V67" s="367">
        <f>IFERROR(IF(U67="","",U67),"")</f>
        <v/>
      </c>
      <c r="W67" s="42">
        <f>IFERROR(IF(U67="","",U67*0.01788),"")</f>
        <v/>
      </c>
      <c r="X67" s="69" t="inlineStr"/>
      <c r="Y67" s="70" t="inlineStr"/>
      <c r="AC67" s="74" t="n"/>
      <c r="AZ67" s="96" t="inlineStr">
        <is>
          <t>ПГП</t>
        </is>
      </c>
    </row>
    <row r="68">
      <c r="A68" s="230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368" t="n"/>
      <c r="M68" s="369" t="inlineStr">
        <is>
          <t>Итого</t>
        </is>
      </c>
      <c r="N68" s="339" t="n"/>
      <c r="O68" s="339" t="n"/>
      <c r="P68" s="339" t="n"/>
      <c r="Q68" s="339" t="n"/>
      <c r="R68" s="339" t="n"/>
      <c r="S68" s="340" t="n"/>
      <c r="T68" s="43" t="inlineStr">
        <is>
          <t>кор</t>
        </is>
      </c>
      <c r="U68" s="370">
        <f>IFERROR(SUM(U67:U67),"0")</f>
        <v/>
      </c>
      <c r="V68" s="370">
        <f>IFERROR(SUM(V67:V67),"0")</f>
        <v/>
      </c>
      <c r="W68" s="370">
        <f>IFERROR(IF(W67="",0,W67),"0")</f>
        <v/>
      </c>
      <c r="X68" s="371" t="n"/>
      <c r="Y68" s="371" t="n"/>
    </row>
    <row r="69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368" t="n"/>
      <c r="M69" s="369" t="inlineStr">
        <is>
          <t>Итого</t>
        </is>
      </c>
      <c r="N69" s="339" t="n"/>
      <c r="O69" s="339" t="n"/>
      <c r="P69" s="339" t="n"/>
      <c r="Q69" s="339" t="n"/>
      <c r="R69" s="339" t="n"/>
      <c r="S69" s="340" t="n"/>
      <c r="T69" s="43" t="inlineStr">
        <is>
          <t>кг</t>
        </is>
      </c>
      <c r="U69" s="370">
        <f>IFERROR(SUMPRODUCT(U67:U67*H67:H67),"0")</f>
        <v/>
      </c>
      <c r="V69" s="370">
        <f>IFERROR(SUMPRODUCT(V67:V67*H67:H67),"0")</f>
        <v/>
      </c>
      <c r="W69" s="43" t="n"/>
      <c r="X69" s="371" t="n"/>
      <c r="Y69" s="371" t="n"/>
    </row>
    <row r="70" ht="16.5" customHeight="1">
      <c r="A70" s="220" t="inlineStr">
        <is>
          <t>Крылышки ГШ</t>
        </is>
      </c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220" t="n"/>
      <c r="Y70" s="220" t="n"/>
    </row>
    <row r="71" ht="14.25" customHeight="1">
      <c r="A71" s="221" t="inlineStr">
        <is>
          <t>Крылья</t>
        </is>
      </c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221" t="n"/>
      <c r="Y71" s="221" t="n"/>
    </row>
    <row r="72" ht="27" customHeight="1">
      <c r="A72" s="64" t="inlineStr">
        <is>
          <t>SU002564</t>
        </is>
      </c>
      <c r="B72" s="64" t="inlineStr">
        <is>
          <t>P002882</t>
        </is>
      </c>
      <c r="C72" s="37" t="n">
        <v>4301131012</v>
      </c>
      <c r="D72" s="222" t="n">
        <v>4607111034137</v>
      </c>
      <c r="E72" s="331" t="n"/>
      <c r="F72" s="363" t="n">
        <v>0.3</v>
      </c>
      <c r="G72" s="38" t="n">
        <v>12</v>
      </c>
      <c r="H72" s="363" t="n">
        <v>3.6</v>
      </c>
      <c r="I72" s="363" t="n">
        <v>4.3036</v>
      </c>
      <c r="J72" s="38" t="n">
        <v>70</v>
      </c>
      <c r="K72" s="39" t="inlineStr">
        <is>
          <t>МГ</t>
        </is>
      </c>
      <c r="L72" s="38" t="n">
        <v>180</v>
      </c>
      <c r="M72" s="392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N72" s="365" t="n"/>
      <c r="O72" s="365" t="n"/>
      <c r="P72" s="365" t="n"/>
      <c r="Q72" s="331" t="n"/>
      <c r="R72" s="40" t="inlineStr"/>
      <c r="S72" s="40" t="inlineStr"/>
      <c r="T72" s="41" t="inlineStr">
        <is>
          <t>кор</t>
        </is>
      </c>
      <c r="U72" s="366" t="n">
        <v>0</v>
      </c>
      <c r="V72" s="367">
        <f>IFERROR(IF(U72="","",U72),"")</f>
        <v/>
      </c>
      <c r="W72" s="42">
        <f>IFERROR(IF(U72="","",U72*0.01788),"")</f>
        <v/>
      </c>
      <c r="X72" s="69" t="inlineStr"/>
      <c r="Y72" s="70" t="inlineStr"/>
      <c r="AC72" s="74" t="n"/>
      <c r="AZ72" s="97" t="inlineStr">
        <is>
          <t>ПГП</t>
        </is>
      </c>
    </row>
    <row r="73" ht="27" customHeight="1">
      <c r="A73" s="64" t="inlineStr">
        <is>
          <t>SU002563</t>
        </is>
      </c>
      <c r="B73" s="64" t="inlineStr">
        <is>
          <t>P002881</t>
        </is>
      </c>
      <c r="C73" s="37" t="n">
        <v>4301131011</v>
      </c>
      <c r="D73" s="222" t="n">
        <v>4607111034120</v>
      </c>
      <c r="E73" s="331" t="n"/>
      <c r="F73" s="363" t="n">
        <v>0.3</v>
      </c>
      <c r="G73" s="38" t="n">
        <v>12</v>
      </c>
      <c r="H73" s="363" t="n">
        <v>3.6</v>
      </c>
      <c r="I73" s="363" t="n">
        <v>4.3036</v>
      </c>
      <c r="J73" s="38" t="n">
        <v>70</v>
      </c>
      <c r="K73" s="39" t="inlineStr">
        <is>
          <t>МГ</t>
        </is>
      </c>
      <c r="L73" s="38" t="n">
        <v>180</v>
      </c>
      <c r="M73" s="393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N73" s="365" t="n"/>
      <c r="O73" s="365" t="n"/>
      <c r="P73" s="365" t="n"/>
      <c r="Q73" s="331" t="n"/>
      <c r="R73" s="40" t="inlineStr"/>
      <c r="S73" s="40" t="inlineStr"/>
      <c r="T73" s="41" t="inlineStr">
        <is>
          <t>кор</t>
        </is>
      </c>
      <c r="U73" s="366" t="n">
        <v>0</v>
      </c>
      <c r="V73" s="367">
        <f>IFERROR(IF(U73="","",U73),"")</f>
        <v/>
      </c>
      <c r="W73" s="42">
        <f>IFERROR(IF(U73="","",U73*0.01788),"")</f>
        <v/>
      </c>
      <c r="X73" s="69" t="inlineStr"/>
      <c r="Y73" s="70" t="inlineStr"/>
      <c r="AC73" s="74" t="n"/>
      <c r="AZ73" s="98" t="inlineStr">
        <is>
          <t>ПГП</t>
        </is>
      </c>
    </row>
    <row r="74">
      <c r="A74" s="230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368" t="n"/>
      <c r="M74" s="369" t="inlineStr">
        <is>
          <t>Итого</t>
        </is>
      </c>
      <c r="N74" s="339" t="n"/>
      <c r="O74" s="339" t="n"/>
      <c r="P74" s="339" t="n"/>
      <c r="Q74" s="339" t="n"/>
      <c r="R74" s="339" t="n"/>
      <c r="S74" s="340" t="n"/>
      <c r="T74" s="43" t="inlineStr">
        <is>
          <t>кор</t>
        </is>
      </c>
      <c r="U74" s="370">
        <f>IFERROR(SUM(U72:U73),"0")</f>
        <v/>
      </c>
      <c r="V74" s="370">
        <f>IFERROR(SUM(V72:V73),"0")</f>
        <v/>
      </c>
      <c r="W74" s="370">
        <f>IFERROR(IF(W72="",0,W72),"0")+IFERROR(IF(W73="",0,W73),"0")</f>
        <v/>
      </c>
      <c r="X74" s="371" t="n"/>
      <c r="Y74" s="371" t="n"/>
    </row>
    <row r="75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368" t="n"/>
      <c r="M75" s="369" t="inlineStr">
        <is>
          <t>Итого</t>
        </is>
      </c>
      <c r="N75" s="339" t="n"/>
      <c r="O75" s="339" t="n"/>
      <c r="P75" s="339" t="n"/>
      <c r="Q75" s="339" t="n"/>
      <c r="R75" s="339" t="n"/>
      <c r="S75" s="340" t="n"/>
      <c r="T75" s="43" t="inlineStr">
        <is>
          <t>кг</t>
        </is>
      </c>
      <c r="U75" s="370">
        <f>IFERROR(SUMPRODUCT(U72:U73*H72:H73),"0")</f>
        <v/>
      </c>
      <c r="V75" s="370">
        <f>IFERROR(SUMPRODUCT(V72:V73*H72:H73),"0")</f>
        <v/>
      </c>
      <c r="W75" s="43" t="n"/>
      <c r="X75" s="371" t="n"/>
      <c r="Y75" s="371" t="n"/>
    </row>
    <row r="76" ht="16.5" customHeight="1">
      <c r="A76" s="220" t="inlineStr">
        <is>
          <t>Чебупели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220" t="n"/>
      <c r="Y76" s="220" t="n"/>
    </row>
    <row r="77" ht="14.25" customHeight="1">
      <c r="A77" s="221" t="inlineStr">
        <is>
          <t>Снеки</t>
        </is>
      </c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221" t="n"/>
      <c r="Y77" s="221" t="n"/>
    </row>
    <row r="78" ht="27" customHeight="1">
      <c r="A78" s="64" t="inlineStr">
        <is>
          <t>SU002293</t>
        </is>
      </c>
      <c r="B78" s="64" t="inlineStr">
        <is>
          <t>P002566</t>
        </is>
      </c>
      <c r="C78" s="37" t="n">
        <v>4301135053</v>
      </c>
      <c r="D78" s="222" t="n">
        <v>4607111036407</v>
      </c>
      <c r="E78" s="331" t="n"/>
      <c r="F78" s="363" t="n">
        <v>0.3</v>
      </c>
      <c r="G78" s="38" t="n">
        <v>14</v>
      </c>
      <c r="H78" s="363" t="n">
        <v>4.2</v>
      </c>
      <c r="I78" s="363" t="n">
        <v>4.5292</v>
      </c>
      <c r="J78" s="38" t="n">
        <v>70</v>
      </c>
      <c r="K78" s="39" t="inlineStr">
        <is>
          <t>МГ</t>
        </is>
      </c>
      <c r="L78" s="38" t="n">
        <v>180</v>
      </c>
      <c r="M78" s="394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N78" s="365" t="n"/>
      <c r="O78" s="365" t="n"/>
      <c r="P78" s="365" t="n"/>
      <c r="Q78" s="331" t="n"/>
      <c r="R78" s="40" t="inlineStr"/>
      <c r="S78" s="40" t="inlineStr"/>
      <c r="T78" s="41" t="inlineStr">
        <is>
          <t>кор</t>
        </is>
      </c>
      <c r="U78" s="366" t="n">
        <v>0</v>
      </c>
      <c r="V78" s="367">
        <f>IFERROR(IF(U78="","",U78),"")</f>
        <v/>
      </c>
      <c r="W78" s="42">
        <f>IFERROR(IF(U78="","",U78*0.01788),"")</f>
        <v/>
      </c>
      <c r="X78" s="69" t="inlineStr"/>
      <c r="Y78" s="70" t="inlineStr"/>
      <c r="AC78" s="74" t="n"/>
      <c r="AZ78" s="99" t="inlineStr">
        <is>
          <t>ПГП</t>
        </is>
      </c>
    </row>
    <row r="79" ht="16.5" customHeight="1">
      <c r="A79" s="64" t="inlineStr">
        <is>
          <t>SU002568</t>
        </is>
      </c>
      <c r="B79" s="64" t="inlineStr">
        <is>
          <t>P002892</t>
        </is>
      </c>
      <c r="C79" s="37" t="n">
        <v>4301135122</v>
      </c>
      <c r="D79" s="222" t="n">
        <v>4607111033628</v>
      </c>
      <c r="E79" s="331" t="n"/>
      <c r="F79" s="363" t="n">
        <v>0.3</v>
      </c>
      <c r="G79" s="38" t="n">
        <v>12</v>
      </c>
      <c r="H79" s="363" t="n">
        <v>3.6</v>
      </c>
      <c r="I79" s="363" t="n">
        <v>4.3036</v>
      </c>
      <c r="J79" s="38" t="n">
        <v>70</v>
      </c>
      <c r="K79" s="39" t="inlineStr">
        <is>
          <t>МГ</t>
        </is>
      </c>
      <c r="L79" s="38" t="n">
        <v>180</v>
      </c>
      <c r="M79" s="395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N79" s="365" t="n"/>
      <c r="O79" s="365" t="n"/>
      <c r="P79" s="365" t="n"/>
      <c r="Q79" s="331" t="n"/>
      <c r="R79" s="40" t="inlineStr"/>
      <c r="S79" s="40" t="inlineStr"/>
      <c r="T79" s="41" t="inlineStr">
        <is>
          <t>кор</t>
        </is>
      </c>
      <c r="U79" s="366" t="n">
        <v>0</v>
      </c>
      <c r="V79" s="367">
        <f>IFERROR(IF(U79="","",U79),"")</f>
        <v/>
      </c>
      <c r="W79" s="42">
        <f>IFERROR(IF(U79="","",U79*0.01788),"")</f>
        <v/>
      </c>
      <c r="X79" s="69" t="inlineStr"/>
      <c r="Y79" s="70" t="inlineStr"/>
      <c r="AC79" s="74" t="n"/>
      <c r="AZ79" s="100" t="inlineStr">
        <is>
          <t>ПГП</t>
        </is>
      </c>
    </row>
    <row r="80" ht="27" customHeight="1">
      <c r="A80" s="64" t="inlineStr">
        <is>
          <t>SU000419</t>
        </is>
      </c>
      <c r="B80" s="64" t="inlineStr">
        <is>
          <t>P000419</t>
        </is>
      </c>
      <c r="C80" s="37" t="n">
        <v>4301130400</v>
      </c>
      <c r="D80" s="222" t="n">
        <v>4607111033451</v>
      </c>
      <c r="E80" s="331" t="n"/>
      <c r="F80" s="363" t="n">
        <v>0.3</v>
      </c>
      <c r="G80" s="38" t="n">
        <v>12</v>
      </c>
      <c r="H80" s="363" t="n">
        <v>3.6</v>
      </c>
      <c r="I80" s="363" t="n">
        <v>4.3036</v>
      </c>
      <c r="J80" s="38" t="n">
        <v>70</v>
      </c>
      <c r="K80" s="39" t="inlineStr">
        <is>
          <t>МГ</t>
        </is>
      </c>
      <c r="L80" s="38" t="n">
        <v>180</v>
      </c>
      <c r="M80" s="396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N80" s="365" t="n"/>
      <c r="O80" s="365" t="n"/>
      <c r="P80" s="365" t="n"/>
      <c r="Q80" s="331" t="n"/>
      <c r="R80" s="40" t="inlineStr"/>
      <c r="S80" s="40" t="inlineStr"/>
      <c r="T80" s="41" t="inlineStr">
        <is>
          <t>кор</t>
        </is>
      </c>
      <c r="U80" s="366" t="n">
        <v>0</v>
      </c>
      <c r="V80" s="367">
        <f>IFERROR(IF(U80="","",U80),"")</f>
        <v/>
      </c>
      <c r="W80" s="42">
        <f>IFERROR(IF(U80="","",U80*0.01788),"")</f>
        <v/>
      </c>
      <c r="X80" s="69" t="inlineStr"/>
      <c r="Y80" s="70" t="inlineStr"/>
      <c r="AC80" s="74" t="n"/>
      <c r="AZ80" s="101" t="inlineStr">
        <is>
          <t>ПГП</t>
        </is>
      </c>
    </row>
    <row r="81" ht="27" customHeight="1">
      <c r="A81" s="64" t="inlineStr">
        <is>
          <t>SU002572</t>
        </is>
      </c>
      <c r="B81" s="64" t="inlineStr">
        <is>
          <t>P002888</t>
        </is>
      </c>
      <c r="C81" s="37" t="n">
        <v>4301135120</v>
      </c>
      <c r="D81" s="222" t="n">
        <v>4607111035141</v>
      </c>
      <c r="E81" s="331" t="n"/>
      <c r="F81" s="363" t="n">
        <v>0.3</v>
      </c>
      <c r="G81" s="38" t="n">
        <v>12</v>
      </c>
      <c r="H81" s="363" t="n">
        <v>3.6</v>
      </c>
      <c r="I81" s="363" t="n">
        <v>4.3036</v>
      </c>
      <c r="J81" s="38" t="n">
        <v>70</v>
      </c>
      <c r="K81" s="39" t="inlineStr">
        <is>
          <t>МГ</t>
        </is>
      </c>
      <c r="L81" s="38" t="n">
        <v>180</v>
      </c>
      <c r="M81" s="397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N81" s="365" t="n"/>
      <c r="O81" s="365" t="n"/>
      <c r="P81" s="365" t="n"/>
      <c r="Q81" s="331" t="n"/>
      <c r="R81" s="40" t="inlineStr"/>
      <c r="S81" s="40" t="inlineStr"/>
      <c r="T81" s="41" t="inlineStr">
        <is>
          <t>кор</t>
        </is>
      </c>
      <c r="U81" s="366" t="n">
        <v>0</v>
      </c>
      <c r="V81" s="367">
        <f>IFERROR(IF(U81="","",U81),"")</f>
        <v/>
      </c>
      <c r="W81" s="42">
        <f>IFERROR(IF(U81="","",U81*0.01788),"")</f>
        <v/>
      </c>
      <c r="X81" s="69" t="inlineStr"/>
      <c r="Y81" s="70" t="inlineStr"/>
      <c r="AC81" s="74" t="n"/>
      <c r="AZ81" s="102" t="inlineStr">
        <is>
          <t>ПГП</t>
        </is>
      </c>
    </row>
    <row r="82" ht="27" customHeight="1">
      <c r="A82" s="64" t="inlineStr">
        <is>
          <t>SU002571</t>
        </is>
      </c>
      <c r="B82" s="64" t="inlineStr">
        <is>
          <t>P002876</t>
        </is>
      </c>
      <c r="C82" s="37" t="n">
        <v>4301135111</v>
      </c>
      <c r="D82" s="222" t="n">
        <v>4607111035028</v>
      </c>
      <c r="E82" s="331" t="n"/>
      <c r="F82" s="363" t="n">
        <v>0.48</v>
      </c>
      <c r="G82" s="38" t="n">
        <v>8</v>
      </c>
      <c r="H82" s="363" t="n">
        <v>3.84</v>
      </c>
      <c r="I82" s="363" t="n">
        <v>4.4488</v>
      </c>
      <c r="J82" s="38" t="n">
        <v>70</v>
      </c>
      <c r="K82" s="39" t="inlineStr">
        <is>
          <t>МГ</t>
        </is>
      </c>
      <c r="L82" s="38" t="n">
        <v>180</v>
      </c>
      <c r="M82" s="398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N82" s="365" t="n"/>
      <c r="O82" s="365" t="n"/>
      <c r="P82" s="365" t="n"/>
      <c r="Q82" s="331" t="n"/>
      <c r="R82" s="40" t="inlineStr"/>
      <c r="S82" s="40" t="inlineStr"/>
      <c r="T82" s="41" t="inlineStr">
        <is>
          <t>кор</t>
        </is>
      </c>
      <c r="U82" s="366" t="n">
        <v>0</v>
      </c>
      <c r="V82" s="367">
        <f>IFERROR(IF(U82="","",U82),"")</f>
        <v/>
      </c>
      <c r="W82" s="42">
        <f>IFERROR(IF(U82="","",U82*0.01788),"")</f>
        <v/>
      </c>
      <c r="X82" s="69" t="inlineStr"/>
      <c r="Y82" s="70" t="inlineStr"/>
      <c r="AC82" s="74" t="n"/>
      <c r="AZ82" s="103" t="inlineStr">
        <is>
          <t>ПГП</t>
        </is>
      </c>
    </row>
    <row r="83" ht="27" customHeight="1">
      <c r="A83" s="64" t="inlineStr">
        <is>
          <t>SU002559</t>
        </is>
      </c>
      <c r="B83" s="64" t="inlineStr">
        <is>
          <t>P002874</t>
        </is>
      </c>
      <c r="C83" s="37" t="n">
        <v>4301135109</v>
      </c>
      <c r="D83" s="222" t="n">
        <v>4607111033444</v>
      </c>
      <c r="E83" s="331" t="n"/>
      <c r="F83" s="363" t="n">
        <v>0.3</v>
      </c>
      <c r="G83" s="38" t="n">
        <v>12</v>
      </c>
      <c r="H83" s="363" t="n">
        <v>3.6</v>
      </c>
      <c r="I83" s="363" t="n">
        <v>4.3036</v>
      </c>
      <c r="J83" s="38" t="n">
        <v>70</v>
      </c>
      <c r="K83" s="39" t="inlineStr">
        <is>
          <t>МГ</t>
        </is>
      </c>
      <c r="L83" s="38" t="n">
        <v>180</v>
      </c>
      <c r="M83" s="399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N83" s="365" t="n"/>
      <c r="O83" s="365" t="n"/>
      <c r="P83" s="365" t="n"/>
      <c r="Q83" s="331" t="n"/>
      <c r="R83" s="40" t="inlineStr"/>
      <c r="S83" s="40" t="inlineStr"/>
      <c r="T83" s="41" t="inlineStr">
        <is>
          <t>кор</t>
        </is>
      </c>
      <c r="U83" s="366" t="n">
        <v>0</v>
      </c>
      <c r="V83" s="367">
        <f>IFERROR(IF(U83="","",U83),"")</f>
        <v/>
      </c>
      <c r="W83" s="42">
        <f>IFERROR(IF(U83="","",U83*0.01788),"")</f>
        <v/>
      </c>
      <c r="X83" s="69" t="inlineStr"/>
      <c r="Y83" s="70" t="inlineStr"/>
      <c r="AC83" s="74" t="n"/>
      <c r="AZ83" s="104" t="inlineStr">
        <is>
          <t>ПГП</t>
        </is>
      </c>
    </row>
    <row r="84">
      <c r="A84" s="230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368" t="n"/>
      <c r="M84" s="369" t="inlineStr">
        <is>
          <t>Итого</t>
        </is>
      </c>
      <c r="N84" s="339" t="n"/>
      <c r="O84" s="339" t="n"/>
      <c r="P84" s="339" t="n"/>
      <c r="Q84" s="339" t="n"/>
      <c r="R84" s="339" t="n"/>
      <c r="S84" s="340" t="n"/>
      <c r="T84" s="43" t="inlineStr">
        <is>
          <t>кор</t>
        </is>
      </c>
      <c r="U84" s="370">
        <f>IFERROR(SUM(U78:U83),"0")</f>
        <v/>
      </c>
      <c r="V84" s="370">
        <f>IFERROR(SUM(V78:V83),"0")</f>
        <v/>
      </c>
      <c r="W84" s="370">
        <f>IFERROR(IF(W78="",0,W78),"0")+IFERROR(IF(W79="",0,W79),"0")+IFERROR(IF(W80="",0,W80),"0")+IFERROR(IF(W81="",0,W81),"0")+IFERROR(IF(W82="",0,W82),"0")+IFERROR(IF(W83="",0,W83),"0")</f>
        <v/>
      </c>
      <c r="X84" s="371" t="n"/>
      <c r="Y84" s="371" t="n"/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368" t="n"/>
      <c r="M85" s="369" t="inlineStr">
        <is>
          <t>Итого</t>
        </is>
      </c>
      <c r="N85" s="339" t="n"/>
      <c r="O85" s="339" t="n"/>
      <c r="P85" s="339" t="n"/>
      <c r="Q85" s="339" t="n"/>
      <c r="R85" s="339" t="n"/>
      <c r="S85" s="340" t="n"/>
      <c r="T85" s="43" t="inlineStr">
        <is>
          <t>кг</t>
        </is>
      </c>
      <c r="U85" s="370">
        <f>IFERROR(SUMPRODUCT(U78:U83*H78:H83),"0")</f>
        <v/>
      </c>
      <c r="V85" s="370">
        <f>IFERROR(SUMPRODUCT(V78:V83*H78:H83),"0")</f>
        <v/>
      </c>
      <c r="W85" s="43" t="n"/>
      <c r="X85" s="371" t="n"/>
      <c r="Y85" s="371" t="n"/>
    </row>
    <row r="86" ht="16.5" customHeight="1">
      <c r="A86" s="220" t="inlineStr">
        <is>
          <t>Чебуреки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220" t="n"/>
      <c r="Y86" s="220" t="n"/>
    </row>
    <row r="87" ht="14.25" customHeight="1">
      <c r="A87" s="221" t="inlineStr">
        <is>
          <t>Чебуреки</t>
        </is>
      </c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221" t="n"/>
      <c r="Y87" s="221" t="n"/>
    </row>
    <row r="88" ht="27" customHeight="1">
      <c r="A88" s="64" t="inlineStr">
        <is>
          <t>SU002573</t>
        </is>
      </c>
      <c r="B88" s="64" t="inlineStr">
        <is>
          <t>P002893</t>
        </is>
      </c>
      <c r="C88" s="37" t="n">
        <v>4301136013</v>
      </c>
      <c r="D88" s="222" t="n">
        <v>4607025784012</v>
      </c>
      <c r="E88" s="331" t="n"/>
      <c r="F88" s="363" t="n">
        <v>0.09</v>
      </c>
      <c r="G88" s="38" t="n">
        <v>24</v>
      </c>
      <c r="H88" s="363" t="n">
        <v>2.16</v>
      </c>
      <c r="I88" s="363" t="n">
        <v>2.4912</v>
      </c>
      <c r="J88" s="38" t="n">
        <v>126</v>
      </c>
      <c r="K88" s="39" t="inlineStr">
        <is>
          <t>МГ</t>
        </is>
      </c>
      <c r="L88" s="38" t="n">
        <v>180</v>
      </c>
      <c r="M88" s="400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N88" s="365" t="n"/>
      <c r="O88" s="365" t="n"/>
      <c r="P88" s="365" t="n"/>
      <c r="Q88" s="331" t="n"/>
      <c r="R88" s="40" t="inlineStr"/>
      <c r="S88" s="40" t="inlineStr"/>
      <c r="T88" s="41" t="inlineStr">
        <is>
          <t>кор</t>
        </is>
      </c>
      <c r="U88" s="366" t="n">
        <v>0</v>
      </c>
      <c r="V88" s="367">
        <f>IFERROR(IF(U88="","",U88),"")</f>
        <v/>
      </c>
      <c r="W88" s="42">
        <f>IFERROR(IF(U88="","",U88*0.00936),"")</f>
        <v/>
      </c>
      <c r="X88" s="69" t="inlineStr"/>
      <c r="Y88" s="70" t="inlineStr"/>
      <c r="AC88" s="74" t="n"/>
      <c r="AZ88" s="105" t="inlineStr">
        <is>
          <t>ПГП</t>
        </is>
      </c>
    </row>
    <row r="89" ht="27" customHeight="1">
      <c r="A89" s="64" t="inlineStr">
        <is>
          <t>SU002558</t>
        </is>
      </c>
      <c r="B89" s="64" t="inlineStr">
        <is>
          <t>P002889</t>
        </is>
      </c>
      <c r="C89" s="37" t="n">
        <v>4301136012</v>
      </c>
      <c r="D89" s="222" t="n">
        <v>4607025784319</v>
      </c>
      <c r="E89" s="331" t="n"/>
      <c r="F89" s="363" t="n">
        <v>0.36</v>
      </c>
      <c r="G89" s="38" t="n">
        <v>10</v>
      </c>
      <c r="H89" s="363" t="n">
        <v>3.6</v>
      </c>
      <c r="I89" s="363" t="n">
        <v>4.244</v>
      </c>
      <c r="J89" s="38" t="n">
        <v>70</v>
      </c>
      <c r="K89" s="39" t="inlineStr">
        <is>
          <t>МГ</t>
        </is>
      </c>
      <c r="L89" s="38" t="n">
        <v>180</v>
      </c>
      <c r="M89" s="401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N89" s="365" t="n"/>
      <c r="O89" s="365" t="n"/>
      <c r="P89" s="365" t="n"/>
      <c r="Q89" s="331" t="n"/>
      <c r="R89" s="40" t="inlineStr"/>
      <c r="S89" s="40" t="inlineStr"/>
      <c r="T89" s="41" t="inlineStr">
        <is>
          <t>кор</t>
        </is>
      </c>
      <c r="U89" s="366" t="n">
        <v>0</v>
      </c>
      <c r="V89" s="367">
        <f>IFERROR(IF(U89="","",U89),"")</f>
        <v/>
      </c>
      <c r="W89" s="42">
        <f>IFERROR(IF(U89="","",U89*0.01788),"")</f>
        <v/>
      </c>
      <c r="X89" s="69" t="inlineStr"/>
      <c r="Y89" s="70" t="inlineStr"/>
      <c r="AC89" s="74" t="n"/>
      <c r="AZ89" s="106" t="inlineStr">
        <is>
          <t>ПГП</t>
        </is>
      </c>
    </row>
    <row r="90" ht="16.5" customHeight="1">
      <c r="A90" s="64" t="inlineStr">
        <is>
          <t>SU002570</t>
        </is>
      </c>
      <c r="B90" s="64" t="inlineStr">
        <is>
          <t>P002894</t>
        </is>
      </c>
      <c r="C90" s="37" t="n">
        <v>4301136014</v>
      </c>
      <c r="D90" s="222" t="n">
        <v>4607111035370</v>
      </c>
      <c r="E90" s="331" t="n"/>
      <c r="F90" s="363" t="n">
        <v>0.14</v>
      </c>
      <c r="G90" s="38" t="n">
        <v>22</v>
      </c>
      <c r="H90" s="363" t="n">
        <v>3.08</v>
      </c>
      <c r="I90" s="363" t="n">
        <v>3.464</v>
      </c>
      <c r="J90" s="38" t="n">
        <v>84</v>
      </c>
      <c r="K90" s="39" t="inlineStr">
        <is>
          <t>МГ</t>
        </is>
      </c>
      <c r="L90" s="38" t="n">
        <v>180</v>
      </c>
      <c r="M90" s="402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N90" s="365" t="n"/>
      <c r="O90" s="365" t="n"/>
      <c r="P90" s="365" t="n"/>
      <c r="Q90" s="331" t="n"/>
      <c r="R90" s="40" t="inlineStr"/>
      <c r="S90" s="40" t="inlineStr"/>
      <c r="T90" s="41" t="inlineStr">
        <is>
          <t>кор</t>
        </is>
      </c>
      <c r="U90" s="366" t="n">
        <v>0</v>
      </c>
      <c r="V90" s="367">
        <f>IFERROR(IF(U90="","",U90),"")</f>
        <v/>
      </c>
      <c r="W90" s="42">
        <f>IFERROR(IF(U90="","",U90*0.0155),"")</f>
        <v/>
      </c>
      <c r="X90" s="69" t="inlineStr"/>
      <c r="Y90" s="70" t="inlineStr"/>
      <c r="AC90" s="74" t="n"/>
      <c r="AZ90" s="107" t="inlineStr">
        <is>
          <t>ПГП</t>
        </is>
      </c>
    </row>
    <row r="91">
      <c r="A91" s="230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368" t="n"/>
      <c r="M91" s="369" t="inlineStr">
        <is>
          <t>Итого</t>
        </is>
      </c>
      <c r="N91" s="339" t="n"/>
      <c r="O91" s="339" t="n"/>
      <c r="P91" s="339" t="n"/>
      <c r="Q91" s="339" t="n"/>
      <c r="R91" s="339" t="n"/>
      <c r="S91" s="340" t="n"/>
      <c r="T91" s="43" t="inlineStr">
        <is>
          <t>кор</t>
        </is>
      </c>
      <c r="U91" s="370">
        <f>IFERROR(SUM(U88:U90),"0")</f>
        <v/>
      </c>
      <c r="V91" s="370">
        <f>IFERROR(SUM(V88:V90),"0")</f>
        <v/>
      </c>
      <c r="W91" s="370">
        <f>IFERROR(IF(W88="",0,W88),"0")+IFERROR(IF(W89="",0,W89),"0")+IFERROR(IF(W90="",0,W90),"0")</f>
        <v/>
      </c>
      <c r="X91" s="371" t="n"/>
      <c r="Y91" s="371" t="n"/>
    </row>
    <row r="92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368" t="n"/>
      <c r="M92" s="369" t="inlineStr">
        <is>
          <t>Итого</t>
        </is>
      </c>
      <c r="N92" s="339" t="n"/>
      <c r="O92" s="339" t="n"/>
      <c r="P92" s="339" t="n"/>
      <c r="Q92" s="339" t="n"/>
      <c r="R92" s="339" t="n"/>
      <c r="S92" s="340" t="n"/>
      <c r="T92" s="43" t="inlineStr">
        <is>
          <t>кг</t>
        </is>
      </c>
      <c r="U92" s="370">
        <f>IFERROR(SUMPRODUCT(U88:U90*H88:H90),"0")</f>
        <v/>
      </c>
      <c r="V92" s="370">
        <f>IFERROR(SUMPRODUCT(V88:V90*H88:H90),"0")</f>
        <v/>
      </c>
      <c r="W92" s="43" t="n"/>
      <c r="X92" s="371" t="n"/>
      <c r="Y92" s="371" t="n"/>
    </row>
    <row r="93" ht="16.5" customHeight="1">
      <c r="A93" s="220" t="inlineStr">
        <is>
          <t>Бульмени ГШ</t>
        </is>
      </c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220" t="n"/>
      <c r="Y93" s="220" t="n"/>
    </row>
    <row r="94" ht="14.25" customHeight="1">
      <c r="A94" s="221" t="inlineStr">
        <is>
          <t>Пельмени</t>
        </is>
      </c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221" t="n"/>
      <c r="Y94" s="221" t="n"/>
    </row>
    <row r="95" ht="27" customHeight="1">
      <c r="A95" s="64" t="inlineStr">
        <is>
          <t>SU002626</t>
        </is>
      </c>
      <c r="B95" s="64" t="inlineStr">
        <is>
          <t>P003685</t>
        </is>
      </c>
      <c r="C95" s="37" t="n">
        <v>4301070975</v>
      </c>
      <c r="D95" s="222" t="n">
        <v>4607111033970</v>
      </c>
      <c r="E95" s="331" t="n"/>
      <c r="F95" s="363" t="n">
        <v>0.43</v>
      </c>
      <c r="G95" s="38" t="n">
        <v>16</v>
      </c>
      <c r="H95" s="363" t="n">
        <v>6.88</v>
      </c>
      <c r="I95" s="363" t="n">
        <v>7.1996</v>
      </c>
      <c r="J95" s="38" t="n">
        <v>84</v>
      </c>
      <c r="K95" s="39" t="inlineStr">
        <is>
          <t>МГ</t>
        </is>
      </c>
      <c r="L95" s="38" t="n">
        <v>180</v>
      </c>
      <c r="M95" s="403" t="inlineStr">
        <is>
          <t>Пельмени «Бульмени с говядиной и свининой» 0,43 Сфера ТМ «Горячая штучка»</t>
        </is>
      </c>
      <c r="N95" s="365" t="n"/>
      <c r="O95" s="365" t="n"/>
      <c r="P95" s="365" t="n"/>
      <c r="Q95" s="331" t="n"/>
      <c r="R95" s="40" t="inlineStr"/>
      <c r="S95" s="40" t="inlineStr"/>
      <c r="T95" s="41" t="inlineStr">
        <is>
          <t>кор</t>
        </is>
      </c>
      <c r="U95" s="366" t="n">
        <v>19</v>
      </c>
      <c r="V95" s="367">
        <f>IFERROR(IF(U95="","",U95),"")</f>
        <v/>
      </c>
      <c r="W95" s="42">
        <f>IFERROR(IF(U95="","",U95*0.0155),"")</f>
        <v/>
      </c>
      <c r="X95" s="69" t="inlineStr"/>
      <c r="Y95" s="70" t="inlineStr"/>
      <c r="AC95" s="74" t="n"/>
      <c r="AZ95" s="108" t="inlineStr">
        <is>
          <t>ЗПФ</t>
        </is>
      </c>
    </row>
    <row r="96" ht="27" customHeight="1">
      <c r="A96" s="64" t="inlineStr">
        <is>
          <t>SU002627</t>
        </is>
      </c>
      <c r="B96" s="64" t="inlineStr">
        <is>
          <t>P003686</t>
        </is>
      </c>
      <c r="C96" s="37" t="n">
        <v>4301070976</v>
      </c>
      <c r="D96" s="222" t="n">
        <v>4607111034144</v>
      </c>
      <c r="E96" s="331" t="n"/>
      <c r="F96" s="363" t="n">
        <v>0.9</v>
      </c>
      <c r="G96" s="38" t="n">
        <v>8</v>
      </c>
      <c r="H96" s="363" t="n">
        <v>7.2</v>
      </c>
      <c r="I96" s="363" t="n">
        <v>7.486</v>
      </c>
      <c r="J96" s="38" t="n">
        <v>84</v>
      </c>
      <c r="K96" s="39" t="inlineStr">
        <is>
          <t>МГ</t>
        </is>
      </c>
      <c r="L96" s="38" t="n">
        <v>180</v>
      </c>
      <c r="M96" s="404" t="inlineStr">
        <is>
          <t>Пельмени «Бульмени с говядиной и свининой» 0,9 Сфера ТМ «Горячая штучка»</t>
        </is>
      </c>
      <c r="N96" s="365" t="n"/>
      <c r="O96" s="365" t="n"/>
      <c r="P96" s="365" t="n"/>
      <c r="Q96" s="331" t="n"/>
      <c r="R96" s="40" t="inlineStr"/>
      <c r="S96" s="40" t="inlineStr"/>
      <c r="T96" s="41" t="inlineStr">
        <is>
          <t>кор</t>
        </is>
      </c>
      <c r="U96" s="366" t="n">
        <v>117</v>
      </c>
      <c r="V96" s="367">
        <f>IFERROR(IF(U96="","",U96),"")</f>
        <v/>
      </c>
      <c r="W96" s="42">
        <f>IFERROR(IF(U96="","",U96*0.0155),"")</f>
        <v/>
      </c>
      <c r="X96" s="69" t="inlineStr"/>
      <c r="Y96" s="70" t="inlineStr"/>
      <c r="AC96" s="74" t="n"/>
      <c r="AZ96" s="109" t="inlineStr">
        <is>
          <t>ЗПФ</t>
        </is>
      </c>
    </row>
    <row r="97" ht="27" customHeight="1">
      <c r="A97" s="64" t="inlineStr">
        <is>
          <t>SU002622</t>
        </is>
      </c>
      <c r="B97" s="64" t="inlineStr">
        <is>
          <t>P003683</t>
        </is>
      </c>
      <c r="C97" s="37" t="n">
        <v>4301070973</v>
      </c>
      <c r="D97" s="222" t="n">
        <v>4607111033987</v>
      </c>
      <c r="E97" s="331" t="n"/>
      <c r="F97" s="363" t="n">
        <v>0.43</v>
      </c>
      <c r="G97" s="38" t="n">
        <v>16</v>
      </c>
      <c r="H97" s="363" t="n">
        <v>6.88</v>
      </c>
      <c r="I97" s="363" t="n">
        <v>7.1996</v>
      </c>
      <c r="J97" s="38" t="n">
        <v>84</v>
      </c>
      <c r="K97" s="39" t="inlineStr">
        <is>
          <t>МГ</t>
        </is>
      </c>
      <c r="L97" s="38" t="n">
        <v>180</v>
      </c>
      <c r="M97" s="405" t="inlineStr">
        <is>
          <t>Пельмени «Бульмени со сливочным маслом» 0,43 Сфера ТМ «Горячая штучка»</t>
        </is>
      </c>
      <c r="N97" s="365" t="n"/>
      <c r="O97" s="365" t="n"/>
      <c r="P97" s="365" t="n"/>
      <c r="Q97" s="331" t="n"/>
      <c r="R97" s="40" t="inlineStr"/>
      <c r="S97" s="40" t="inlineStr"/>
      <c r="T97" s="41" t="inlineStr">
        <is>
          <t>кор</t>
        </is>
      </c>
      <c r="U97" s="366" t="n">
        <v>13</v>
      </c>
      <c r="V97" s="367">
        <f>IFERROR(IF(U97="","",U97),"")</f>
        <v/>
      </c>
      <c r="W97" s="42">
        <f>IFERROR(IF(U97="","",U97*0.0155),"")</f>
        <v/>
      </c>
      <c r="X97" s="69" t="inlineStr"/>
      <c r="Y97" s="70" t="inlineStr"/>
      <c r="AC97" s="74" t="n"/>
      <c r="AZ97" s="110" t="inlineStr">
        <is>
          <t>ЗПФ</t>
        </is>
      </c>
    </row>
    <row r="98" ht="27" customHeight="1">
      <c r="A98" s="64" t="inlineStr">
        <is>
          <t>SU002623</t>
        </is>
      </c>
      <c r="B98" s="64" t="inlineStr">
        <is>
          <t>P003684</t>
        </is>
      </c>
      <c r="C98" s="37" t="n">
        <v>4301070974</v>
      </c>
      <c r="D98" s="222" t="n">
        <v>4607111034151</v>
      </c>
      <c r="E98" s="331" t="n"/>
      <c r="F98" s="363" t="n">
        <v>0.9</v>
      </c>
      <c r="G98" s="38" t="n">
        <v>8</v>
      </c>
      <c r="H98" s="363" t="n">
        <v>7.2</v>
      </c>
      <c r="I98" s="363" t="n">
        <v>7.486</v>
      </c>
      <c r="J98" s="38" t="n">
        <v>84</v>
      </c>
      <c r="K98" s="39" t="inlineStr">
        <is>
          <t>МГ</t>
        </is>
      </c>
      <c r="L98" s="38" t="n">
        <v>180</v>
      </c>
      <c r="M98" s="406" t="inlineStr">
        <is>
          <t>Пельмени «Бульмени со сливочным маслом» 0,9 Сфера ТМ «Горячая штучка»</t>
        </is>
      </c>
      <c r="N98" s="365" t="n"/>
      <c r="O98" s="365" t="n"/>
      <c r="P98" s="365" t="n"/>
      <c r="Q98" s="331" t="n"/>
      <c r="R98" s="40" t="inlineStr"/>
      <c r="S98" s="40" t="inlineStr"/>
      <c r="T98" s="41" t="inlineStr">
        <is>
          <t>кор</t>
        </is>
      </c>
      <c r="U98" s="366" t="n">
        <v>114</v>
      </c>
      <c r="V98" s="367">
        <f>IFERROR(IF(U98="","",U98),"")</f>
        <v/>
      </c>
      <c r="W98" s="42">
        <f>IFERROR(IF(U98="","",U98*0.0155),"")</f>
        <v/>
      </c>
      <c r="X98" s="69" t="inlineStr"/>
      <c r="Y98" s="70" t="inlineStr"/>
      <c r="AC98" s="74" t="n"/>
      <c r="AZ98" s="111" t="inlineStr">
        <is>
          <t>ЗПФ</t>
        </is>
      </c>
    </row>
    <row r="99">
      <c r="A99" s="230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368" t="n"/>
      <c r="M99" s="369" t="inlineStr">
        <is>
          <t>Итого</t>
        </is>
      </c>
      <c r="N99" s="339" t="n"/>
      <c r="O99" s="339" t="n"/>
      <c r="P99" s="339" t="n"/>
      <c r="Q99" s="339" t="n"/>
      <c r="R99" s="339" t="n"/>
      <c r="S99" s="340" t="n"/>
      <c r="T99" s="43" t="inlineStr">
        <is>
          <t>кор</t>
        </is>
      </c>
      <c r="U99" s="370">
        <f>IFERROR(SUM(U95:U98),"0")</f>
        <v/>
      </c>
      <c r="V99" s="370">
        <f>IFERROR(SUM(V95:V98),"0")</f>
        <v/>
      </c>
      <c r="W99" s="370">
        <f>IFERROR(IF(W95="",0,W95),"0")+IFERROR(IF(W96="",0,W96),"0")+IFERROR(IF(W97="",0,W97),"0")+IFERROR(IF(W98="",0,W98),"0")</f>
        <v/>
      </c>
      <c r="X99" s="371" t="n"/>
      <c r="Y99" s="371" t="n"/>
    </row>
    <row r="100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368" t="n"/>
      <c r="M100" s="369" t="inlineStr">
        <is>
          <t>Итого</t>
        </is>
      </c>
      <c r="N100" s="339" t="n"/>
      <c r="O100" s="339" t="n"/>
      <c r="P100" s="339" t="n"/>
      <c r="Q100" s="339" t="n"/>
      <c r="R100" s="339" t="n"/>
      <c r="S100" s="340" t="n"/>
      <c r="T100" s="43" t="inlineStr">
        <is>
          <t>кг</t>
        </is>
      </c>
      <c r="U100" s="370">
        <f>IFERROR(SUMPRODUCT(U95:U98*H95:H98),"0")</f>
        <v/>
      </c>
      <c r="V100" s="370">
        <f>IFERROR(SUMPRODUCT(V95:V98*H95:H98),"0")</f>
        <v/>
      </c>
      <c r="W100" s="43" t="n"/>
      <c r="X100" s="371" t="n"/>
      <c r="Y100" s="371" t="n"/>
    </row>
    <row r="101" ht="16.5" customHeight="1">
      <c r="A101" s="220" t="inlineStr">
        <is>
          <t>Чебупицца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220" t="n"/>
      <c r="Y101" s="220" t="n"/>
    </row>
    <row r="102" ht="14.25" customHeight="1">
      <c r="A102" s="221" t="inlineStr">
        <is>
          <t>Снеки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221" t="n"/>
      <c r="Y102" s="221" t="n"/>
    </row>
    <row r="103" ht="27" customHeight="1">
      <c r="A103" s="64" t="inlineStr">
        <is>
          <t>SU002562</t>
        </is>
      </c>
      <c r="B103" s="64" t="inlineStr">
        <is>
          <t>P003286</t>
        </is>
      </c>
      <c r="C103" s="37" t="n">
        <v>4301135162</v>
      </c>
      <c r="D103" s="222" t="n">
        <v>4607111034014</v>
      </c>
      <c r="E103" s="331" t="n"/>
      <c r="F103" s="363" t="n">
        <v>0.25</v>
      </c>
      <c r="G103" s="38" t="n">
        <v>12</v>
      </c>
      <c r="H103" s="363" t="n">
        <v>3</v>
      </c>
      <c r="I103" s="363" t="n">
        <v>3.7036</v>
      </c>
      <c r="J103" s="38" t="n">
        <v>70</v>
      </c>
      <c r="K103" s="39" t="inlineStr">
        <is>
          <t>МГ</t>
        </is>
      </c>
      <c r="L103" s="38" t="n">
        <v>180</v>
      </c>
      <c r="M103" s="407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/>
      </c>
      <c r="N103" s="365" t="n"/>
      <c r="O103" s="365" t="n"/>
      <c r="P103" s="365" t="n"/>
      <c r="Q103" s="331" t="n"/>
      <c r="R103" s="40" t="inlineStr"/>
      <c r="S103" s="40" t="inlineStr"/>
      <c r="T103" s="41" t="inlineStr">
        <is>
          <t>кор</t>
        </is>
      </c>
      <c r="U103" s="366" t="n">
        <v>28</v>
      </c>
      <c r="V103" s="367">
        <f>IFERROR(IF(U103="","",U103),"")</f>
        <v/>
      </c>
      <c r="W103" s="42">
        <f>IFERROR(IF(U103="","",U103*0.01788),"")</f>
        <v/>
      </c>
      <c r="X103" s="69" t="inlineStr"/>
      <c r="Y103" s="70" t="inlineStr"/>
      <c r="AC103" s="74" t="n"/>
      <c r="AZ103" s="112" t="inlineStr">
        <is>
          <t>ПГП</t>
        </is>
      </c>
    </row>
    <row r="104" ht="27" customHeight="1">
      <c r="A104" s="64" t="inlineStr">
        <is>
          <t>SU002561</t>
        </is>
      </c>
      <c r="B104" s="64" t="inlineStr">
        <is>
          <t>P002884</t>
        </is>
      </c>
      <c r="C104" s="37" t="n">
        <v>4301135117</v>
      </c>
      <c r="D104" s="222" t="n">
        <v>4607111033994</v>
      </c>
      <c r="E104" s="331" t="n"/>
      <c r="F104" s="363" t="n">
        <v>0.25</v>
      </c>
      <c r="G104" s="38" t="n">
        <v>12</v>
      </c>
      <c r="H104" s="363" t="n">
        <v>3</v>
      </c>
      <c r="I104" s="363" t="n">
        <v>3.7036</v>
      </c>
      <c r="J104" s="38" t="n">
        <v>70</v>
      </c>
      <c r="K104" s="39" t="inlineStr">
        <is>
          <t>МГ</t>
        </is>
      </c>
      <c r="L104" s="38" t="n">
        <v>180</v>
      </c>
      <c r="M104" s="408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N104" s="365" t="n"/>
      <c r="O104" s="365" t="n"/>
      <c r="P104" s="365" t="n"/>
      <c r="Q104" s="331" t="n"/>
      <c r="R104" s="40" t="inlineStr"/>
      <c r="S104" s="40" t="inlineStr"/>
      <c r="T104" s="41" t="inlineStr">
        <is>
          <t>кор</t>
        </is>
      </c>
      <c r="U104" s="366" t="n">
        <v>0</v>
      </c>
      <c r="V104" s="367">
        <f>IFERROR(IF(U104="","",U104),"")</f>
        <v/>
      </c>
      <c r="W104" s="42">
        <f>IFERROR(IF(U104="","",U104*0.01788),"")</f>
        <v/>
      </c>
      <c r="X104" s="69" t="inlineStr"/>
      <c r="Y104" s="70" t="inlineStr"/>
      <c r="AC104" s="74" t="n"/>
      <c r="AZ104" s="113" t="inlineStr">
        <is>
          <t>ПГП</t>
        </is>
      </c>
    </row>
    <row r="105">
      <c r="A105" s="230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368" t="n"/>
      <c r="M105" s="369" t="inlineStr">
        <is>
          <t>Итого</t>
        </is>
      </c>
      <c r="N105" s="339" t="n"/>
      <c r="O105" s="339" t="n"/>
      <c r="P105" s="339" t="n"/>
      <c r="Q105" s="339" t="n"/>
      <c r="R105" s="339" t="n"/>
      <c r="S105" s="340" t="n"/>
      <c r="T105" s="43" t="inlineStr">
        <is>
          <t>кор</t>
        </is>
      </c>
      <c r="U105" s="370">
        <f>IFERROR(SUM(U103:U104),"0")</f>
        <v/>
      </c>
      <c r="V105" s="370">
        <f>IFERROR(SUM(V103:V104),"0")</f>
        <v/>
      </c>
      <c r="W105" s="370">
        <f>IFERROR(IF(W103="",0,W103),"0")+IFERROR(IF(W104="",0,W104),"0")</f>
        <v/>
      </c>
      <c r="X105" s="371" t="n"/>
      <c r="Y105" s="371" t="n"/>
    </row>
    <row r="106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368" t="n"/>
      <c r="M106" s="369" t="inlineStr">
        <is>
          <t>Итого</t>
        </is>
      </c>
      <c r="N106" s="339" t="n"/>
      <c r="O106" s="339" t="n"/>
      <c r="P106" s="339" t="n"/>
      <c r="Q106" s="339" t="n"/>
      <c r="R106" s="339" t="n"/>
      <c r="S106" s="340" t="n"/>
      <c r="T106" s="43" t="inlineStr">
        <is>
          <t>кг</t>
        </is>
      </c>
      <c r="U106" s="370">
        <f>IFERROR(SUMPRODUCT(U103:U104*H103:H104),"0")</f>
        <v/>
      </c>
      <c r="V106" s="370">
        <f>IFERROR(SUMPRODUCT(V103:V104*H103:H104),"0")</f>
        <v/>
      </c>
      <c r="W106" s="43" t="n"/>
      <c r="X106" s="371" t="n"/>
      <c r="Y106" s="371" t="n"/>
    </row>
    <row r="107" ht="16.5" customHeight="1">
      <c r="A107" s="220" t="inlineStr">
        <is>
          <t>Хотстеры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220" t="n"/>
      <c r="Y107" s="220" t="n"/>
    </row>
    <row r="108" ht="14.25" customHeight="1">
      <c r="A108" s="221" t="inlineStr">
        <is>
          <t>Снеки</t>
        </is>
      </c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221" t="n"/>
      <c r="Y108" s="221" t="n"/>
    </row>
    <row r="109" ht="16.5" customHeight="1">
      <c r="A109" s="64" t="inlineStr">
        <is>
          <t>SU002565</t>
        </is>
      </c>
      <c r="B109" s="64" t="inlineStr">
        <is>
          <t>P002877</t>
        </is>
      </c>
      <c r="C109" s="37" t="n">
        <v>4301135112</v>
      </c>
      <c r="D109" s="222" t="n">
        <v>4607111034199</v>
      </c>
      <c r="E109" s="331" t="n"/>
      <c r="F109" s="363" t="n">
        <v>0.25</v>
      </c>
      <c r="G109" s="38" t="n">
        <v>12</v>
      </c>
      <c r="H109" s="363" t="n">
        <v>3</v>
      </c>
      <c r="I109" s="363" t="n">
        <v>3.7036</v>
      </c>
      <c r="J109" s="38" t="n">
        <v>70</v>
      </c>
      <c r="K109" s="39" t="inlineStr">
        <is>
          <t>МГ</t>
        </is>
      </c>
      <c r="L109" s="38" t="n">
        <v>180</v>
      </c>
      <c r="M109" s="409">
        <f>HYPERLINK("https://abi.ru/products/Замороженные/Горячая штучка/Хотстеры/Снеки/P002877/","Хотстеры Хотстеры Фикс.вес 0,25 Лоток Горячая штучка")</f>
        <v/>
      </c>
      <c r="N109" s="365" t="n"/>
      <c r="O109" s="365" t="n"/>
      <c r="P109" s="365" t="n"/>
      <c r="Q109" s="331" t="n"/>
      <c r="R109" s="40" t="inlineStr"/>
      <c r="S109" s="40" t="inlineStr"/>
      <c r="T109" s="41" t="inlineStr">
        <is>
          <t>кор</t>
        </is>
      </c>
      <c r="U109" s="366" t="n">
        <v>47</v>
      </c>
      <c r="V109" s="367">
        <f>IFERROR(IF(U109="","",U109),"")</f>
        <v/>
      </c>
      <c r="W109" s="42">
        <f>IFERROR(IF(U109="","",U109*0.01788),"")</f>
        <v/>
      </c>
      <c r="X109" s="69" t="inlineStr"/>
      <c r="Y109" s="70" t="inlineStr"/>
      <c r="AC109" s="74" t="n"/>
      <c r="AZ109" s="114" t="inlineStr">
        <is>
          <t>ПГП</t>
        </is>
      </c>
    </row>
    <row r="110">
      <c r="A110" s="230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368" t="n"/>
      <c r="M110" s="369" t="inlineStr">
        <is>
          <t>Итого</t>
        </is>
      </c>
      <c r="N110" s="339" t="n"/>
      <c r="O110" s="339" t="n"/>
      <c r="P110" s="339" t="n"/>
      <c r="Q110" s="339" t="n"/>
      <c r="R110" s="339" t="n"/>
      <c r="S110" s="340" t="n"/>
      <c r="T110" s="43" t="inlineStr">
        <is>
          <t>кор</t>
        </is>
      </c>
      <c r="U110" s="370">
        <f>IFERROR(SUM(U109:U109),"0")</f>
        <v/>
      </c>
      <c r="V110" s="370">
        <f>IFERROR(SUM(V109:V109),"0")</f>
        <v/>
      </c>
      <c r="W110" s="370">
        <f>IFERROR(IF(W109="",0,W109),"0")</f>
        <v/>
      </c>
      <c r="X110" s="371" t="n"/>
      <c r="Y110" s="371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368" t="n"/>
      <c r="M111" s="369" t="inlineStr">
        <is>
          <t>Итого</t>
        </is>
      </c>
      <c r="N111" s="339" t="n"/>
      <c r="O111" s="339" t="n"/>
      <c r="P111" s="339" t="n"/>
      <c r="Q111" s="339" t="n"/>
      <c r="R111" s="339" t="n"/>
      <c r="S111" s="340" t="n"/>
      <c r="T111" s="43" t="inlineStr">
        <is>
          <t>кг</t>
        </is>
      </c>
      <c r="U111" s="370">
        <f>IFERROR(SUMPRODUCT(U109:U109*H109:H109),"0")</f>
        <v/>
      </c>
      <c r="V111" s="370">
        <f>IFERROR(SUMPRODUCT(V109:V109*H109:H109),"0")</f>
        <v/>
      </c>
      <c r="W111" s="43" t="n"/>
      <c r="X111" s="371" t="n"/>
      <c r="Y111" s="371" t="n"/>
    </row>
    <row r="112" ht="16.5" customHeight="1">
      <c r="A112" s="220" t="inlineStr">
        <is>
          <t>Круггетсы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220" t="n"/>
      <c r="Y112" s="220" t="n"/>
    </row>
    <row r="113" ht="14.25" customHeight="1">
      <c r="A113" s="221" t="inlineStr">
        <is>
          <t>Снеки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221" t="n"/>
      <c r="Y113" s="221" t="n"/>
    </row>
    <row r="114" ht="27" customHeight="1">
      <c r="A114" s="64" t="inlineStr">
        <is>
          <t>SU001950</t>
        </is>
      </c>
      <c r="B114" s="64" t="inlineStr">
        <is>
          <t>P001982</t>
        </is>
      </c>
      <c r="C114" s="37" t="n">
        <v>4301130006</v>
      </c>
      <c r="D114" s="222" t="n">
        <v>4607111034670</v>
      </c>
      <c r="E114" s="331" t="n"/>
      <c r="F114" s="363" t="n">
        <v>3</v>
      </c>
      <c r="G114" s="38" t="n">
        <v>1</v>
      </c>
      <c r="H114" s="363" t="n">
        <v>3</v>
      </c>
      <c r="I114" s="363" t="n">
        <v>3.195</v>
      </c>
      <c r="J114" s="38" t="n">
        <v>126</v>
      </c>
      <c r="K114" s="39" t="inlineStr">
        <is>
          <t>МГ</t>
        </is>
      </c>
      <c r="L114" s="38" t="n">
        <v>180</v>
      </c>
      <c r="M114" s="410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N114" s="365" t="n"/>
      <c r="O114" s="365" t="n"/>
      <c r="P114" s="365" t="n"/>
      <c r="Q114" s="331" t="n"/>
      <c r="R114" s="40" t="inlineStr"/>
      <c r="S114" s="40" t="inlineStr"/>
      <c r="T114" s="41" t="inlineStr">
        <is>
          <t>кор</t>
        </is>
      </c>
      <c r="U114" s="366" t="n">
        <v>0</v>
      </c>
      <c r="V114" s="367">
        <f>IFERROR(IF(U114="","",U114),"")</f>
        <v/>
      </c>
      <c r="W114" s="42">
        <f>IFERROR(IF(U114="","",U114*0.00936),"")</f>
        <v/>
      </c>
      <c r="X114" s="69" t="inlineStr">
        <is>
          <t>ВЕСОВОЙ ФОРМАТ</t>
        </is>
      </c>
      <c r="Y114" s="70" t="inlineStr"/>
      <c r="AC114" s="74" t="n"/>
      <c r="AZ114" s="115" t="inlineStr">
        <is>
          <t>ПГП</t>
        </is>
      </c>
    </row>
    <row r="115" ht="27" customHeight="1">
      <c r="A115" s="64" t="inlineStr">
        <is>
          <t>SU001949</t>
        </is>
      </c>
      <c r="B115" s="64" t="inlineStr">
        <is>
          <t>P001980</t>
        </is>
      </c>
      <c r="C115" s="37" t="n">
        <v>4301130003</v>
      </c>
      <c r="D115" s="222" t="n">
        <v>4607111034687</v>
      </c>
      <c r="E115" s="331" t="n"/>
      <c r="F115" s="363" t="n">
        <v>3</v>
      </c>
      <c r="G115" s="38" t="n">
        <v>1</v>
      </c>
      <c r="H115" s="363" t="n">
        <v>3</v>
      </c>
      <c r="I115" s="363" t="n">
        <v>3.195</v>
      </c>
      <c r="J115" s="38" t="n">
        <v>126</v>
      </c>
      <c r="K115" s="39" t="inlineStr">
        <is>
          <t>МГ</t>
        </is>
      </c>
      <c r="L115" s="38" t="n">
        <v>180</v>
      </c>
      <c r="M115" s="411" t="inlineStr">
        <is>
          <t>Круггетсы сочные Хорека Весовые Пакет 3 кг Горячая штучка</t>
        </is>
      </c>
      <c r="N115" s="365" t="n"/>
      <c r="O115" s="365" t="n"/>
      <c r="P115" s="365" t="n"/>
      <c r="Q115" s="331" t="n"/>
      <c r="R115" s="40" t="inlineStr"/>
      <c r="S115" s="40" t="inlineStr"/>
      <c r="T115" s="41" t="inlineStr">
        <is>
          <t>кор</t>
        </is>
      </c>
      <c r="U115" s="366" t="n">
        <v>0</v>
      </c>
      <c r="V115" s="367">
        <f>IFERROR(IF(U115="","",U115),"")</f>
        <v/>
      </c>
      <c r="W115" s="42">
        <f>IFERROR(IF(U115="","",U115*0.00936),"")</f>
        <v/>
      </c>
      <c r="X115" s="69" t="inlineStr">
        <is>
          <t>ВЕСОВОЙ ФОРМАТ</t>
        </is>
      </c>
      <c r="Y115" s="70" t="inlineStr"/>
      <c r="AC115" s="74" t="n"/>
      <c r="AZ115" s="116" t="inlineStr">
        <is>
          <t>ПГП</t>
        </is>
      </c>
    </row>
    <row r="116" ht="27" customHeight="1">
      <c r="A116" s="64" t="inlineStr">
        <is>
          <t>SU002566</t>
        </is>
      </c>
      <c r="B116" s="64" t="inlineStr">
        <is>
          <t>P002880</t>
        </is>
      </c>
      <c r="C116" s="37" t="n">
        <v>4301135115</v>
      </c>
      <c r="D116" s="222" t="n">
        <v>4607111034380</v>
      </c>
      <c r="E116" s="331" t="n"/>
      <c r="F116" s="363" t="n">
        <v>0.25</v>
      </c>
      <c r="G116" s="38" t="n">
        <v>12</v>
      </c>
      <c r="H116" s="363" t="n">
        <v>3</v>
      </c>
      <c r="I116" s="363" t="n">
        <v>3.7036</v>
      </c>
      <c r="J116" s="38" t="n">
        <v>70</v>
      </c>
      <c r="K116" s="39" t="inlineStr">
        <is>
          <t>МГ</t>
        </is>
      </c>
      <c r="L116" s="38" t="n">
        <v>180</v>
      </c>
      <c r="M116" s="412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/>
      </c>
      <c r="N116" s="365" t="n"/>
      <c r="O116" s="365" t="n"/>
      <c r="P116" s="365" t="n"/>
      <c r="Q116" s="331" t="n"/>
      <c r="R116" s="40" t="inlineStr"/>
      <c r="S116" s="40" t="inlineStr"/>
      <c r="T116" s="41" t="inlineStr">
        <is>
          <t>кор</t>
        </is>
      </c>
      <c r="U116" s="366" t="n">
        <v>0</v>
      </c>
      <c r="V116" s="367">
        <f>IFERROR(IF(U116="","",U116),"")</f>
        <v/>
      </c>
      <c r="W116" s="42">
        <f>IFERROR(IF(U116="","",U116*0.01788),"")</f>
        <v/>
      </c>
      <c r="X116" s="69" t="inlineStr"/>
      <c r="Y116" s="70" t="inlineStr"/>
      <c r="AC116" s="74" t="n"/>
      <c r="AZ116" s="117" t="inlineStr">
        <is>
          <t>ПГП</t>
        </is>
      </c>
    </row>
    <row r="117" ht="27" customHeight="1">
      <c r="A117" s="64" t="inlineStr">
        <is>
          <t>SU002567</t>
        </is>
      </c>
      <c r="B117" s="64" t="inlineStr">
        <is>
          <t>P002879</t>
        </is>
      </c>
      <c r="C117" s="37" t="n">
        <v>4301135114</v>
      </c>
      <c r="D117" s="222" t="n">
        <v>4607111034397</v>
      </c>
      <c r="E117" s="331" t="n"/>
      <c r="F117" s="363" t="n">
        <v>0.25</v>
      </c>
      <c r="G117" s="38" t="n">
        <v>12</v>
      </c>
      <c r="H117" s="363" t="n">
        <v>3</v>
      </c>
      <c r="I117" s="363" t="n">
        <v>3.7036</v>
      </c>
      <c r="J117" s="38" t="n">
        <v>70</v>
      </c>
      <c r="K117" s="39" t="inlineStr">
        <is>
          <t>МГ</t>
        </is>
      </c>
      <c r="L117" s="38" t="n">
        <v>180</v>
      </c>
      <c r="M117" s="413">
        <f>HYPERLINK("https://abi.ru/products/Замороженные/Горячая штучка/Круггетсы/Снеки/P002879/","«Круггетсы Сочные» Фикс.вес 0,25 Лоток ТМ «Горячая штучка»")</f>
        <v/>
      </c>
      <c r="N117" s="365" t="n"/>
      <c r="O117" s="365" t="n"/>
      <c r="P117" s="365" t="n"/>
      <c r="Q117" s="331" t="n"/>
      <c r="R117" s="40" t="inlineStr"/>
      <c r="S117" s="40" t="inlineStr"/>
      <c r="T117" s="41" t="inlineStr">
        <is>
          <t>кор</t>
        </is>
      </c>
      <c r="U117" s="366" t="n">
        <v>0</v>
      </c>
      <c r="V117" s="367">
        <f>IFERROR(IF(U117="","",U117),"")</f>
        <v/>
      </c>
      <c r="W117" s="42">
        <f>IFERROR(IF(U117="","",U117*0.01788),"")</f>
        <v/>
      </c>
      <c r="X117" s="69" t="inlineStr"/>
      <c r="Y117" s="70" t="inlineStr"/>
      <c r="AC117" s="74" t="n"/>
      <c r="AZ117" s="118" t="inlineStr">
        <is>
          <t>ПГП</t>
        </is>
      </c>
    </row>
    <row r="118">
      <c r="A118" s="230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368" t="n"/>
      <c r="M118" s="369" t="inlineStr">
        <is>
          <t>Итого</t>
        </is>
      </c>
      <c r="N118" s="339" t="n"/>
      <c r="O118" s="339" t="n"/>
      <c r="P118" s="339" t="n"/>
      <c r="Q118" s="339" t="n"/>
      <c r="R118" s="339" t="n"/>
      <c r="S118" s="340" t="n"/>
      <c r="T118" s="43" t="inlineStr">
        <is>
          <t>кор</t>
        </is>
      </c>
      <c r="U118" s="370">
        <f>IFERROR(SUM(U114:U117),"0")</f>
        <v/>
      </c>
      <c r="V118" s="370">
        <f>IFERROR(SUM(V114:V117),"0")</f>
        <v/>
      </c>
      <c r="W118" s="370">
        <f>IFERROR(IF(W114="",0,W114),"0")+IFERROR(IF(W115="",0,W115),"0")+IFERROR(IF(W116="",0,W116),"0")+IFERROR(IF(W117="",0,W117),"0")</f>
        <v/>
      </c>
      <c r="X118" s="371" t="n"/>
      <c r="Y118" s="371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368" t="n"/>
      <c r="M119" s="369" t="inlineStr">
        <is>
          <t>Итого</t>
        </is>
      </c>
      <c r="N119" s="339" t="n"/>
      <c r="O119" s="339" t="n"/>
      <c r="P119" s="339" t="n"/>
      <c r="Q119" s="339" t="n"/>
      <c r="R119" s="339" t="n"/>
      <c r="S119" s="340" t="n"/>
      <c r="T119" s="43" t="inlineStr">
        <is>
          <t>кг</t>
        </is>
      </c>
      <c r="U119" s="370">
        <f>IFERROR(SUMPRODUCT(U114:U117*H114:H117),"0")</f>
        <v/>
      </c>
      <c r="V119" s="370">
        <f>IFERROR(SUMPRODUCT(V114:V117*H114:H117),"0")</f>
        <v/>
      </c>
      <c r="W119" s="43" t="n"/>
      <c r="X119" s="371" t="n"/>
      <c r="Y119" s="371" t="n"/>
    </row>
    <row r="120" ht="16.5" customHeight="1">
      <c r="A120" s="220" t="inlineStr">
        <is>
          <t>Пекерсы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220" t="n"/>
      <c r="Y120" s="220" t="n"/>
    </row>
    <row r="121" ht="14.25" customHeight="1">
      <c r="A121" s="221" t="inlineStr">
        <is>
          <t>Снеки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221" t="n"/>
      <c r="Y121" s="221" t="n"/>
    </row>
    <row r="122" ht="27" customHeight="1">
      <c r="A122" s="64" t="inlineStr">
        <is>
          <t>SU002669</t>
        </is>
      </c>
      <c r="B122" s="64" t="inlineStr">
        <is>
          <t>P003041</t>
        </is>
      </c>
      <c r="C122" s="37" t="n">
        <v>4301135134</v>
      </c>
      <c r="D122" s="222" t="n">
        <v>4607111035806</v>
      </c>
      <c r="E122" s="331" t="n"/>
      <c r="F122" s="363" t="n">
        <v>0.25</v>
      </c>
      <c r="G122" s="38" t="n">
        <v>12</v>
      </c>
      <c r="H122" s="363" t="n">
        <v>3</v>
      </c>
      <c r="I122" s="363" t="n">
        <v>3.7036</v>
      </c>
      <c r="J122" s="38" t="n">
        <v>70</v>
      </c>
      <c r="K122" s="39" t="inlineStr">
        <is>
          <t>МГ</t>
        </is>
      </c>
      <c r="L122" s="38" t="n">
        <v>180</v>
      </c>
      <c r="M122" s="414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N122" s="365" t="n"/>
      <c r="O122" s="365" t="n"/>
      <c r="P122" s="365" t="n"/>
      <c r="Q122" s="331" t="n"/>
      <c r="R122" s="40" t="inlineStr"/>
      <c r="S122" s="40" t="inlineStr"/>
      <c r="T122" s="41" t="inlineStr">
        <is>
          <t>кор</t>
        </is>
      </c>
      <c r="U122" s="366" t="n">
        <v>0</v>
      </c>
      <c r="V122" s="367">
        <f>IFERROR(IF(U122="","",U122),"")</f>
        <v/>
      </c>
      <c r="W122" s="42">
        <f>IFERROR(IF(U122="","",U122*0.01788),"")</f>
        <v/>
      </c>
      <c r="X122" s="69" t="inlineStr"/>
      <c r="Y122" s="70" t="inlineStr"/>
      <c r="AC122" s="74" t="n"/>
      <c r="AZ122" s="119" t="inlineStr">
        <is>
          <t>ПГП</t>
        </is>
      </c>
    </row>
    <row r="123">
      <c r="A123" s="230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368" t="n"/>
      <c r="M123" s="369" t="inlineStr">
        <is>
          <t>Итого</t>
        </is>
      </c>
      <c r="N123" s="339" t="n"/>
      <c r="O123" s="339" t="n"/>
      <c r="P123" s="339" t="n"/>
      <c r="Q123" s="339" t="n"/>
      <c r="R123" s="339" t="n"/>
      <c r="S123" s="340" t="n"/>
      <c r="T123" s="43" t="inlineStr">
        <is>
          <t>кор</t>
        </is>
      </c>
      <c r="U123" s="370">
        <f>IFERROR(SUM(U122:U122),"0")</f>
        <v/>
      </c>
      <c r="V123" s="370">
        <f>IFERROR(SUM(V122:V122),"0")</f>
        <v/>
      </c>
      <c r="W123" s="370">
        <f>IFERROR(IF(W122="",0,W122),"0")</f>
        <v/>
      </c>
      <c r="X123" s="371" t="n"/>
      <c r="Y123" s="371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368" t="n"/>
      <c r="M124" s="369" t="inlineStr">
        <is>
          <t>Итого</t>
        </is>
      </c>
      <c r="N124" s="339" t="n"/>
      <c r="O124" s="339" t="n"/>
      <c r="P124" s="339" t="n"/>
      <c r="Q124" s="339" t="n"/>
      <c r="R124" s="339" t="n"/>
      <c r="S124" s="340" t="n"/>
      <c r="T124" s="43" t="inlineStr">
        <is>
          <t>кг</t>
        </is>
      </c>
      <c r="U124" s="370">
        <f>IFERROR(SUMPRODUCT(U122:U122*H122:H122),"0")</f>
        <v/>
      </c>
      <c r="V124" s="370">
        <f>IFERROR(SUMPRODUCT(V122:V122*H122:H122),"0")</f>
        <v/>
      </c>
      <c r="W124" s="43" t="n"/>
      <c r="X124" s="371" t="n"/>
      <c r="Y124" s="371" t="n"/>
    </row>
    <row r="125" ht="16.5" customHeight="1">
      <c r="A125" s="220" t="inlineStr">
        <is>
          <t>Супермени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220" t="n"/>
      <c r="Y125" s="220" t="n"/>
    </row>
    <row r="126" ht="14.25" customHeight="1">
      <c r="A126" s="221" t="inlineStr">
        <is>
          <t>Пельмени ПГП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221" t="n"/>
      <c r="Y126" s="221" t="n"/>
    </row>
    <row r="127" ht="27" customHeight="1">
      <c r="A127" s="64" t="inlineStr">
        <is>
          <t>SU002008</t>
        </is>
      </c>
      <c r="B127" s="64" t="inlineStr">
        <is>
          <t>P002098</t>
        </is>
      </c>
      <c r="C127" s="37" t="n">
        <v>4301070768</v>
      </c>
      <c r="D127" s="222" t="n">
        <v>4607111035639</v>
      </c>
      <c r="E127" s="331" t="n"/>
      <c r="F127" s="363" t="n">
        <v>0.2</v>
      </c>
      <c r="G127" s="38" t="n">
        <v>12</v>
      </c>
      <c r="H127" s="363" t="n">
        <v>2.4</v>
      </c>
      <c r="I127" s="363" t="n">
        <v>3.13</v>
      </c>
      <c r="J127" s="38" t="n">
        <v>48</v>
      </c>
      <c r="K127" s="39" t="inlineStr">
        <is>
          <t>МГ</t>
        </is>
      </c>
      <c r="L127" s="38" t="n">
        <v>180</v>
      </c>
      <c r="M127" s="415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N127" s="365" t="n"/>
      <c r="O127" s="365" t="n"/>
      <c r="P127" s="365" t="n"/>
      <c r="Q127" s="331" t="n"/>
      <c r="R127" s="40" t="inlineStr"/>
      <c r="S127" s="40" t="inlineStr"/>
      <c r="T127" s="41" t="inlineStr">
        <is>
          <t>кор</t>
        </is>
      </c>
      <c r="U127" s="366" t="n">
        <v>0</v>
      </c>
      <c r="V127" s="367">
        <f>IFERROR(IF(U127="","",U127),"")</f>
        <v/>
      </c>
      <c r="W127" s="42">
        <f>IFERROR(IF(U127="","",U127*0.01786),"")</f>
        <v/>
      </c>
      <c r="X127" s="69" t="inlineStr"/>
      <c r="Y127" s="70" t="inlineStr"/>
      <c r="AC127" s="74" t="n"/>
      <c r="AZ127" s="120" t="inlineStr">
        <is>
          <t>ПГП</t>
        </is>
      </c>
    </row>
    <row r="128" ht="27" customHeight="1">
      <c r="A128" s="64" t="inlineStr">
        <is>
          <t>SU002009</t>
        </is>
      </c>
      <c r="B128" s="64" t="inlineStr">
        <is>
          <t>P002099</t>
        </is>
      </c>
      <c r="C128" s="37" t="n">
        <v>4301070769</v>
      </c>
      <c r="D128" s="222" t="n">
        <v>4607111035646</v>
      </c>
      <c r="E128" s="331" t="n"/>
      <c r="F128" s="363" t="n">
        <v>0.2</v>
      </c>
      <c r="G128" s="38" t="n">
        <v>12</v>
      </c>
      <c r="H128" s="363" t="n">
        <v>2.4</v>
      </c>
      <c r="I128" s="363" t="n">
        <v>3.13</v>
      </c>
      <c r="J128" s="38" t="n">
        <v>48</v>
      </c>
      <c r="K128" s="39" t="inlineStr">
        <is>
          <t>МГ</t>
        </is>
      </c>
      <c r="L128" s="38" t="n">
        <v>180</v>
      </c>
      <c r="M128" s="416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/>
      </c>
      <c r="N128" s="365" t="n"/>
      <c r="O128" s="365" t="n"/>
      <c r="P128" s="365" t="n"/>
      <c r="Q128" s="331" t="n"/>
      <c r="R128" s="40" t="inlineStr"/>
      <c r="S128" s="40" t="inlineStr"/>
      <c r="T128" s="41" t="inlineStr">
        <is>
          <t>кор</t>
        </is>
      </c>
      <c r="U128" s="366" t="n">
        <v>0</v>
      </c>
      <c r="V128" s="367">
        <f>IFERROR(IF(U128="","",U128),"")</f>
        <v/>
      </c>
      <c r="W128" s="42">
        <f>IFERROR(IF(U128="","",U128*0.01786),"")</f>
        <v/>
      </c>
      <c r="X128" s="69" t="inlineStr"/>
      <c r="Y128" s="70" t="inlineStr"/>
      <c r="AC128" s="74" t="n"/>
      <c r="AZ128" s="121" t="inlineStr">
        <is>
          <t>ПГП</t>
        </is>
      </c>
    </row>
    <row r="129">
      <c r="A129" s="230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368" t="n"/>
      <c r="M129" s="369" t="inlineStr">
        <is>
          <t>Итого</t>
        </is>
      </c>
      <c r="N129" s="339" t="n"/>
      <c r="O129" s="339" t="n"/>
      <c r="P129" s="339" t="n"/>
      <c r="Q129" s="339" t="n"/>
      <c r="R129" s="339" t="n"/>
      <c r="S129" s="340" t="n"/>
      <c r="T129" s="43" t="inlineStr">
        <is>
          <t>кор</t>
        </is>
      </c>
      <c r="U129" s="370">
        <f>IFERROR(SUM(U127:U128),"0")</f>
        <v/>
      </c>
      <c r="V129" s="370">
        <f>IFERROR(SUM(V127:V128),"0")</f>
        <v/>
      </c>
      <c r="W129" s="370">
        <f>IFERROR(IF(W127="",0,W127),"0")+IFERROR(IF(W128="",0,W128),"0")</f>
        <v/>
      </c>
      <c r="X129" s="371" t="n"/>
      <c r="Y129" s="371" t="n"/>
    </row>
    <row r="130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368" t="n"/>
      <c r="M130" s="369" t="inlineStr">
        <is>
          <t>Итого</t>
        </is>
      </c>
      <c r="N130" s="339" t="n"/>
      <c r="O130" s="339" t="n"/>
      <c r="P130" s="339" t="n"/>
      <c r="Q130" s="339" t="n"/>
      <c r="R130" s="339" t="n"/>
      <c r="S130" s="340" t="n"/>
      <c r="T130" s="43" t="inlineStr">
        <is>
          <t>кг</t>
        </is>
      </c>
      <c r="U130" s="370">
        <f>IFERROR(SUMPRODUCT(U127:U128*H127:H128),"0")</f>
        <v/>
      </c>
      <c r="V130" s="370">
        <f>IFERROR(SUMPRODUCT(V127:V128*H127:H128),"0")</f>
        <v/>
      </c>
      <c r="W130" s="43" t="n"/>
      <c r="X130" s="371" t="n"/>
      <c r="Y130" s="371" t="n"/>
    </row>
    <row r="131" ht="16.5" customHeight="1">
      <c r="A131" s="220" t="inlineStr">
        <is>
          <t>Чебуманы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220" t="n"/>
      <c r="Y131" s="220" t="n"/>
    </row>
    <row r="132" ht="14.25" customHeight="1">
      <c r="A132" s="221" t="inlineStr">
        <is>
          <t>Снеки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221" t="n"/>
      <c r="Y132" s="221" t="n"/>
    </row>
    <row r="133" ht="27" customHeight="1">
      <c r="A133" s="64" t="inlineStr">
        <is>
          <t>SU002289</t>
        </is>
      </c>
      <c r="B133" s="64" t="inlineStr">
        <is>
          <t>P002492</t>
        </is>
      </c>
      <c r="C133" s="37" t="n">
        <v>4301135026</v>
      </c>
      <c r="D133" s="222" t="n">
        <v>4607111036124</v>
      </c>
      <c r="E133" s="331" t="n"/>
      <c r="F133" s="363" t="n">
        <v>0.4</v>
      </c>
      <c r="G133" s="38" t="n">
        <v>12</v>
      </c>
      <c r="H133" s="363" t="n">
        <v>4.8</v>
      </c>
      <c r="I133" s="363" t="n">
        <v>5.126</v>
      </c>
      <c r="J133" s="38" t="n">
        <v>84</v>
      </c>
      <c r="K133" s="39" t="inlineStr">
        <is>
          <t>МГ</t>
        </is>
      </c>
      <c r="L133" s="38" t="n">
        <v>180</v>
      </c>
      <c r="M133" s="417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/>
      </c>
      <c r="N133" s="365" t="n"/>
      <c r="O133" s="365" t="n"/>
      <c r="P133" s="365" t="n"/>
      <c r="Q133" s="331" t="n"/>
      <c r="R133" s="40" t="inlineStr"/>
      <c r="S133" s="40" t="inlineStr"/>
      <c r="T133" s="41" t="inlineStr">
        <is>
          <t>кор</t>
        </is>
      </c>
      <c r="U133" s="366" t="n">
        <v>0</v>
      </c>
      <c r="V133" s="367">
        <f>IFERROR(IF(U133="","",U133),"")</f>
        <v/>
      </c>
      <c r="W133" s="42">
        <f>IFERROR(IF(U133="","",U133*0.0155),"")</f>
        <v/>
      </c>
      <c r="X133" s="69" t="inlineStr"/>
      <c r="Y133" s="70" t="inlineStr"/>
      <c r="AC133" s="74" t="n"/>
      <c r="AZ133" s="122" t="inlineStr">
        <is>
          <t>ПГП</t>
        </is>
      </c>
    </row>
    <row r="134">
      <c r="A134" s="230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368" t="n"/>
      <c r="M134" s="369" t="inlineStr">
        <is>
          <t>Итого</t>
        </is>
      </c>
      <c r="N134" s="339" t="n"/>
      <c r="O134" s="339" t="n"/>
      <c r="P134" s="339" t="n"/>
      <c r="Q134" s="339" t="n"/>
      <c r="R134" s="339" t="n"/>
      <c r="S134" s="340" t="n"/>
      <c r="T134" s="43" t="inlineStr">
        <is>
          <t>кор</t>
        </is>
      </c>
      <c r="U134" s="370">
        <f>IFERROR(SUM(U133:U133),"0")</f>
        <v/>
      </c>
      <c r="V134" s="370">
        <f>IFERROR(SUM(V133:V133),"0")</f>
        <v/>
      </c>
      <c r="W134" s="370">
        <f>IFERROR(IF(W133="",0,W133),"0")</f>
        <v/>
      </c>
      <c r="X134" s="371" t="n"/>
      <c r="Y134" s="371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368" t="n"/>
      <c r="M135" s="369" t="inlineStr">
        <is>
          <t>Итого</t>
        </is>
      </c>
      <c r="N135" s="339" t="n"/>
      <c r="O135" s="339" t="n"/>
      <c r="P135" s="339" t="n"/>
      <c r="Q135" s="339" t="n"/>
      <c r="R135" s="339" t="n"/>
      <c r="S135" s="340" t="n"/>
      <c r="T135" s="43" t="inlineStr">
        <is>
          <t>кг</t>
        </is>
      </c>
      <c r="U135" s="370">
        <f>IFERROR(SUMPRODUCT(U133:U133*H133:H133),"0")</f>
        <v/>
      </c>
      <c r="V135" s="370">
        <f>IFERROR(SUMPRODUCT(V133:V133*H133:H133),"0")</f>
        <v/>
      </c>
      <c r="W135" s="43" t="n"/>
      <c r="X135" s="371" t="n"/>
      <c r="Y135" s="371" t="n"/>
    </row>
    <row r="136" ht="27.75" customHeight="1">
      <c r="A136" s="219" t="inlineStr">
        <is>
          <t>No Name</t>
        </is>
      </c>
      <c r="B136" s="362" t="n"/>
      <c r="C136" s="362" t="n"/>
      <c r="D136" s="362" t="n"/>
      <c r="E136" s="362" t="n"/>
      <c r="F136" s="362" t="n"/>
      <c r="G136" s="362" t="n"/>
      <c r="H136" s="362" t="n"/>
      <c r="I136" s="362" t="n"/>
      <c r="J136" s="362" t="n"/>
      <c r="K136" s="362" t="n"/>
      <c r="L136" s="362" t="n"/>
      <c r="M136" s="362" t="n"/>
      <c r="N136" s="362" t="n"/>
      <c r="O136" s="362" t="n"/>
      <c r="P136" s="362" t="n"/>
      <c r="Q136" s="362" t="n"/>
      <c r="R136" s="362" t="n"/>
      <c r="S136" s="362" t="n"/>
      <c r="T136" s="362" t="n"/>
      <c r="U136" s="362" t="n"/>
      <c r="V136" s="362" t="n"/>
      <c r="W136" s="362" t="n"/>
      <c r="X136" s="55" t="n"/>
      <c r="Y136" s="55" t="n"/>
    </row>
    <row r="137" ht="16.5" customHeight="1">
      <c r="A137" s="220" t="inlineStr">
        <is>
          <t>No Name ПГП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220" t="n"/>
      <c r="Y137" s="220" t="n"/>
    </row>
    <row r="138" ht="14.25" customHeight="1">
      <c r="A138" s="221" t="inlineStr">
        <is>
          <t>Крылья</t>
        </is>
      </c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221" t="n"/>
      <c r="Y138" s="221" t="n"/>
    </row>
    <row r="139" ht="27" customHeight="1">
      <c r="A139" s="64" t="inlineStr">
        <is>
          <t>SU002975</t>
        </is>
      </c>
      <c r="B139" s="64" t="inlineStr">
        <is>
          <t>P003432</t>
        </is>
      </c>
      <c r="C139" s="37" t="n">
        <v>4301131018</v>
      </c>
      <c r="D139" s="222" t="n">
        <v>4607111037930</v>
      </c>
      <c r="E139" s="331" t="n"/>
      <c r="F139" s="363" t="n">
        <v>1.8</v>
      </c>
      <c r="G139" s="38" t="n">
        <v>1</v>
      </c>
      <c r="H139" s="363" t="n">
        <v>1.8</v>
      </c>
      <c r="I139" s="363" t="n">
        <v>1.915</v>
      </c>
      <c r="J139" s="38" t="n">
        <v>234</v>
      </c>
      <c r="K139" s="39" t="inlineStr">
        <is>
          <t>МГ</t>
        </is>
      </c>
      <c r="L139" s="38" t="n">
        <v>180</v>
      </c>
      <c r="M139" s="418">
        <f>HYPERLINK("https://abi.ru/products/Замороженные/No Name/No Name ПГП/Крылья/P003432/","Крылья «Хрустящие крылышки» Весовой ТМ «No Name»")</f>
        <v/>
      </c>
      <c r="N139" s="365" t="n"/>
      <c r="O139" s="365" t="n"/>
      <c r="P139" s="365" t="n"/>
      <c r="Q139" s="331" t="n"/>
      <c r="R139" s="40" t="inlineStr"/>
      <c r="S139" s="40" t="inlineStr"/>
      <c r="T139" s="41" t="inlineStr">
        <is>
          <t>кор</t>
        </is>
      </c>
      <c r="U139" s="366" t="n">
        <v>20</v>
      </c>
      <c r="V139" s="367">
        <f>IFERROR(IF(U139="","",U139),"")</f>
        <v/>
      </c>
      <c r="W139" s="42">
        <f>IFERROR(IF(U139="","",U139*0.00502),"")</f>
        <v/>
      </c>
      <c r="X139" s="69" t="inlineStr"/>
      <c r="Y139" s="70" t="inlineStr"/>
      <c r="AC139" s="74" t="n"/>
      <c r="AZ139" s="123" t="inlineStr">
        <is>
          <t>ПГП</t>
        </is>
      </c>
    </row>
    <row r="140">
      <c r="A140" s="230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368" t="n"/>
      <c r="M140" s="369" t="inlineStr">
        <is>
          <t>Итого</t>
        </is>
      </c>
      <c r="N140" s="339" t="n"/>
      <c r="O140" s="339" t="n"/>
      <c r="P140" s="339" t="n"/>
      <c r="Q140" s="339" t="n"/>
      <c r="R140" s="339" t="n"/>
      <c r="S140" s="340" t="n"/>
      <c r="T140" s="43" t="inlineStr">
        <is>
          <t>кор</t>
        </is>
      </c>
      <c r="U140" s="370">
        <f>IFERROR(SUM(U139:U139),"0")</f>
        <v/>
      </c>
      <c r="V140" s="370">
        <f>IFERROR(SUM(V139:V139),"0")</f>
        <v/>
      </c>
      <c r="W140" s="370">
        <f>IFERROR(IF(W139="",0,W139),"0")</f>
        <v/>
      </c>
      <c r="X140" s="371" t="n"/>
      <c r="Y140" s="371" t="n"/>
    </row>
    <row r="141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368" t="n"/>
      <c r="M141" s="369" t="inlineStr">
        <is>
          <t>Итого</t>
        </is>
      </c>
      <c r="N141" s="339" t="n"/>
      <c r="O141" s="339" t="n"/>
      <c r="P141" s="339" t="n"/>
      <c r="Q141" s="339" t="n"/>
      <c r="R141" s="339" t="n"/>
      <c r="S141" s="340" t="n"/>
      <c r="T141" s="43" t="inlineStr">
        <is>
          <t>кг</t>
        </is>
      </c>
      <c r="U141" s="370">
        <f>IFERROR(SUMPRODUCT(U139:U139*H139:H139),"0")</f>
        <v/>
      </c>
      <c r="V141" s="370">
        <f>IFERROR(SUMPRODUCT(V139:V139*H139:H139),"0")</f>
        <v/>
      </c>
      <c r="W141" s="43" t="n"/>
      <c r="X141" s="371" t="n"/>
      <c r="Y141" s="371" t="n"/>
    </row>
    <row r="142" ht="14.25" customHeight="1">
      <c r="A142" s="221" t="inlineStr">
        <is>
          <t>Наггетсы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221" t="n"/>
      <c r="Y142" s="221" t="n"/>
    </row>
    <row r="143" ht="27" customHeight="1">
      <c r="A143" s="64" t="inlineStr">
        <is>
          <t>SU002644</t>
        </is>
      </c>
      <c r="B143" s="64" t="inlineStr">
        <is>
          <t>P003016</t>
        </is>
      </c>
      <c r="C143" s="37" t="n">
        <v>4301132052</v>
      </c>
      <c r="D143" s="222" t="n">
        <v>4607111036872</v>
      </c>
      <c r="E143" s="331" t="n"/>
      <c r="F143" s="363" t="n">
        <v>1</v>
      </c>
      <c r="G143" s="38" t="n">
        <v>6</v>
      </c>
      <c r="H143" s="363" t="n">
        <v>6</v>
      </c>
      <c r="I143" s="363" t="n">
        <v>6.26</v>
      </c>
      <c r="J143" s="38" t="n">
        <v>84</v>
      </c>
      <c r="K143" s="39" t="inlineStr">
        <is>
          <t>МГ</t>
        </is>
      </c>
      <c r="L143" s="38" t="n">
        <v>180</v>
      </c>
      <c r="M143" s="419">
        <f>HYPERLINK("https://abi.ru/products/Замороженные/No Name/No Name ПГП/Наггетсы/P003016/","Наггетсы Хрустящие No Name Весовые No Name 6 кг ТОП-ЛКК, дистр")</f>
        <v/>
      </c>
      <c r="N143" s="365" t="n"/>
      <c r="O143" s="365" t="n"/>
      <c r="P143" s="365" t="n"/>
      <c r="Q143" s="331" t="n"/>
      <c r="R143" s="40" t="inlineStr"/>
      <c r="S143" s="40" t="inlineStr"/>
      <c r="T143" s="41" t="inlineStr">
        <is>
          <t>кор</t>
        </is>
      </c>
      <c r="U143" s="366" t="n">
        <v>90</v>
      </c>
      <c r="V143" s="367">
        <f>IFERROR(IF(U143="","",U143),"")</f>
        <v/>
      </c>
      <c r="W143" s="42">
        <f>IFERROR(IF(U143="","",U143*0.0155),"")</f>
        <v/>
      </c>
      <c r="X143" s="69" t="inlineStr"/>
      <c r="Y143" s="70" t="inlineStr"/>
      <c r="AC143" s="74" t="n"/>
      <c r="AZ143" s="124" t="inlineStr">
        <is>
          <t>ПГП</t>
        </is>
      </c>
    </row>
    <row r="144">
      <c r="A144" s="230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368" t="n"/>
      <c r="M144" s="369" t="inlineStr">
        <is>
          <t>Итого</t>
        </is>
      </c>
      <c r="N144" s="339" t="n"/>
      <c r="O144" s="339" t="n"/>
      <c r="P144" s="339" t="n"/>
      <c r="Q144" s="339" t="n"/>
      <c r="R144" s="339" t="n"/>
      <c r="S144" s="340" t="n"/>
      <c r="T144" s="43" t="inlineStr">
        <is>
          <t>кор</t>
        </is>
      </c>
      <c r="U144" s="370">
        <f>IFERROR(SUM(U143:U143),"0")</f>
        <v/>
      </c>
      <c r="V144" s="370">
        <f>IFERROR(SUM(V143:V143),"0")</f>
        <v/>
      </c>
      <c r="W144" s="370">
        <f>IFERROR(IF(W143="",0,W143),"0")</f>
        <v/>
      </c>
      <c r="X144" s="371" t="n"/>
      <c r="Y144" s="371" t="n"/>
    </row>
    <row r="145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368" t="n"/>
      <c r="M145" s="369" t="inlineStr">
        <is>
          <t>Итого</t>
        </is>
      </c>
      <c r="N145" s="339" t="n"/>
      <c r="O145" s="339" t="n"/>
      <c r="P145" s="339" t="n"/>
      <c r="Q145" s="339" t="n"/>
      <c r="R145" s="339" t="n"/>
      <c r="S145" s="340" t="n"/>
      <c r="T145" s="43" t="inlineStr">
        <is>
          <t>кг</t>
        </is>
      </c>
      <c r="U145" s="370">
        <f>IFERROR(SUMPRODUCT(U143:U143*H143:H143),"0")</f>
        <v/>
      </c>
      <c r="V145" s="370">
        <f>IFERROR(SUMPRODUCT(V143:V143*H143:H143),"0")</f>
        <v/>
      </c>
      <c r="W145" s="43" t="n"/>
      <c r="X145" s="371" t="n"/>
      <c r="Y145" s="371" t="n"/>
    </row>
    <row r="146" ht="14.25" customHeight="1">
      <c r="A146" s="221" t="inlineStr">
        <is>
          <t>Чебуреки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221" t="n"/>
      <c r="Y146" s="221" t="n"/>
    </row>
    <row r="147" ht="27" customHeight="1">
      <c r="A147" s="64" t="inlineStr">
        <is>
          <t>SU002406</t>
        </is>
      </c>
      <c r="B147" s="64" t="inlineStr">
        <is>
          <t>P002685</t>
        </is>
      </c>
      <c r="C147" s="37" t="n">
        <v>4301136008</v>
      </c>
      <c r="D147" s="222" t="n">
        <v>4607111036438</v>
      </c>
      <c r="E147" s="331" t="n"/>
      <c r="F147" s="363" t="n">
        <v>2.7</v>
      </c>
      <c r="G147" s="38" t="n">
        <v>1</v>
      </c>
      <c r="H147" s="363" t="n">
        <v>2.7</v>
      </c>
      <c r="I147" s="363" t="n">
        <v>2.8906</v>
      </c>
      <c r="J147" s="38" t="n">
        <v>126</v>
      </c>
      <c r="K147" s="39" t="inlineStr">
        <is>
          <t>МГ</t>
        </is>
      </c>
      <c r="L147" s="38" t="n">
        <v>180</v>
      </c>
      <c r="M147" s="420">
        <f>HYPERLINK("https://abi.ru/products/Замороженные/No Name/No Name ПГП/Чебуреки/P002685/","Чебуреки Мясные No name Весовые No name 2,7 кг")</f>
        <v/>
      </c>
      <c r="N147" s="365" t="n"/>
      <c r="O147" s="365" t="n"/>
      <c r="P147" s="365" t="n"/>
      <c r="Q147" s="331" t="n"/>
      <c r="R147" s="40" t="inlineStr"/>
      <c r="S147" s="40" t="inlineStr"/>
      <c r="T147" s="41" t="inlineStr">
        <is>
          <t>кор</t>
        </is>
      </c>
      <c r="U147" s="366" t="n">
        <v>0</v>
      </c>
      <c r="V147" s="367">
        <f>IFERROR(IF(U147="","",U147),"")</f>
        <v/>
      </c>
      <c r="W147" s="42">
        <f>IFERROR(IF(U147="","",U147*0.00936),"")</f>
        <v/>
      </c>
      <c r="X147" s="69" t="inlineStr"/>
      <c r="Y147" s="70" t="inlineStr"/>
      <c r="AC147" s="74" t="n"/>
      <c r="AZ147" s="125" t="inlineStr">
        <is>
          <t>ПГП</t>
        </is>
      </c>
    </row>
    <row r="148" ht="37.5" customHeight="1">
      <c r="A148" s="64" t="inlineStr">
        <is>
          <t>SU002407</t>
        </is>
      </c>
      <c r="B148" s="64" t="inlineStr">
        <is>
          <t>P002684</t>
        </is>
      </c>
      <c r="C148" s="37" t="n">
        <v>4301136007</v>
      </c>
      <c r="D148" s="222" t="n">
        <v>4607111036636</v>
      </c>
      <c r="E148" s="331" t="n"/>
      <c r="F148" s="363" t="n">
        <v>2.7</v>
      </c>
      <c r="G148" s="38" t="n">
        <v>1</v>
      </c>
      <c r="H148" s="363" t="n">
        <v>2.7</v>
      </c>
      <c r="I148" s="363" t="n">
        <v>2.892</v>
      </c>
      <c r="J148" s="38" t="n">
        <v>126</v>
      </c>
      <c r="K148" s="39" t="inlineStr">
        <is>
          <t>МГ</t>
        </is>
      </c>
      <c r="L148" s="38" t="n">
        <v>180</v>
      </c>
      <c r="M148" s="421">
        <f>HYPERLINK("https://abi.ru/products/Замороженные/No Name/No Name ПГП/Чебуреки/P002684/","Чебуреки с мясом, грибами и картофелем No name Весовые No name 2,7 кг")</f>
        <v/>
      </c>
      <c r="N148" s="365" t="n"/>
      <c r="O148" s="365" t="n"/>
      <c r="P148" s="365" t="n"/>
      <c r="Q148" s="331" t="n"/>
      <c r="R148" s="40" t="inlineStr"/>
      <c r="S148" s="40" t="inlineStr"/>
      <c r="T148" s="41" t="inlineStr">
        <is>
          <t>кор</t>
        </is>
      </c>
      <c r="U148" s="366" t="n">
        <v>0</v>
      </c>
      <c r="V148" s="367">
        <f>IFERROR(IF(U148="","",U148),"")</f>
        <v/>
      </c>
      <c r="W148" s="42">
        <f>IFERROR(IF(U148="","",U148*0.00936),"")</f>
        <v/>
      </c>
      <c r="X148" s="69" t="inlineStr"/>
      <c r="Y148" s="70" t="inlineStr"/>
      <c r="AC148" s="74" t="n"/>
      <c r="AZ148" s="126" t="inlineStr">
        <is>
          <t>ПГП</t>
        </is>
      </c>
    </row>
    <row r="149" ht="27" customHeight="1">
      <c r="A149" s="64" t="inlineStr">
        <is>
          <t>SU002045</t>
        </is>
      </c>
      <c r="B149" s="64" t="inlineStr">
        <is>
          <t>P002166</t>
        </is>
      </c>
      <c r="C149" s="37" t="n">
        <v>4301136001</v>
      </c>
      <c r="D149" s="222" t="n">
        <v>4607111035714</v>
      </c>
      <c r="E149" s="331" t="n"/>
      <c r="F149" s="363" t="n">
        <v>5</v>
      </c>
      <c r="G149" s="38" t="n">
        <v>1</v>
      </c>
      <c r="H149" s="363" t="n">
        <v>5</v>
      </c>
      <c r="I149" s="363" t="n">
        <v>5.235</v>
      </c>
      <c r="J149" s="38" t="n">
        <v>84</v>
      </c>
      <c r="K149" s="39" t="inlineStr">
        <is>
          <t>МГ</t>
        </is>
      </c>
      <c r="L149" s="38" t="n">
        <v>180</v>
      </c>
      <c r="M149" s="422">
        <f>HYPERLINK("https://abi.ru/products/Замороженные/No Name/No Name ПГП/Чебуреки/P002166/","Чебуреки Чебуреки Сочные No Name Весовые No name 5 кг дистр")</f>
        <v/>
      </c>
      <c r="N149" s="365" t="n"/>
      <c r="O149" s="365" t="n"/>
      <c r="P149" s="365" t="n"/>
      <c r="Q149" s="331" t="n"/>
      <c r="R149" s="40" t="inlineStr"/>
      <c r="S149" s="40" t="inlineStr"/>
      <c r="T149" s="41" t="inlineStr">
        <is>
          <t>кор</t>
        </is>
      </c>
      <c r="U149" s="366" t="n">
        <v>241</v>
      </c>
      <c r="V149" s="367">
        <f>IFERROR(IF(U149="","",U149),"")</f>
        <v/>
      </c>
      <c r="W149" s="42">
        <f>IFERROR(IF(U149="","",U149*0.0155),"")</f>
        <v/>
      </c>
      <c r="X149" s="69" t="inlineStr"/>
      <c r="Y149" s="70" t="inlineStr"/>
      <c r="AC149" s="74" t="n"/>
      <c r="AZ149" s="127" t="inlineStr">
        <is>
          <t>ПГП</t>
        </is>
      </c>
    </row>
    <row r="150" ht="27" customHeight="1">
      <c r="A150" s="64" t="inlineStr">
        <is>
          <t>SU002976</t>
        </is>
      </c>
      <c r="B150" s="64" t="inlineStr">
        <is>
          <t>P003435</t>
        </is>
      </c>
      <c r="C150" s="37" t="n">
        <v>4301136025</v>
      </c>
      <c r="D150" s="222" t="n">
        <v>4607111038029</v>
      </c>
      <c r="E150" s="331" t="n"/>
      <c r="F150" s="363" t="n">
        <v>2.24</v>
      </c>
      <c r="G150" s="38" t="n">
        <v>1</v>
      </c>
      <c r="H150" s="363" t="n">
        <v>2.24</v>
      </c>
      <c r="I150" s="363" t="n">
        <v>2.432</v>
      </c>
      <c r="J150" s="38" t="n">
        <v>126</v>
      </c>
      <c r="K150" s="39" t="inlineStr">
        <is>
          <t>МГ</t>
        </is>
      </c>
      <c r="L150" s="38" t="n">
        <v>180</v>
      </c>
      <c r="M150" s="423" t="inlineStr">
        <is>
          <t>Чебуреки «Сочный мегачебурек» Весовой ТМ «No Name»</t>
        </is>
      </c>
      <c r="N150" s="365" t="n"/>
      <c r="O150" s="365" t="n"/>
      <c r="P150" s="365" t="n"/>
      <c r="Q150" s="331" t="n"/>
      <c r="R150" s="40" t="inlineStr"/>
      <c r="S150" s="40" t="inlineStr"/>
      <c r="T150" s="41" t="inlineStr">
        <is>
          <t>кор</t>
        </is>
      </c>
      <c r="U150" s="366" t="n">
        <v>107</v>
      </c>
      <c r="V150" s="367">
        <f>IFERROR(IF(U150="","",U150),"")</f>
        <v/>
      </c>
      <c r="W150" s="42">
        <f>IFERROR(IF(U150="","",U150*0.00936),"")</f>
        <v/>
      </c>
      <c r="X150" s="69" t="inlineStr"/>
      <c r="Y150" s="70" t="inlineStr"/>
      <c r="AC150" s="74" t="n"/>
      <c r="AZ150" s="128" t="inlineStr">
        <is>
          <t>ПГП</t>
        </is>
      </c>
    </row>
    <row r="151">
      <c r="A151" s="230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368" t="n"/>
      <c r="M151" s="369" t="inlineStr">
        <is>
          <t>Итого</t>
        </is>
      </c>
      <c r="N151" s="339" t="n"/>
      <c r="O151" s="339" t="n"/>
      <c r="P151" s="339" t="n"/>
      <c r="Q151" s="339" t="n"/>
      <c r="R151" s="339" t="n"/>
      <c r="S151" s="340" t="n"/>
      <c r="T151" s="43" t="inlineStr">
        <is>
          <t>кор</t>
        </is>
      </c>
      <c r="U151" s="370">
        <f>IFERROR(SUM(U147:U150),"0")</f>
        <v/>
      </c>
      <c r="V151" s="370">
        <f>IFERROR(SUM(V147:V150),"0")</f>
        <v/>
      </c>
      <c r="W151" s="370">
        <f>IFERROR(IF(W147="",0,W147),"0")+IFERROR(IF(W148="",0,W148),"0")+IFERROR(IF(W149="",0,W149),"0")+IFERROR(IF(W150="",0,W150),"0")</f>
        <v/>
      </c>
      <c r="X151" s="371" t="n"/>
      <c r="Y151" s="371" t="n"/>
    </row>
    <row r="152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368" t="n"/>
      <c r="M152" s="369" t="inlineStr">
        <is>
          <t>Итого</t>
        </is>
      </c>
      <c r="N152" s="339" t="n"/>
      <c r="O152" s="339" t="n"/>
      <c r="P152" s="339" t="n"/>
      <c r="Q152" s="339" t="n"/>
      <c r="R152" s="339" t="n"/>
      <c r="S152" s="340" t="n"/>
      <c r="T152" s="43" t="inlineStr">
        <is>
          <t>кг</t>
        </is>
      </c>
      <c r="U152" s="370">
        <f>IFERROR(SUMPRODUCT(U147:U150*H147:H150),"0")</f>
        <v/>
      </c>
      <c r="V152" s="370">
        <f>IFERROR(SUMPRODUCT(V147:V150*H147:H150),"0")</f>
        <v/>
      </c>
      <c r="W152" s="43" t="n"/>
      <c r="X152" s="371" t="n"/>
      <c r="Y152" s="371" t="n"/>
    </row>
    <row r="153" ht="14.25" customHeight="1">
      <c r="A153" s="221" t="inlineStr">
        <is>
          <t>Снеки</t>
        </is>
      </c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221" t="n"/>
      <c r="Y153" s="221" t="n"/>
    </row>
    <row r="154" ht="27" customHeight="1">
      <c r="A154" s="64" t="inlineStr">
        <is>
          <t>SU002772</t>
        </is>
      </c>
      <c r="B154" s="64" t="inlineStr">
        <is>
          <t>P003159</t>
        </is>
      </c>
      <c r="C154" s="37" t="n">
        <v>4301135156</v>
      </c>
      <c r="D154" s="222" t="n">
        <v>4607111037275</v>
      </c>
      <c r="E154" s="331" t="n"/>
      <c r="F154" s="363" t="n">
        <v>3</v>
      </c>
      <c r="G154" s="38" t="n">
        <v>1</v>
      </c>
      <c r="H154" s="363" t="n">
        <v>3</v>
      </c>
      <c r="I154" s="363" t="n">
        <v>3.192</v>
      </c>
      <c r="J154" s="38" t="n">
        <v>126</v>
      </c>
      <c r="K154" s="39" t="inlineStr">
        <is>
          <t>МГ</t>
        </is>
      </c>
      <c r="L154" s="38" t="n">
        <v>180</v>
      </c>
      <c r="M154" s="424">
        <f>HYPERLINK("https://abi.ru/products/Замороженные/No Name/No Name ПГП/Снеки/P003159/","Жар-боллы с курочкой и сыром No Name ПГП Весовой No Name")</f>
        <v/>
      </c>
      <c r="N154" s="365" t="n"/>
      <c r="O154" s="365" t="n"/>
      <c r="P154" s="365" t="n"/>
      <c r="Q154" s="331" t="n"/>
      <c r="R154" s="40" t="inlineStr"/>
      <c r="S154" s="40" t="inlineStr"/>
      <c r="T154" s="41" t="inlineStr">
        <is>
          <t>кор</t>
        </is>
      </c>
      <c r="U154" s="366" t="n">
        <v>0</v>
      </c>
      <c r="V154" s="367">
        <f>IFERROR(IF(U154="","",U154),"")</f>
        <v/>
      </c>
      <c r="W154" s="42">
        <f>IFERROR(IF(U154="","",U154*0.00936),"")</f>
        <v/>
      </c>
      <c r="X154" s="69" t="inlineStr"/>
      <c r="Y154" s="70" t="inlineStr"/>
      <c r="AC154" s="74" t="n"/>
      <c r="AZ154" s="129" t="inlineStr">
        <is>
          <t>ПГП</t>
        </is>
      </c>
    </row>
    <row r="155" ht="27" customHeight="1">
      <c r="A155" s="64" t="inlineStr">
        <is>
          <t>SU002953</t>
        </is>
      </c>
      <c r="B155" s="64" t="inlineStr">
        <is>
          <t>P003377</t>
        </is>
      </c>
      <c r="C155" s="37" t="n">
        <v>4301135179</v>
      </c>
      <c r="D155" s="222" t="n">
        <v>4607111037923</v>
      </c>
      <c r="E155" s="331" t="n"/>
      <c r="F155" s="363" t="n">
        <v>3.7</v>
      </c>
      <c r="G155" s="38" t="n">
        <v>1</v>
      </c>
      <c r="H155" s="363" t="n">
        <v>3.7</v>
      </c>
      <c r="I155" s="363" t="n">
        <v>3.892</v>
      </c>
      <c r="J155" s="38" t="n">
        <v>126</v>
      </c>
      <c r="K155" s="39" t="inlineStr">
        <is>
          <t>МГ</t>
        </is>
      </c>
      <c r="L155" s="38" t="n">
        <v>180</v>
      </c>
      <c r="M155" s="425">
        <f>HYPERLINK("https://abi.ru/products/Замороженные/No Name/No Name ПГП/Снеки/P003377/","«Жар-ладушки с клубникой и вишней» Весовые ТМ «No name»")</f>
        <v/>
      </c>
      <c r="N155" s="365" t="n"/>
      <c r="O155" s="365" t="n"/>
      <c r="P155" s="365" t="n"/>
      <c r="Q155" s="331" t="n"/>
      <c r="R155" s="40" t="inlineStr"/>
      <c r="S155" s="40" t="inlineStr"/>
      <c r="T155" s="41" t="inlineStr">
        <is>
          <t>кор</t>
        </is>
      </c>
      <c r="U155" s="366" t="n">
        <v>0</v>
      </c>
      <c r="V155" s="367">
        <f>IFERROR(IF(U155="","",U155),"")</f>
        <v/>
      </c>
      <c r="W155" s="42">
        <f>IFERROR(IF(U155="","",U155*0.00936),"")</f>
        <v/>
      </c>
      <c r="X155" s="69" t="inlineStr"/>
      <c r="Y155" s="70" t="inlineStr"/>
      <c r="AC155" s="74" t="n"/>
      <c r="AZ155" s="130" t="inlineStr">
        <is>
          <t>ПГП</t>
        </is>
      </c>
    </row>
    <row r="156" ht="27" customHeight="1">
      <c r="A156" s="64" t="inlineStr">
        <is>
          <t>SU002441</t>
        </is>
      </c>
      <c r="B156" s="64" t="inlineStr">
        <is>
          <t>P002732</t>
        </is>
      </c>
      <c r="C156" s="37" t="n">
        <v>4301135085</v>
      </c>
      <c r="D156" s="222" t="n">
        <v>4607111037220</v>
      </c>
      <c r="E156" s="331" t="n"/>
      <c r="F156" s="363" t="n">
        <v>3.7</v>
      </c>
      <c r="G156" s="38" t="n">
        <v>1</v>
      </c>
      <c r="H156" s="363" t="n">
        <v>3.7</v>
      </c>
      <c r="I156" s="363" t="n">
        <v>3.892</v>
      </c>
      <c r="J156" s="38" t="n">
        <v>126</v>
      </c>
      <c r="K156" s="39" t="inlineStr">
        <is>
          <t>МГ</t>
        </is>
      </c>
      <c r="L156" s="38" t="n">
        <v>180</v>
      </c>
      <c r="M156" s="426">
        <f>HYPERLINK("https://abi.ru/products/Замороженные/No Name/No Name ПГП/Снеки/P002732/","Жар-ладушки с мясом No name ПГП Весовые No name  3,7 кг")</f>
        <v/>
      </c>
      <c r="N156" s="365" t="n"/>
      <c r="O156" s="365" t="n"/>
      <c r="P156" s="365" t="n"/>
      <c r="Q156" s="331" t="n"/>
      <c r="R156" s="40" t="inlineStr"/>
      <c r="S156" s="40" t="inlineStr"/>
      <c r="T156" s="41" t="inlineStr">
        <is>
          <t>кор</t>
        </is>
      </c>
      <c r="U156" s="366" t="n">
        <v>0</v>
      </c>
      <c r="V156" s="367">
        <f>IFERROR(IF(U156="","",U156),"")</f>
        <v/>
      </c>
      <c r="W156" s="42">
        <f>IFERROR(IF(U156="","",U156*0.00936),"")</f>
        <v/>
      </c>
      <c r="X156" s="69" t="inlineStr"/>
      <c r="Y156" s="70" t="inlineStr"/>
      <c r="AC156" s="74" t="n"/>
      <c r="AZ156" s="131" t="inlineStr">
        <is>
          <t>ПГП</t>
        </is>
      </c>
    </row>
    <row r="157" ht="37.5" customHeight="1">
      <c r="A157" s="64" t="inlineStr">
        <is>
          <t>SU002494</t>
        </is>
      </c>
      <c r="B157" s="64" t="inlineStr">
        <is>
          <t>P002789</t>
        </is>
      </c>
      <c r="C157" s="37" t="n">
        <v>4301135097</v>
      </c>
      <c r="D157" s="222" t="n">
        <v>4607111037206</v>
      </c>
      <c r="E157" s="331" t="n"/>
      <c r="F157" s="363" t="n">
        <v>3.7</v>
      </c>
      <c r="G157" s="38" t="n">
        <v>1</v>
      </c>
      <c r="H157" s="363" t="n">
        <v>3.7</v>
      </c>
      <c r="I157" s="363" t="n">
        <v>3.892</v>
      </c>
      <c r="J157" s="38" t="n">
        <v>126</v>
      </c>
      <c r="K157" s="39" t="inlineStr">
        <is>
          <t>МГ</t>
        </is>
      </c>
      <c r="L157" s="38" t="n">
        <v>180</v>
      </c>
      <c r="M157" s="427">
        <f>HYPERLINK("https://abi.ru/products/Замороженные/No Name/No Name ПГП/Снеки/P002789/","Жар-ладушки с мясом, картофелем и грибами No name ПГП Весовые No name 3,7 кг")</f>
        <v/>
      </c>
      <c r="N157" s="365" t="n"/>
      <c r="O157" s="365" t="n"/>
      <c r="P157" s="365" t="n"/>
      <c r="Q157" s="331" t="n"/>
      <c r="R157" s="40" t="inlineStr"/>
      <c r="S157" s="40" t="inlineStr"/>
      <c r="T157" s="41" t="inlineStr">
        <is>
          <t>кор</t>
        </is>
      </c>
      <c r="U157" s="366" t="n">
        <v>0</v>
      </c>
      <c r="V157" s="367">
        <f>IFERROR(IF(U157="","",U157),"")</f>
        <v/>
      </c>
      <c r="W157" s="42">
        <f>IFERROR(IF(U157="","",U157*0.00936),"")</f>
        <v/>
      </c>
      <c r="X157" s="69" t="inlineStr"/>
      <c r="Y157" s="70" t="inlineStr"/>
      <c r="AC157" s="74" t="n"/>
      <c r="AZ157" s="132" t="inlineStr">
        <is>
          <t>ПГП</t>
        </is>
      </c>
    </row>
    <row r="158" ht="27" customHeight="1">
      <c r="A158" s="64" t="inlineStr">
        <is>
          <t>SU002484</t>
        </is>
      </c>
      <c r="B158" s="64" t="inlineStr">
        <is>
          <t>P002778</t>
        </is>
      </c>
      <c r="C158" s="37" t="n">
        <v>4301135091</v>
      </c>
      <c r="D158" s="222" t="n">
        <v>4607111037244</v>
      </c>
      <c r="E158" s="331" t="n"/>
      <c r="F158" s="363" t="n">
        <v>3.7</v>
      </c>
      <c r="G158" s="38" t="n">
        <v>1</v>
      </c>
      <c r="H158" s="363" t="n">
        <v>3.7</v>
      </c>
      <c r="I158" s="363" t="n">
        <v>3.892</v>
      </c>
      <c r="J158" s="38" t="n">
        <v>126</v>
      </c>
      <c r="K158" s="39" t="inlineStr">
        <is>
          <t>МГ</t>
        </is>
      </c>
      <c r="L158" s="38" t="n">
        <v>180</v>
      </c>
      <c r="M158" s="428">
        <f>HYPERLINK("https://abi.ru/products/Замороженные/No Name/No Name ПГП/Снеки/P002778/","Жар-ладушки с яблоком и грушей No name ПГП Весовые No name 3,7 кг")</f>
        <v/>
      </c>
      <c r="N158" s="365" t="n"/>
      <c r="O158" s="365" t="n"/>
      <c r="P158" s="365" t="n"/>
      <c r="Q158" s="331" t="n"/>
      <c r="R158" s="40" t="inlineStr"/>
      <c r="S158" s="40" t="inlineStr"/>
      <c r="T158" s="41" t="inlineStr">
        <is>
          <t>кор</t>
        </is>
      </c>
      <c r="U158" s="366" t="n">
        <v>0</v>
      </c>
      <c r="V158" s="367">
        <f>IFERROR(IF(U158="","",U158),"")</f>
        <v/>
      </c>
      <c r="W158" s="42">
        <f>IFERROR(IF(U158="","",U158*0.00936),"")</f>
        <v/>
      </c>
      <c r="X158" s="69" t="inlineStr"/>
      <c r="Y158" s="70" t="inlineStr"/>
      <c r="AC158" s="74" t="n"/>
      <c r="AZ158" s="133" t="inlineStr">
        <is>
          <t>ПГП</t>
        </is>
      </c>
    </row>
    <row r="159" ht="27" customHeight="1">
      <c r="A159" s="64" t="inlineStr">
        <is>
          <t>SU002442</t>
        </is>
      </c>
      <c r="B159" s="64" t="inlineStr">
        <is>
          <t>P002970</t>
        </is>
      </c>
      <c r="C159" s="37" t="n">
        <v>4301135128</v>
      </c>
      <c r="D159" s="222" t="n">
        <v>4607111036797</v>
      </c>
      <c r="E159" s="331" t="n"/>
      <c r="F159" s="363" t="n">
        <v>3.7</v>
      </c>
      <c r="G159" s="38" t="n">
        <v>1</v>
      </c>
      <c r="H159" s="363" t="n">
        <v>3.7</v>
      </c>
      <c r="I159" s="363" t="n">
        <v>3.892</v>
      </c>
      <c r="J159" s="38" t="n">
        <v>126</v>
      </c>
      <c r="K159" s="39" t="inlineStr">
        <is>
          <t>МГ</t>
        </is>
      </c>
      <c r="L159" s="38" t="n">
        <v>180</v>
      </c>
      <c r="M159" s="429">
        <f>HYPERLINK("https://abi.ru/products/Замороженные/No Name/No Name ПГП/Снеки/P002970/","Мини-сосиски в тесте Фрайпики No name Весовые No name 3,7 кг")</f>
        <v/>
      </c>
      <c r="N159" s="365" t="n"/>
      <c r="O159" s="365" t="n"/>
      <c r="P159" s="365" t="n"/>
      <c r="Q159" s="331" t="n"/>
      <c r="R159" s="40" t="inlineStr"/>
      <c r="S159" s="40" t="inlineStr"/>
      <c r="T159" s="41" t="inlineStr">
        <is>
          <t>кор</t>
        </is>
      </c>
      <c r="U159" s="366" t="n">
        <v>0</v>
      </c>
      <c r="V159" s="367">
        <f>IFERROR(IF(U159="","",U159),"")</f>
        <v/>
      </c>
      <c r="W159" s="42">
        <f>IFERROR(IF(U159="","",U159*0.00936),"")</f>
        <v/>
      </c>
      <c r="X159" s="69" t="inlineStr"/>
      <c r="Y159" s="70" t="inlineStr"/>
      <c r="AC159" s="74" t="n"/>
      <c r="AZ159" s="134" t="inlineStr">
        <is>
          <t>ПГП</t>
        </is>
      </c>
    </row>
    <row r="160" ht="27" customHeight="1">
      <c r="A160" s="64" t="inlineStr">
        <is>
          <t>SU002046</t>
        </is>
      </c>
      <c r="B160" s="64" t="inlineStr">
        <is>
          <t>P002167</t>
        </is>
      </c>
      <c r="C160" s="37" t="n">
        <v>4301135004</v>
      </c>
      <c r="D160" s="222" t="n">
        <v>4607111035707</v>
      </c>
      <c r="E160" s="331" t="n"/>
      <c r="F160" s="363" t="n">
        <v>5.5</v>
      </c>
      <c r="G160" s="38" t="n">
        <v>1</v>
      </c>
      <c r="H160" s="363" t="n">
        <v>5.5</v>
      </c>
      <c r="I160" s="363" t="n">
        <v>5.735</v>
      </c>
      <c r="J160" s="38" t="n">
        <v>84</v>
      </c>
      <c r="K160" s="39" t="inlineStr">
        <is>
          <t>МГ</t>
        </is>
      </c>
      <c r="L160" s="38" t="n">
        <v>180</v>
      </c>
      <c r="M160" s="430">
        <f>HYPERLINK("https://abi.ru/products/Замороженные/No Name/No Name ПГП/Снеки/P002167/","Снеки Жар-мени No Name Весовые No name 5,5 кг дистр")</f>
        <v/>
      </c>
      <c r="N160" s="365" t="n"/>
      <c r="O160" s="365" t="n"/>
      <c r="P160" s="365" t="n"/>
      <c r="Q160" s="331" t="n"/>
      <c r="R160" s="40" t="inlineStr"/>
      <c r="S160" s="40" t="inlineStr"/>
      <c r="T160" s="41" t="inlineStr">
        <is>
          <t>кор</t>
        </is>
      </c>
      <c r="U160" s="366" t="n">
        <v>58</v>
      </c>
      <c r="V160" s="367">
        <f>IFERROR(IF(U160="","",U160),"")</f>
        <v/>
      </c>
      <c r="W160" s="42">
        <f>IFERROR(IF(U160="","",U160*0.0155),"")</f>
        <v/>
      </c>
      <c r="X160" s="69" t="inlineStr"/>
      <c r="Y160" s="70" t="inlineStr"/>
      <c r="AC160" s="74" t="n"/>
      <c r="AZ160" s="135" t="inlineStr">
        <is>
          <t>ПГП</t>
        </is>
      </c>
    </row>
    <row r="161" ht="37.5" customHeight="1">
      <c r="A161" s="64" t="inlineStr">
        <is>
          <t>SU002405</t>
        </is>
      </c>
      <c r="B161" s="64" t="inlineStr">
        <is>
          <t>P002964</t>
        </is>
      </c>
      <c r="C161" s="37" t="n">
        <v>4301135129</v>
      </c>
      <c r="D161" s="222" t="n">
        <v>4607111036841</v>
      </c>
      <c r="E161" s="331" t="n"/>
      <c r="F161" s="363" t="n">
        <v>3.5</v>
      </c>
      <c r="G161" s="38" t="n">
        <v>1</v>
      </c>
      <c r="H161" s="363" t="n">
        <v>3.5</v>
      </c>
      <c r="I161" s="363" t="n">
        <v>3.692</v>
      </c>
      <c r="J161" s="38" t="n">
        <v>126</v>
      </c>
      <c r="K161" s="39" t="inlineStr">
        <is>
          <t>МГ</t>
        </is>
      </c>
      <c r="L161" s="38" t="n">
        <v>180</v>
      </c>
      <c r="M161" s="431">
        <f>HYPERLINK("https://abi.ru/products/Замороженные/No Name/No Name ПГП/Снеки/P002964/","Снеки Жар-мени с картофелем и сочной грудинкой No name Весовые No name 3,5 кг")</f>
        <v/>
      </c>
      <c r="N161" s="365" t="n"/>
      <c r="O161" s="365" t="n"/>
      <c r="P161" s="365" t="n"/>
      <c r="Q161" s="331" t="n"/>
      <c r="R161" s="40" t="inlineStr"/>
      <c r="S161" s="40" t="inlineStr"/>
      <c r="T161" s="41" t="inlineStr">
        <is>
          <t>кор</t>
        </is>
      </c>
      <c r="U161" s="366" t="n">
        <v>0</v>
      </c>
      <c r="V161" s="367">
        <f>IFERROR(IF(U161="","",U161),"")</f>
        <v/>
      </c>
      <c r="W161" s="42">
        <f>IFERROR(IF(U161="","",U161*0.00936),"")</f>
        <v/>
      </c>
      <c r="X161" s="69" t="inlineStr"/>
      <c r="Y161" s="70" t="inlineStr"/>
      <c r="AC161" s="74" t="n"/>
      <c r="AZ161" s="136" t="inlineStr">
        <is>
          <t>ПГП</t>
        </is>
      </c>
    </row>
    <row r="162" ht="27" customHeight="1">
      <c r="A162" s="64" t="inlineStr">
        <is>
          <t>SU002889</t>
        </is>
      </c>
      <c r="B162" s="64" t="inlineStr">
        <is>
          <t>P003310</t>
        </is>
      </c>
      <c r="C162" s="37" t="n">
        <v>4301135177</v>
      </c>
      <c r="D162" s="222" t="n">
        <v>4607111037862</v>
      </c>
      <c r="E162" s="331" t="n"/>
      <c r="F162" s="363" t="n">
        <v>1.8</v>
      </c>
      <c r="G162" s="38" t="n">
        <v>1</v>
      </c>
      <c r="H162" s="363" t="n">
        <v>1.8</v>
      </c>
      <c r="I162" s="363" t="n">
        <v>1.912</v>
      </c>
      <c r="J162" s="38" t="n">
        <v>234</v>
      </c>
      <c r="K162" s="39" t="inlineStr">
        <is>
          <t>МГ</t>
        </is>
      </c>
      <c r="L162" s="38" t="n">
        <v>180</v>
      </c>
      <c r="M162" s="432">
        <f>HYPERLINK("https://abi.ru/products/Замороженные/No Name/No Name ПГП/Снеки/P003310/","Мини-сосиски в тесте Фрайпики No name Весовые No name 1,8 кг")</f>
        <v/>
      </c>
      <c r="N162" s="365" t="n"/>
      <c r="O162" s="365" t="n"/>
      <c r="P162" s="365" t="n"/>
      <c r="Q162" s="331" t="n"/>
      <c r="R162" s="40" t="inlineStr"/>
      <c r="S162" s="40" t="inlineStr"/>
      <c r="T162" s="41" t="inlineStr">
        <is>
          <t>кор</t>
        </is>
      </c>
      <c r="U162" s="366" t="n">
        <v>85</v>
      </c>
      <c r="V162" s="367">
        <f>IFERROR(IF(U162="","",U162),"")</f>
        <v/>
      </c>
      <c r="W162" s="42">
        <f>IFERROR(IF(U162="","",U162*0.00502),"")</f>
        <v/>
      </c>
      <c r="X162" s="69" t="inlineStr"/>
      <c r="Y162" s="70" t="inlineStr"/>
      <c r="AC162" s="74" t="n"/>
      <c r="AZ162" s="137" t="inlineStr">
        <is>
          <t>ПГП</t>
        </is>
      </c>
    </row>
    <row r="163" ht="27" customHeight="1">
      <c r="A163" s="64" t="inlineStr">
        <is>
          <t>SU002794</t>
        </is>
      </c>
      <c r="B163" s="64" t="inlineStr">
        <is>
          <t>P003192</t>
        </is>
      </c>
      <c r="C163" s="37" t="n">
        <v>4301135161</v>
      </c>
      <c r="D163" s="222" t="n">
        <v>4607111037305</v>
      </c>
      <c r="E163" s="331" t="n"/>
      <c r="F163" s="363" t="n">
        <v>3</v>
      </c>
      <c r="G163" s="38" t="n">
        <v>1</v>
      </c>
      <c r="H163" s="363" t="n">
        <v>3</v>
      </c>
      <c r="I163" s="363" t="n">
        <v>3.192</v>
      </c>
      <c r="J163" s="38" t="n">
        <v>126</v>
      </c>
      <c r="K163" s="39" t="inlineStr">
        <is>
          <t>МГ</t>
        </is>
      </c>
      <c r="L163" s="38" t="n">
        <v>180</v>
      </c>
      <c r="M163" s="433" t="inlineStr">
        <is>
          <t>Снеки «Фрай-пицца с ветчиной и грибами» Весовые ТМ «No name» 3 кг</t>
        </is>
      </c>
      <c r="N163" s="365" t="n"/>
      <c r="O163" s="365" t="n"/>
      <c r="P163" s="365" t="n"/>
      <c r="Q163" s="331" t="n"/>
      <c r="R163" s="40" t="inlineStr"/>
      <c r="S163" s="40" t="inlineStr"/>
      <c r="T163" s="41" t="inlineStr">
        <is>
          <t>кор</t>
        </is>
      </c>
      <c r="U163" s="366" t="n">
        <v>0</v>
      </c>
      <c r="V163" s="367">
        <f>IFERROR(IF(U163="","",U163),"")</f>
        <v/>
      </c>
      <c r="W163" s="42">
        <f>IFERROR(IF(U163="","",U163*0.00936),"")</f>
        <v/>
      </c>
      <c r="X163" s="69" t="inlineStr"/>
      <c r="Y163" s="70" t="inlineStr"/>
      <c r="AC163" s="74" t="n"/>
      <c r="AZ163" s="138" t="inlineStr">
        <is>
          <t>ПГП</t>
        </is>
      </c>
    </row>
    <row r="164">
      <c r="A164" s="230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368" t="n"/>
      <c r="M164" s="369" t="inlineStr">
        <is>
          <t>Итого</t>
        </is>
      </c>
      <c r="N164" s="339" t="n"/>
      <c r="O164" s="339" t="n"/>
      <c r="P164" s="339" t="n"/>
      <c r="Q164" s="339" t="n"/>
      <c r="R164" s="339" t="n"/>
      <c r="S164" s="340" t="n"/>
      <c r="T164" s="43" t="inlineStr">
        <is>
          <t>кор</t>
        </is>
      </c>
      <c r="U164" s="370">
        <f>IFERROR(SUM(U154:U163),"0")</f>
        <v/>
      </c>
      <c r="V164" s="370">
        <f>IFERROR(SUM(V154:V163),"0")</f>
        <v/>
      </c>
      <c r="W164" s="370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/>
      </c>
      <c r="X164" s="371" t="n"/>
      <c r="Y164" s="371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368" t="n"/>
      <c r="M165" s="369" t="inlineStr">
        <is>
          <t>Итого</t>
        </is>
      </c>
      <c r="N165" s="339" t="n"/>
      <c r="O165" s="339" t="n"/>
      <c r="P165" s="339" t="n"/>
      <c r="Q165" s="339" t="n"/>
      <c r="R165" s="339" t="n"/>
      <c r="S165" s="340" t="n"/>
      <c r="T165" s="43" t="inlineStr">
        <is>
          <t>кг</t>
        </is>
      </c>
      <c r="U165" s="370">
        <f>IFERROR(SUMPRODUCT(U154:U163*H154:H163),"0")</f>
        <v/>
      </c>
      <c r="V165" s="370">
        <f>IFERROR(SUMPRODUCT(V154:V163*H154:H163),"0")</f>
        <v/>
      </c>
      <c r="W165" s="43" t="n"/>
      <c r="X165" s="371" t="n"/>
      <c r="Y165" s="371" t="n"/>
    </row>
    <row r="166" ht="16.5" customHeight="1">
      <c r="A166" s="220" t="inlineStr">
        <is>
          <t>Стародворье ПГП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220" t="n"/>
      <c r="Y166" s="220" t="n"/>
    </row>
    <row r="167" ht="14.25" customHeight="1">
      <c r="A167" s="221" t="inlineStr">
        <is>
          <t>Пельмени ПГП</t>
        </is>
      </c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221" t="n"/>
      <c r="Y167" s="221" t="n"/>
    </row>
    <row r="168" ht="16.5" customHeight="1">
      <c r="A168" s="64" t="inlineStr">
        <is>
          <t>SU002891</t>
        </is>
      </c>
      <c r="B168" s="64" t="inlineStr">
        <is>
          <t>P003301</t>
        </is>
      </c>
      <c r="C168" s="37" t="n">
        <v>4301071010</v>
      </c>
      <c r="D168" s="222" t="n">
        <v>4607111037701</v>
      </c>
      <c r="E168" s="331" t="n"/>
      <c r="F168" s="363" t="n">
        <v>5</v>
      </c>
      <c r="G168" s="38" t="n">
        <v>1</v>
      </c>
      <c r="H168" s="363" t="n">
        <v>5</v>
      </c>
      <c r="I168" s="363" t="n">
        <v>5.2</v>
      </c>
      <c r="J168" s="38" t="n">
        <v>144</v>
      </c>
      <c r="K168" s="39" t="inlineStr">
        <is>
          <t>МГ</t>
        </is>
      </c>
      <c r="L168" s="38" t="n">
        <v>180</v>
      </c>
      <c r="M168" s="434">
        <f>HYPERLINK("https://abi.ru/products/Замороженные/No Name/Стародворье ПГП/Пельмени ПГП/P003301/","Пельмени «Быстромени» Весовой ТМ «No Name» 5")</f>
        <v/>
      </c>
      <c r="N168" s="365" t="n"/>
      <c r="O168" s="365" t="n"/>
      <c r="P168" s="365" t="n"/>
      <c r="Q168" s="331" t="n"/>
      <c r="R168" s="40" t="inlineStr"/>
      <c r="S168" s="40" t="inlineStr"/>
      <c r="T168" s="41" t="inlineStr">
        <is>
          <t>кор</t>
        </is>
      </c>
      <c r="U168" s="366" t="n">
        <v>0</v>
      </c>
      <c r="V168" s="367">
        <f>IFERROR(IF(U168="","",U168),"")</f>
        <v/>
      </c>
      <c r="W168" s="42">
        <f>IFERROR(IF(U168="","",U168*0.00866),"")</f>
        <v/>
      </c>
      <c r="X168" s="69" t="inlineStr"/>
      <c r="Y168" s="70" t="inlineStr"/>
      <c r="AC168" s="74" t="n"/>
      <c r="AZ168" s="139" t="inlineStr">
        <is>
          <t>ПГП</t>
        </is>
      </c>
    </row>
    <row r="169">
      <c r="A169" s="230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368" t="n"/>
      <c r="M169" s="369" t="inlineStr">
        <is>
          <t>Итого</t>
        </is>
      </c>
      <c r="N169" s="339" t="n"/>
      <c r="O169" s="339" t="n"/>
      <c r="P169" s="339" t="n"/>
      <c r="Q169" s="339" t="n"/>
      <c r="R169" s="339" t="n"/>
      <c r="S169" s="340" t="n"/>
      <c r="T169" s="43" t="inlineStr">
        <is>
          <t>кор</t>
        </is>
      </c>
      <c r="U169" s="370">
        <f>IFERROR(SUM(U168:U168),"0")</f>
        <v/>
      </c>
      <c r="V169" s="370">
        <f>IFERROR(SUM(V168:V168),"0")</f>
        <v/>
      </c>
      <c r="W169" s="370">
        <f>IFERROR(IF(W168="",0,W168),"0")</f>
        <v/>
      </c>
      <c r="X169" s="371" t="n"/>
      <c r="Y169" s="371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368" t="n"/>
      <c r="M170" s="369" t="inlineStr">
        <is>
          <t>Итого</t>
        </is>
      </c>
      <c r="N170" s="339" t="n"/>
      <c r="O170" s="339" t="n"/>
      <c r="P170" s="339" t="n"/>
      <c r="Q170" s="339" t="n"/>
      <c r="R170" s="339" t="n"/>
      <c r="S170" s="340" t="n"/>
      <c r="T170" s="43" t="inlineStr">
        <is>
          <t>кг</t>
        </is>
      </c>
      <c r="U170" s="370">
        <f>IFERROR(SUMPRODUCT(U168:U168*H168:H168),"0")</f>
        <v/>
      </c>
      <c r="V170" s="370">
        <f>IFERROR(SUMPRODUCT(V168:V168*H168:H168),"0")</f>
        <v/>
      </c>
      <c r="W170" s="43" t="n"/>
      <c r="X170" s="371" t="n"/>
      <c r="Y170" s="371" t="n"/>
    </row>
    <row r="171" ht="16.5" customHeight="1">
      <c r="A171" s="220" t="inlineStr">
        <is>
          <t>No Name ЗПФ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220" t="n"/>
      <c r="Y171" s="220" t="n"/>
    </row>
    <row r="172" ht="14.25" customHeight="1">
      <c r="A172" s="221" t="inlineStr">
        <is>
          <t>Пельмени</t>
        </is>
      </c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221" t="n"/>
      <c r="Y172" s="221" t="n"/>
    </row>
    <row r="173" ht="16.5" customHeight="1">
      <c r="A173" s="64" t="inlineStr">
        <is>
          <t>SU002396</t>
        </is>
      </c>
      <c r="B173" s="64" t="inlineStr">
        <is>
          <t>P002689</t>
        </is>
      </c>
      <c r="C173" s="37" t="n">
        <v>4301070871</v>
      </c>
      <c r="D173" s="222" t="n">
        <v>4607111036384</v>
      </c>
      <c r="E173" s="331" t="n"/>
      <c r="F173" s="363" t="n">
        <v>1</v>
      </c>
      <c r="G173" s="38" t="n">
        <v>5</v>
      </c>
      <c r="H173" s="363" t="n">
        <v>5</v>
      </c>
      <c r="I173" s="363" t="n">
        <v>5.253</v>
      </c>
      <c r="J173" s="38" t="n">
        <v>144</v>
      </c>
      <c r="K173" s="39" t="inlineStr">
        <is>
          <t>МГ</t>
        </is>
      </c>
      <c r="L173" s="38" t="n">
        <v>90</v>
      </c>
      <c r="M173" s="435">
        <f>HYPERLINK("https://abi.ru/products/Замороженные/No Name/No Name ЗПФ/Пельмени/P002689/","Пельмени Зареченские No name Весовые Сфера No name 5 кг")</f>
        <v/>
      </c>
      <c r="N173" s="365" t="n"/>
      <c r="O173" s="365" t="n"/>
      <c r="P173" s="365" t="n"/>
      <c r="Q173" s="331" t="n"/>
      <c r="R173" s="40" t="inlineStr"/>
      <c r="S173" s="40" t="inlineStr"/>
      <c r="T173" s="41" t="inlineStr">
        <is>
          <t>кор</t>
        </is>
      </c>
      <c r="U173" s="366" t="n">
        <v>0</v>
      </c>
      <c r="V173" s="367">
        <f>IFERROR(IF(U173="","",U173),"")</f>
        <v/>
      </c>
      <c r="W173" s="42">
        <f>IFERROR(IF(U173="","",U173*0.00866),"")</f>
        <v/>
      </c>
      <c r="X173" s="69" t="inlineStr"/>
      <c r="Y173" s="70" t="inlineStr"/>
      <c r="AC173" s="74" t="n"/>
      <c r="AZ173" s="140" t="inlineStr">
        <is>
          <t>ЗПФ</t>
        </is>
      </c>
    </row>
    <row r="174" ht="27" customHeight="1">
      <c r="A174" s="64" t="inlineStr">
        <is>
          <t>SU002314</t>
        </is>
      </c>
      <c r="B174" s="64" t="inlineStr">
        <is>
          <t>P002579</t>
        </is>
      </c>
      <c r="C174" s="37" t="n">
        <v>4301070858</v>
      </c>
      <c r="D174" s="222" t="n">
        <v>4607111036193</v>
      </c>
      <c r="E174" s="331" t="n"/>
      <c r="F174" s="363" t="n">
        <v>1</v>
      </c>
      <c r="G174" s="38" t="n">
        <v>5</v>
      </c>
      <c r="H174" s="363" t="n">
        <v>5</v>
      </c>
      <c r="I174" s="363" t="n">
        <v>5.275</v>
      </c>
      <c r="J174" s="38" t="n">
        <v>144</v>
      </c>
      <c r="K174" s="39" t="inlineStr">
        <is>
          <t>МГ</t>
        </is>
      </c>
      <c r="L174" s="38" t="n">
        <v>90</v>
      </c>
      <c r="M174" s="436">
        <f>HYPERLINK("https://abi.ru/products/Замороженные/No Name/No Name ЗПФ/Пельмени/P002579/","Пельмени Классические No name Весовые Хинкали No name 5 кг")</f>
        <v/>
      </c>
      <c r="N174" s="365" t="n"/>
      <c r="O174" s="365" t="n"/>
      <c r="P174" s="365" t="n"/>
      <c r="Q174" s="331" t="n"/>
      <c r="R174" s="40" t="inlineStr"/>
      <c r="S174" s="40" t="inlineStr"/>
      <c r="T174" s="41" t="inlineStr">
        <is>
          <t>кор</t>
        </is>
      </c>
      <c r="U174" s="366" t="n">
        <v>0</v>
      </c>
      <c r="V174" s="367">
        <f>IFERROR(IF(U174="","",U174),"")</f>
        <v/>
      </c>
      <c r="W174" s="42">
        <f>IFERROR(IF(U174="","",U174*0.00866),"")</f>
        <v/>
      </c>
      <c r="X174" s="69" t="inlineStr"/>
      <c r="Y174" s="70" t="inlineStr"/>
      <c r="AC174" s="74" t="n"/>
      <c r="AZ174" s="141" t="inlineStr">
        <is>
          <t>ЗПФ</t>
        </is>
      </c>
    </row>
    <row r="175" ht="27" customHeight="1">
      <c r="A175" s="64" t="inlineStr">
        <is>
          <t>SU000197</t>
        </is>
      </c>
      <c r="B175" s="64" t="inlineStr">
        <is>
          <t>P002413</t>
        </is>
      </c>
      <c r="C175" s="37" t="n">
        <v>4301070827</v>
      </c>
      <c r="D175" s="222" t="n">
        <v>4607111036216</v>
      </c>
      <c r="E175" s="331" t="n"/>
      <c r="F175" s="363" t="n">
        <v>1</v>
      </c>
      <c r="G175" s="38" t="n">
        <v>5</v>
      </c>
      <c r="H175" s="363" t="n">
        <v>5</v>
      </c>
      <c r="I175" s="363" t="n">
        <v>5.266</v>
      </c>
      <c r="J175" s="38" t="n">
        <v>144</v>
      </c>
      <c r="K175" s="39" t="inlineStr">
        <is>
          <t>МГ</t>
        </is>
      </c>
      <c r="L175" s="38" t="n">
        <v>90</v>
      </c>
      <c r="M175" s="437">
        <f>HYPERLINK("https://abi.ru/products/Замороженные/No Name/No Name ЗПФ/Пельмени/P002413/","Пельмени Пуговки с говядиной и свининой No Name Весовые Сфера No Name 5 кг")</f>
        <v/>
      </c>
      <c r="N175" s="365" t="n"/>
      <c r="O175" s="365" t="n"/>
      <c r="P175" s="365" t="n"/>
      <c r="Q175" s="331" t="n"/>
      <c r="R175" s="40" t="inlineStr"/>
      <c r="S175" s="40" t="inlineStr"/>
      <c r="T175" s="41" t="inlineStr">
        <is>
          <t>кор</t>
        </is>
      </c>
      <c r="U175" s="366" t="n">
        <v>242</v>
      </c>
      <c r="V175" s="367">
        <f>IFERROR(IF(U175="","",U175),"")</f>
        <v/>
      </c>
      <c r="W175" s="42">
        <f>IFERROR(IF(U175="","",U175*0.00866),"")</f>
        <v/>
      </c>
      <c r="X175" s="69" t="inlineStr"/>
      <c r="Y175" s="70" t="inlineStr"/>
      <c r="AC175" s="74" t="n"/>
      <c r="AZ175" s="142" t="inlineStr">
        <is>
          <t>ЗПФ</t>
        </is>
      </c>
    </row>
    <row r="176" ht="27" customHeight="1">
      <c r="A176" s="64" t="inlineStr">
        <is>
          <t>SU002335</t>
        </is>
      </c>
      <c r="B176" s="64" t="inlineStr">
        <is>
          <t>P002980</t>
        </is>
      </c>
      <c r="C176" s="37" t="n">
        <v>4301070911</v>
      </c>
      <c r="D176" s="222" t="n">
        <v>4607111036278</v>
      </c>
      <c r="E176" s="331" t="n"/>
      <c r="F176" s="363" t="n">
        <v>1</v>
      </c>
      <c r="G176" s="38" t="n">
        <v>5</v>
      </c>
      <c r="H176" s="363" t="n">
        <v>5</v>
      </c>
      <c r="I176" s="363" t="n">
        <v>5.283</v>
      </c>
      <c r="J176" s="38" t="n">
        <v>84</v>
      </c>
      <c r="K176" s="39" t="inlineStr">
        <is>
          <t>МГ</t>
        </is>
      </c>
      <c r="L176" s="38" t="n">
        <v>120</v>
      </c>
      <c r="M176" s="438">
        <f>HYPERLINK("https://abi.ru/products/Замороженные/No Name/No Name ЗПФ/Пельмени/P002980/","Пельмени Умелый повар No name Весовые Равиоли No name 5 кг")</f>
        <v/>
      </c>
      <c r="N176" s="365" t="n"/>
      <c r="O176" s="365" t="n"/>
      <c r="P176" s="365" t="n"/>
      <c r="Q176" s="331" t="n"/>
      <c r="R176" s="40" t="inlineStr"/>
      <c r="S176" s="40" t="inlineStr"/>
      <c r="T176" s="41" t="inlineStr">
        <is>
          <t>кор</t>
        </is>
      </c>
      <c r="U176" s="366" t="n">
        <v>0</v>
      </c>
      <c r="V176" s="367">
        <f>IFERROR(IF(U176="","",U176),"")</f>
        <v/>
      </c>
      <c r="W176" s="42">
        <f>IFERROR(IF(U176="","",U176*0.0155),"")</f>
        <v/>
      </c>
      <c r="X176" s="69" t="inlineStr"/>
      <c r="Y176" s="70" t="inlineStr"/>
      <c r="AC176" s="74" t="n"/>
      <c r="AZ176" s="143" t="inlineStr">
        <is>
          <t>ЗПФ</t>
        </is>
      </c>
    </row>
    <row r="177">
      <c r="A177" s="230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368" t="n"/>
      <c r="M177" s="369" t="inlineStr">
        <is>
          <t>Итого</t>
        </is>
      </c>
      <c r="N177" s="339" t="n"/>
      <c r="O177" s="339" t="n"/>
      <c r="P177" s="339" t="n"/>
      <c r="Q177" s="339" t="n"/>
      <c r="R177" s="339" t="n"/>
      <c r="S177" s="340" t="n"/>
      <c r="T177" s="43" t="inlineStr">
        <is>
          <t>кор</t>
        </is>
      </c>
      <c r="U177" s="370">
        <f>IFERROR(SUM(U173:U176),"0")</f>
        <v/>
      </c>
      <c r="V177" s="370">
        <f>IFERROR(SUM(V173:V176),"0")</f>
        <v/>
      </c>
      <c r="W177" s="370">
        <f>IFERROR(IF(W173="",0,W173),"0")+IFERROR(IF(W174="",0,W174),"0")+IFERROR(IF(W175="",0,W175),"0")+IFERROR(IF(W176="",0,W176),"0")</f>
        <v/>
      </c>
      <c r="X177" s="371" t="n"/>
      <c r="Y177" s="371" t="n"/>
    </row>
    <row r="17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368" t="n"/>
      <c r="M178" s="369" t="inlineStr">
        <is>
          <t>Итого</t>
        </is>
      </c>
      <c r="N178" s="339" t="n"/>
      <c r="O178" s="339" t="n"/>
      <c r="P178" s="339" t="n"/>
      <c r="Q178" s="339" t="n"/>
      <c r="R178" s="339" t="n"/>
      <c r="S178" s="340" t="n"/>
      <c r="T178" s="43" t="inlineStr">
        <is>
          <t>кг</t>
        </is>
      </c>
      <c r="U178" s="370">
        <f>IFERROR(SUMPRODUCT(U173:U176*H173:H176),"0")</f>
        <v/>
      </c>
      <c r="V178" s="370">
        <f>IFERROR(SUMPRODUCT(V173:V176*H173:H176),"0")</f>
        <v/>
      </c>
      <c r="W178" s="43" t="n"/>
      <c r="X178" s="371" t="n"/>
      <c r="Y178" s="371" t="n"/>
    </row>
    <row r="179" ht="14.25" customHeight="1">
      <c r="A179" s="221" t="inlineStr">
        <is>
          <t>Вареники</t>
        </is>
      </c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221" t="n"/>
      <c r="Y179" s="221" t="n"/>
    </row>
    <row r="180" ht="27" customHeight="1">
      <c r="A180" s="64" t="inlineStr">
        <is>
          <t>SU002532</t>
        </is>
      </c>
      <c r="B180" s="64" t="inlineStr">
        <is>
          <t>P002958</t>
        </is>
      </c>
      <c r="C180" s="37" t="n">
        <v>4301080153</v>
      </c>
      <c r="D180" s="222" t="n">
        <v>4607111036827</v>
      </c>
      <c r="E180" s="331" t="n"/>
      <c r="F180" s="363" t="n">
        <v>1</v>
      </c>
      <c r="G180" s="38" t="n">
        <v>5</v>
      </c>
      <c r="H180" s="363" t="n">
        <v>5</v>
      </c>
      <c r="I180" s="363" t="n">
        <v>5.2</v>
      </c>
      <c r="J180" s="38" t="n">
        <v>144</v>
      </c>
      <c r="K180" s="39" t="inlineStr">
        <is>
          <t>МГ</t>
        </is>
      </c>
      <c r="L180" s="38" t="n">
        <v>90</v>
      </c>
      <c r="M180" s="439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N180" s="365" t="n"/>
      <c r="O180" s="365" t="n"/>
      <c r="P180" s="365" t="n"/>
      <c r="Q180" s="331" t="n"/>
      <c r="R180" s="40" t="inlineStr"/>
      <c r="S180" s="40" t="inlineStr"/>
      <c r="T180" s="41" t="inlineStr">
        <is>
          <t>кор</t>
        </is>
      </c>
      <c r="U180" s="366" t="n">
        <v>0</v>
      </c>
      <c r="V180" s="367">
        <f>IFERROR(IF(U180="","",U180),"")</f>
        <v/>
      </c>
      <c r="W180" s="42">
        <f>IFERROR(IF(U180="","",U180*0.00866),"")</f>
        <v/>
      </c>
      <c r="X180" s="69" t="inlineStr"/>
      <c r="Y180" s="70" t="inlineStr"/>
      <c r="AC180" s="74" t="n"/>
      <c r="AZ180" s="144" t="inlineStr">
        <is>
          <t>ЗПФ</t>
        </is>
      </c>
    </row>
    <row r="181" ht="27" customHeight="1">
      <c r="A181" s="64" t="inlineStr">
        <is>
          <t>SU002483</t>
        </is>
      </c>
      <c r="B181" s="64" t="inlineStr">
        <is>
          <t>P002961</t>
        </is>
      </c>
      <c r="C181" s="37" t="n">
        <v>4301080154</v>
      </c>
      <c r="D181" s="222" t="n">
        <v>4607111036834</v>
      </c>
      <c r="E181" s="331" t="n"/>
      <c r="F181" s="363" t="n">
        <v>1</v>
      </c>
      <c r="G181" s="38" t="n">
        <v>5</v>
      </c>
      <c r="H181" s="363" t="n">
        <v>5</v>
      </c>
      <c r="I181" s="363" t="n">
        <v>5.253</v>
      </c>
      <c r="J181" s="38" t="n">
        <v>144</v>
      </c>
      <c r="K181" s="39" t="inlineStr">
        <is>
          <t>МГ</t>
        </is>
      </c>
      <c r="L181" s="38" t="n">
        <v>90</v>
      </c>
      <c r="M181" s="440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N181" s="365" t="n"/>
      <c r="O181" s="365" t="n"/>
      <c r="P181" s="365" t="n"/>
      <c r="Q181" s="331" t="n"/>
      <c r="R181" s="40" t="inlineStr"/>
      <c r="S181" s="40" t="inlineStr"/>
      <c r="T181" s="41" t="inlineStr">
        <is>
          <t>кор</t>
        </is>
      </c>
      <c r="U181" s="366" t="n">
        <v>0</v>
      </c>
      <c r="V181" s="367">
        <f>IFERROR(IF(U181="","",U181),"")</f>
        <v/>
      </c>
      <c r="W181" s="42">
        <f>IFERROR(IF(U181="","",U181*0.00866),"")</f>
        <v/>
      </c>
      <c r="X181" s="69" t="inlineStr"/>
      <c r="Y181" s="70" t="inlineStr"/>
      <c r="AC181" s="74" t="n"/>
      <c r="AZ181" s="145" t="inlineStr">
        <is>
          <t>ЗПФ</t>
        </is>
      </c>
    </row>
    <row r="182">
      <c r="A182" s="230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368" t="n"/>
      <c r="M182" s="369" t="inlineStr">
        <is>
          <t>Итого</t>
        </is>
      </c>
      <c r="N182" s="339" t="n"/>
      <c r="O182" s="339" t="n"/>
      <c r="P182" s="339" t="n"/>
      <c r="Q182" s="339" t="n"/>
      <c r="R182" s="339" t="n"/>
      <c r="S182" s="340" t="n"/>
      <c r="T182" s="43" t="inlineStr">
        <is>
          <t>кор</t>
        </is>
      </c>
      <c r="U182" s="370">
        <f>IFERROR(SUM(U180:U181),"0")</f>
        <v/>
      </c>
      <c r="V182" s="370">
        <f>IFERROR(SUM(V180:V181),"0")</f>
        <v/>
      </c>
      <c r="W182" s="370">
        <f>IFERROR(IF(W180="",0,W180),"0")+IFERROR(IF(W181="",0,W181),"0")</f>
        <v/>
      </c>
      <c r="X182" s="371" t="n"/>
      <c r="Y182" s="371" t="n"/>
    </row>
    <row r="18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368" t="n"/>
      <c r="M183" s="369" t="inlineStr">
        <is>
          <t>Итого</t>
        </is>
      </c>
      <c r="N183" s="339" t="n"/>
      <c r="O183" s="339" t="n"/>
      <c r="P183" s="339" t="n"/>
      <c r="Q183" s="339" t="n"/>
      <c r="R183" s="339" t="n"/>
      <c r="S183" s="340" t="n"/>
      <c r="T183" s="43" t="inlineStr">
        <is>
          <t>кг</t>
        </is>
      </c>
      <c r="U183" s="370">
        <f>IFERROR(SUMPRODUCT(U180:U181*H180:H181),"0")</f>
        <v/>
      </c>
      <c r="V183" s="370">
        <f>IFERROR(SUMPRODUCT(V180:V181*H180:H181),"0")</f>
        <v/>
      </c>
      <c r="W183" s="43" t="n"/>
      <c r="X183" s="371" t="n"/>
      <c r="Y183" s="371" t="n"/>
    </row>
    <row r="184" ht="27.75" customHeight="1">
      <c r="A184" s="219" t="inlineStr">
        <is>
          <t>Вязанка</t>
        </is>
      </c>
      <c r="B184" s="362" t="n"/>
      <c r="C184" s="362" t="n"/>
      <c r="D184" s="362" t="n"/>
      <c r="E184" s="362" t="n"/>
      <c r="F184" s="362" t="n"/>
      <c r="G184" s="362" t="n"/>
      <c r="H184" s="362" t="n"/>
      <c r="I184" s="362" t="n"/>
      <c r="J184" s="362" t="n"/>
      <c r="K184" s="362" t="n"/>
      <c r="L184" s="362" t="n"/>
      <c r="M184" s="362" t="n"/>
      <c r="N184" s="362" t="n"/>
      <c r="O184" s="362" t="n"/>
      <c r="P184" s="362" t="n"/>
      <c r="Q184" s="362" t="n"/>
      <c r="R184" s="362" t="n"/>
      <c r="S184" s="362" t="n"/>
      <c r="T184" s="362" t="n"/>
      <c r="U184" s="362" t="n"/>
      <c r="V184" s="362" t="n"/>
      <c r="W184" s="362" t="n"/>
      <c r="X184" s="55" t="n"/>
      <c r="Y184" s="55" t="n"/>
    </row>
    <row r="185" ht="16.5" customHeight="1">
      <c r="A185" s="220" t="inlineStr">
        <is>
          <t>Няняггетсы Сливушки</t>
        </is>
      </c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220" t="n"/>
      <c r="Y185" s="220" t="n"/>
    </row>
    <row r="186" ht="14.25" customHeight="1">
      <c r="A186" s="221" t="inlineStr">
        <is>
          <t>Наггетсы</t>
        </is>
      </c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221" t="n"/>
      <c r="Y186" s="221" t="n"/>
    </row>
    <row r="187" ht="16.5" customHeight="1">
      <c r="A187" s="64" t="inlineStr">
        <is>
          <t>SU002516</t>
        </is>
      </c>
      <c r="B187" s="64" t="inlineStr">
        <is>
          <t>P002823</t>
        </is>
      </c>
      <c r="C187" s="37" t="n">
        <v>4301132048</v>
      </c>
      <c r="D187" s="222" t="n">
        <v>4607111035721</v>
      </c>
      <c r="E187" s="331" t="n"/>
      <c r="F187" s="363" t="n">
        <v>0.25</v>
      </c>
      <c r="G187" s="38" t="n">
        <v>12</v>
      </c>
      <c r="H187" s="363" t="n">
        <v>3</v>
      </c>
      <c r="I187" s="363" t="n">
        <v>3.388</v>
      </c>
      <c r="J187" s="38" t="n">
        <v>70</v>
      </c>
      <c r="K187" s="39" t="inlineStr">
        <is>
          <t>МГ</t>
        </is>
      </c>
      <c r="L187" s="38" t="n">
        <v>180</v>
      </c>
      <c r="M187" s="441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N187" s="365" t="n"/>
      <c r="O187" s="365" t="n"/>
      <c r="P187" s="365" t="n"/>
      <c r="Q187" s="331" t="n"/>
      <c r="R187" s="40" t="inlineStr"/>
      <c r="S187" s="40" t="inlineStr"/>
      <c r="T187" s="41" t="inlineStr">
        <is>
          <t>кор</t>
        </is>
      </c>
      <c r="U187" s="366" t="n">
        <v>41</v>
      </c>
      <c r="V187" s="367">
        <f>IFERROR(IF(U187="","",U187),"")</f>
        <v/>
      </c>
      <c r="W187" s="42">
        <f>IFERROR(IF(U187="","",U187*0.01788),"")</f>
        <v/>
      </c>
      <c r="X187" s="69" t="inlineStr"/>
      <c r="Y187" s="70" t="inlineStr"/>
      <c r="AC187" s="74" t="n"/>
      <c r="AZ187" s="146" t="inlineStr">
        <is>
          <t>ПГП</t>
        </is>
      </c>
    </row>
    <row r="188" ht="27" customHeight="1">
      <c r="A188" s="64" t="inlineStr">
        <is>
          <t>SU002514</t>
        </is>
      </c>
      <c r="B188" s="64" t="inlineStr">
        <is>
          <t>P002820</t>
        </is>
      </c>
      <c r="C188" s="37" t="n">
        <v>4301132046</v>
      </c>
      <c r="D188" s="222" t="n">
        <v>4607111035691</v>
      </c>
      <c r="E188" s="331" t="n"/>
      <c r="F188" s="363" t="n">
        <v>0.25</v>
      </c>
      <c r="G188" s="38" t="n">
        <v>12</v>
      </c>
      <c r="H188" s="363" t="n">
        <v>3</v>
      </c>
      <c r="I188" s="363" t="n">
        <v>3.388</v>
      </c>
      <c r="J188" s="38" t="n">
        <v>70</v>
      </c>
      <c r="K188" s="39" t="inlineStr">
        <is>
          <t>МГ</t>
        </is>
      </c>
      <c r="L188" s="38" t="n">
        <v>180</v>
      </c>
      <c r="M188" s="442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N188" s="365" t="n"/>
      <c r="O188" s="365" t="n"/>
      <c r="P188" s="365" t="n"/>
      <c r="Q188" s="331" t="n"/>
      <c r="R188" s="40" t="inlineStr"/>
      <c r="S188" s="40" t="inlineStr"/>
      <c r="T188" s="41" t="inlineStr">
        <is>
          <t>кор</t>
        </is>
      </c>
      <c r="U188" s="366" t="n">
        <v>45</v>
      </c>
      <c r="V188" s="367">
        <f>IFERROR(IF(U188="","",U188),"")</f>
        <v/>
      </c>
      <c r="W188" s="42">
        <f>IFERROR(IF(U188="","",U188*0.01788),"")</f>
        <v/>
      </c>
      <c r="X188" s="69" t="inlineStr"/>
      <c r="Y188" s="70" t="inlineStr"/>
      <c r="AC188" s="74" t="n"/>
      <c r="AZ188" s="147" t="inlineStr">
        <is>
          <t>ПГП</t>
        </is>
      </c>
    </row>
    <row r="189">
      <c r="A189" s="230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368" t="n"/>
      <c r="M189" s="369" t="inlineStr">
        <is>
          <t>Итого</t>
        </is>
      </c>
      <c r="N189" s="339" t="n"/>
      <c r="O189" s="339" t="n"/>
      <c r="P189" s="339" t="n"/>
      <c r="Q189" s="339" t="n"/>
      <c r="R189" s="339" t="n"/>
      <c r="S189" s="340" t="n"/>
      <c r="T189" s="43" t="inlineStr">
        <is>
          <t>кор</t>
        </is>
      </c>
      <c r="U189" s="370">
        <f>IFERROR(SUM(U187:U188),"0")</f>
        <v/>
      </c>
      <c r="V189" s="370">
        <f>IFERROR(SUM(V187:V188),"0")</f>
        <v/>
      </c>
      <c r="W189" s="370">
        <f>IFERROR(IF(W187="",0,W187),"0")+IFERROR(IF(W188="",0,W188),"0")</f>
        <v/>
      </c>
      <c r="X189" s="371" t="n"/>
      <c r="Y189" s="371" t="n"/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368" t="n"/>
      <c r="M190" s="369" t="inlineStr">
        <is>
          <t>Итого</t>
        </is>
      </c>
      <c r="N190" s="339" t="n"/>
      <c r="O190" s="339" t="n"/>
      <c r="P190" s="339" t="n"/>
      <c r="Q190" s="339" t="n"/>
      <c r="R190" s="339" t="n"/>
      <c r="S190" s="340" t="n"/>
      <c r="T190" s="43" t="inlineStr">
        <is>
          <t>кг</t>
        </is>
      </c>
      <c r="U190" s="370">
        <f>IFERROR(SUMPRODUCT(U187:U188*H187:H188),"0")</f>
        <v/>
      </c>
      <c r="V190" s="370">
        <f>IFERROR(SUMPRODUCT(V187:V188*H187:H188),"0")</f>
        <v/>
      </c>
      <c r="W190" s="43" t="n"/>
      <c r="X190" s="371" t="n"/>
      <c r="Y190" s="371" t="n"/>
    </row>
    <row r="191" ht="16.5" customHeight="1">
      <c r="A191" s="220" t="inlineStr">
        <is>
          <t>Печеные пельмени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220" t="n"/>
      <c r="Y191" s="220" t="n"/>
    </row>
    <row r="192" ht="14.25" customHeight="1">
      <c r="A192" s="221" t="inlineStr">
        <is>
          <t>Печеные пельмени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221" t="n"/>
      <c r="Y192" s="221" t="n"/>
    </row>
    <row r="193" ht="27" customHeight="1">
      <c r="A193" s="64" t="inlineStr">
        <is>
          <t>SU002225</t>
        </is>
      </c>
      <c r="B193" s="64" t="inlineStr">
        <is>
          <t>P002411</t>
        </is>
      </c>
      <c r="C193" s="37" t="n">
        <v>4301133002</v>
      </c>
      <c r="D193" s="222" t="n">
        <v>4607111035783</v>
      </c>
      <c r="E193" s="331" t="n"/>
      <c r="F193" s="363" t="n">
        <v>0.2</v>
      </c>
      <c r="G193" s="38" t="n">
        <v>8</v>
      </c>
      <c r="H193" s="363" t="n">
        <v>1.6</v>
      </c>
      <c r="I193" s="363" t="n">
        <v>2.12</v>
      </c>
      <c r="J193" s="38" t="n">
        <v>72</v>
      </c>
      <c r="K193" s="39" t="inlineStr">
        <is>
          <t>МГ</t>
        </is>
      </c>
      <c r="L193" s="38" t="n">
        <v>180</v>
      </c>
      <c r="M193" s="443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N193" s="365" t="n"/>
      <c r="O193" s="365" t="n"/>
      <c r="P193" s="365" t="n"/>
      <c r="Q193" s="331" t="n"/>
      <c r="R193" s="40" t="inlineStr"/>
      <c r="S193" s="40" t="inlineStr"/>
      <c r="T193" s="41" t="inlineStr">
        <is>
          <t>кор</t>
        </is>
      </c>
      <c r="U193" s="366" t="n">
        <v>0</v>
      </c>
      <c r="V193" s="367">
        <f>IFERROR(IF(U193="","",U193),"")</f>
        <v/>
      </c>
      <c r="W193" s="42">
        <f>IFERROR(IF(U193="","",U193*0.01157),"")</f>
        <v/>
      </c>
      <c r="X193" s="69" t="inlineStr"/>
      <c r="Y193" s="70" t="inlineStr"/>
      <c r="AC193" s="74" t="n"/>
      <c r="AZ193" s="148" t="inlineStr">
        <is>
          <t>ПГП</t>
        </is>
      </c>
    </row>
    <row r="194">
      <c r="A194" s="230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368" t="n"/>
      <c r="M194" s="369" t="inlineStr">
        <is>
          <t>Итого</t>
        </is>
      </c>
      <c r="N194" s="339" t="n"/>
      <c r="O194" s="339" t="n"/>
      <c r="P194" s="339" t="n"/>
      <c r="Q194" s="339" t="n"/>
      <c r="R194" s="339" t="n"/>
      <c r="S194" s="340" t="n"/>
      <c r="T194" s="43" t="inlineStr">
        <is>
          <t>кор</t>
        </is>
      </c>
      <c r="U194" s="370">
        <f>IFERROR(SUM(U193:U193),"0")</f>
        <v/>
      </c>
      <c r="V194" s="370">
        <f>IFERROR(SUM(V193:V193),"0")</f>
        <v/>
      </c>
      <c r="W194" s="370">
        <f>IFERROR(IF(W193="",0,W193),"0")</f>
        <v/>
      </c>
      <c r="X194" s="371" t="n"/>
      <c r="Y194" s="371" t="n"/>
    </row>
    <row r="195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368" t="n"/>
      <c r="M195" s="369" t="inlineStr">
        <is>
          <t>Итого</t>
        </is>
      </c>
      <c r="N195" s="339" t="n"/>
      <c r="O195" s="339" t="n"/>
      <c r="P195" s="339" t="n"/>
      <c r="Q195" s="339" t="n"/>
      <c r="R195" s="339" t="n"/>
      <c r="S195" s="340" t="n"/>
      <c r="T195" s="43" t="inlineStr">
        <is>
          <t>кг</t>
        </is>
      </c>
      <c r="U195" s="370">
        <f>IFERROR(SUMPRODUCT(U193:U193*H193:H193),"0")</f>
        <v/>
      </c>
      <c r="V195" s="370">
        <f>IFERROR(SUMPRODUCT(V193:V193*H193:H193),"0")</f>
        <v/>
      </c>
      <c r="W195" s="43" t="n"/>
      <c r="X195" s="371" t="n"/>
      <c r="Y195" s="371" t="n"/>
    </row>
    <row r="196" ht="16.5" customHeight="1">
      <c r="A196" s="220" t="inlineStr">
        <is>
          <t>Вязанка</t>
        </is>
      </c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220" t="n"/>
      <c r="Y196" s="220" t="n"/>
    </row>
    <row r="197" ht="14.25" customHeight="1">
      <c r="A197" s="221" t="inlineStr">
        <is>
          <t>Сосиски замороженные</t>
        </is>
      </c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221" t="n"/>
      <c r="Y197" s="221" t="n"/>
    </row>
    <row r="198" ht="27" customHeight="1">
      <c r="A198" s="64" t="inlineStr">
        <is>
          <t>SU002677</t>
        </is>
      </c>
      <c r="B198" s="64" t="inlineStr">
        <is>
          <t>P003053</t>
        </is>
      </c>
      <c r="C198" s="37" t="n">
        <v>4301051319</v>
      </c>
      <c r="D198" s="222" t="n">
        <v>4680115881204</v>
      </c>
      <c r="E198" s="331" t="n"/>
      <c r="F198" s="363" t="n">
        <v>0.33</v>
      </c>
      <c r="G198" s="38" t="n">
        <v>6</v>
      </c>
      <c r="H198" s="363" t="n">
        <v>1.98</v>
      </c>
      <c r="I198" s="363" t="n">
        <v>2.246</v>
      </c>
      <c r="J198" s="38" t="n">
        <v>156</v>
      </c>
      <c r="K198" s="39" t="inlineStr">
        <is>
          <t>СК2</t>
        </is>
      </c>
      <c r="L198" s="38" t="n">
        <v>365</v>
      </c>
      <c r="M198" s="444" t="inlineStr">
        <is>
          <t>Сосиски «Сливушки #нежнушки» замороженные Фикс.вес 0,33 п/а ТМ «Вязанка»</t>
        </is>
      </c>
      <c r="N198" s="365" t="n"/>
      <c r="O198" s="365" t="n"/>
      <c r="P198" s="365" t="n"/>
      <c r="Q198" s="331" t="n"/>
      <c r="R198" s="40" t="inlineStr"/>
      <c r="S198" s="40" t="inlineStr"/>
      <c r="T198" s="41" t="inlineStr">
        <is>
          <t>кор</t>
        </is>
      </c>
      <c r="U198" s="366" t="n">
        <v>0</v>
      </c>
      <c r="V198" s="367">
        <f>IFERROR(IF(U198="","",U198),"")</f>
        <v/>
      </c>
      <c r="W198" s="42">
        <f>IFERROR(IF(U198="","",U198*0.00753),"")</f>
        <v/>
      </c>
      <c r="X198" s="69" t="inlineStr"/>
      <c r="Y198" s="70" t="inlineStr"/>
      <c r="AC198" s="74" t="n"/>
      <c r="AZ198" s="149" t="inlineStr">
        <is>
          <t>КИЗ</t>
        </is>
      </c>
    </row>
    <row r="199">
      <c r="A199" s="230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368" t="n"/>
      <c r="M199" s="369" t="inlineStr">
        <is>
          <t>Итого</t>
        </is>
      </c>
      <c r="N199" s="339" t="n"/>
      <c r="O199" s="339" t="n"/>
      <c r="P199" s="339" t="n"/>
      <c r="Q199" s="339" t="n"/>
      <c r="R199" s="339" t="n"/>
      <c r="S199" s="340" t="n"/>
      <c r="T199" s="43" t="inlineStr">
        <is>
          <t>кор</t>
        </is>
      </c>
      <c r="U199" s="370">
        <f>IFERROR(SUM(U198:U198),"0")</f>
        <v/>
      </c>
      <c r="V199" s="370">
        <f>IFERROR(SUM(V198:V198),"0")</f>
        <v/>
      </c>
      <c r="W199" s="370">
        <f>IFERROR(IF(W198="",0,W198),"0")</f>
        <v/>
      </c>
      <c r="X199" s="371" t="n"/>
      <c r="Y199" s="371" t="n"/>
    </row>
    <row r="200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368" t="n"/>
      <c r="M200" s="369" t="inlineStr">
        <is>
          <t>Итого</t>
        </is>
      </c>
      <c r="N200" s="339" t="n"/>
      <c r="O200" s="339" t="n"/>
      <c r="P200" s="339" t="n"/>
      <c r="Q200" s="339" t="n"/>
      <c r="R200" s="339" t="n"/>
      <c r="S200" s="340" t="n"/>
      <c r="T200" s="43" t="inlineStr">
        <is>
          <t>кг</t>
        </is>
      </c>
      <c r="U200" s="370">
        <f>IFERROR(SUMPRODUCT(U198:U198*H198:H198),"0")</f>
        <v/>
      </c>
      <c r="V200" s="370">
        <f>IFERROR(SUMPRODUCT(V198:V198*H198:H198),"0")</f>
        <v/>
      </c>
      <c r="W200" s="43" t="n"/>
      <c r="X200" s="371" t="n"/>
      <c r="Y200" s="371" t="n"/>
    </row>
    <row r="201" ht="27.75" customHeight="1">
      <c r="A201" s="219" t="inlineStr">
        <is>
          <t>Стародворье</t>
        </is>
      </c>
      <c r="B201" s="362" t="n"/>
      <c r="C201" s="362" t="n"/>
      <c r="D201" s="362" t="n"/>
      <c r="E201" s="362" t="n"/>
      <c r="F201" s="362" t="n"/>
      <c r="G201" s="362" t="n"/>
      <c r="H201" s="362" t="n"/>
      <c r="I201" s="362" t="n"/>
      <c r="J201" s="362" t="n"/>
      <c r="K201" s="362" t="n"/>
      <c r="L201" s="362" t="n"/>
      <c r="M201" s="362" t="n"/>
      <c r="N201" s="362" t="n"/>
      <c r="O201" s="362" t="n"/>
      <c r="P201" s="362" t="n"/>
      <c r="Q201" s="362" t="n"/>
      <c r="R201" s="362" t="n"/>
      <c r="S201" s="362" t="n"/>
      <c r="T201" s="362" t="n"/>
      <c r="U201" s="362" t="n"/>
      <c r="V201" s="362" t="n"/>
      <c r="W201" s="362" t="n"/>
      <c r="X201" s="55" t="n"/>
      <c r="Y201" s="55" t="n"/>
    </row>
    <row r="202" ht="16.5" customHeight="1">
      <c r="A202" s="220" t="inlineStr">
        <is>
          <t>Стародворье ЗПФ</t>
        </is>
      </c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220" t="n"/>
      <c r="Y202" s="220" t="n"/>
    </row>
    <row r="203" ht="14.25" customHeight="1">
      <c r="A203" s="221" t="inlineStr">
        <is>
          <t>Пельмени</t>
        </is>
      </c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221" t="n"/>
      <c r="Y203" s="221" t="n"/>
    </row>
    <row r="204" ht="27" customHeight="1">
      <c r="A204" s="64" t="inlineStr">
        <is>
          <t>SU002920</t>
        </is>
      </c>
      <c r="B204" s="64" t="inlineStr">
        <is>
          <t>P003355</t>
        </is>
      </c>
      <c r="C204" s="37" t="n">
        <v>4301070948</v>
      </c>
      <c r="D204" s="222" t="n">
        <v>4607111037022</v>
      </c>
      <c r="E204" s="331" t="n"/>
      <c r="F204" s="363" t="n">
        <v>0.7</v>
      </c>
      <c r="G204" s="38" t="n">
        <v>8</v>
      </c>
      <c r="H204" s="363" t="n">
        <v>5.6</v>
      </c>
      <c r="I204" s="363" t="n">
        <v>5.87</v>
      </c>
      <c r="J204" s="38" t="n">
        <v>84</v>
      </c>
      <c r="K204" s="39" t="inlineStr">
        <is>
          <t>МГ</t>
        </is>
      </c>
      <c r="L204" s="38" t="n">
        <v>180</v>
      </c>
      <c r="M204" s="445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/>
      </c>
      <c r="N204" s="365" t="n"/>
      <c r="O204" s="365" t="n"/>
      <c r="P204" s="365" t="n"/>
      <c r="Q204" s="331" t="n"/>
      <c r="R204" s="40" t="inlineStr"/>
      <c r="S204" s="40" t="inlineStr"/>
      <c r="T204" s="41" t="inlineStr">
        <is>
          <t>кор</t>
        </is>
      </c>
      <c r="U204" s="366" t="n">
        <v>0</v>
      </c>
      <c r="V204" s="367">
        <f>IFERROR(IF(U204="","",U204),"")</f>
        <v/>
      </c>
      <c r="W204" s="42">
        <f>IFERROR(IF(U204="","",U204*0.0155),"")</f>
        <v/>
      </c>
      <c r="X204" s="69" t="inlineStr"/>
      <c r="Y204" s="70" t="inlineStr"/>
      <c r="AC204" s="74" t="n"/>
      <c r="AZ204" s="150" t="inlineStr">
        <is>
          <t>ЗПФ</t>
        </is>
      </c>
    </row>
    <row r="205">
      <c r="A205" s="230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368" t="n"/>
      <c r="M205" s="369" t="inlineStr">
        <is>
          <t>Итого</t>
        </is>
      </c>
      <c r="N205" s="339" t="n"/>
      <c r="O205" s="339" t="n"/>
      <c r="P205" s="339" t="n"/>
      <c r="Q205" s="339" t="n"/>
      <c r="R205" s="339" t="n"/>
      <c r="S205" s="340" t="n"/>
      <c r="T205" s="43" t="inlineStr">
        <is>
          <t>кор</t>
        </is>
      </c>
      <c r="U205" s="370">
        <f>IFERROR(SUM(U204:U204),"0")</f>
        <v/>
      </c>
      <c r="V205" s="370">
        <f>IFERROR(SUM(V204:V204),"0")</f>
        <v/>
      </c>
      <c r="W205" s="370">
        <f>IFERROR(IF(W204="",0,W204),"0")</f>
        <v/>
      </c>
      <c r="X205" s="371" t="n"/>
      <c r="Y205" s="371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368" t="n"/>
      <c r="M206" s="369" t="inlineStr">
        <is>
          <t>Итого</t>
        </is>
      </c>
      <c r="N206" s="339" t="n"/>
      <c r="O206" s="339" t="n"/>
      <c r="P206" s="339" t="n"/>
      <c r="Q206" s="339" t="n"/>
      <c r="R206" s="339" t="n"/>
      <c r="S206" s="340" t="n"/>
      <c r="T206" s="43" t="inlineStr">
        <is>
          <t>кг</t>
        </is>
      </c>
      <c r="U206" s="370">
        <f>IFERROR(SUMPRODUCT(U204:U204*H204:H204),"0")</f>
        <v/>
      </c>
      <c r="V206" s="370">
        <f>IFERROR(SUMPRODUCT(V204:V204*H204:H204),"0")</f>
        <v/>
      </c>
      <c r="W206" s="43" t="n"/>
      <c r="X206" s="371" t="n"/>
      <c r="Y206" s="371" t="n"/>
    </row>
    <row r="207" ht="16.5" customHeight="1">
      <c r="A207" s="220" t="inlineStr">
        <is>
          <t>Медвежье ушко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220" t="n"/>
      <c r="Y207" s="220" t="n"/>
    </row>
    <row r="208" ht="14.25" customHeight="1">
      <c r="A208" s="221" t="inlineStr">
        <is>
          <t>Пельмени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221" t="n"/>
      <c r="Y208" s="221" t="n"/>
    </row>
    <row r="209" ht="27" customHeight="1">
      <c r="A209" s="64" t="inlineStr">
        <is>
          <t>SU002067</t>
        </is>
      </c>
      <c r="B209" s="64" t="inlineStr">
        <is>
          <t>P002999</t>
        </is>
      </c>
      <c r="C209" s="37" t="n">
        <v>4301070915</v>
      </c>
      <c r="D209" s="222" t="n">
        <v>4607111035882</v>
      </c>
      <c r="E209" s="331" t="n"/>
      <c r="F209" s="363" t="n">
        <v>0.43</v>
      </c>
      <c r="G209" s="38" t="n">
        <v>16</v>
      </c>
      <c r="H209" s="363" t="n">
        <v>6.88</v>
      </c>
      <c r="I209" s="363" t="n">
        <v>7.19</v>
      </c>
      <c r="J209" s="38" t="n">
        <v>84</v>
      </c>
      <c r="K209" s="39" t="inlineStr">
        <is>
          <t>МГ</t>
        </is>
      </c>
      <c r="L209" s="38" t="n">
        <v>180</v>
      </c>
      <c r="M209" s="446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N209" s="365" t="n"/>
      <c r="O209" s="365" t="n"/>
      <c r="P209" s="365" t="n"/>
      <c r="Q209" s="331" t="n"/>
      <c r="R209" s="40" t="inlineStr"/>
      <c r="S209" s="40" t="inlineStr"/>
      <c r="T209" s="41" t="inlineStr">
        <is>
          <t>кор</t>
        </is>
      </c>
      <c r="U209" s="366" t="n">
        <v>0</v>
      </c>
      <c r="V209" s="367">
        <f>IFERROR(IF(U209="","",U209),"")</f>
        <v/>
      </c>
      <c r="W209" s="42">
        <f>IFERROR(IF(U209="","",U209*0.0155),"")</f>
        <v/>
      </c>
      <c r="X209" s="69" t="inlineStr"/>
      <c r="Y209" s="70" t="inlineStr"/>
      <c r="AC209" s="74" t="n"/>
      <c r="AZ209" s="151" t="inlineStr">
        <is>
          <t>ЗПФ</t>
        </is>
      </c>
    </row>
    <row r="210" ht="27" customHeight="1">
      <c r="A210" s="64" t="inlineStr">
        <is>
          <t>SU002068</t>
        </is>
      </c>
      <c r="B210" s="64" t="inlineStr">
        <is>
          <t>P003005</t>
        </is>
      </c>
      <c r="C210" s="37" t="n">
        <v>4301070921</v>
      </c>
      <c r="D210" s="222" t="n">
        <v>4607111035905</v>
      </c>
      <c r="E210" s="331" t="n"/>
      <c r="F210" s="363" t="n">
        <v>0.9</v>
      </c>
      <c r="G210" s="38" t="n">
        <v>8</v>
      </c>
      <c r="H210" s="363" t="n">
        <v>7.2</v>
      </c>
      <c r="I210" s="363" t="n">
        <v>7.47</v>
      </c>
      <c r="J210" s="38" t="n">
        <v>84</v>
      </c>
      <c r="K210" s="39" t="inlineStr">
        <is>
          <t>МГ</t>
        </is>
      </c>
      <c r="L210" s="38" t="n">
        <v>180</v>
      </c>
      <c r="M210" s="447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N210" s="365" t="n"/>
      <c r="O210" s="365" t="n"/>
      <c r="P210" s="365" t="n"/>
      <c r="Q210" s="331" t="n"/>
      <c r="R210" s="40" t="inlineStr"/>
      <c r="S210" s="40" t="inlineStr"/>
      <c r="T210" s="41" t="inlineStr">
        <is>
          <t>кор</t>
        </is>
      </c>
      <c r="U210" s="366" t="n">
        <v>0</v>
      </c>
      <c r="V210" s="367">
        <f>IFERROR(IF(U210="","",U210),"")</f>
        <v/>
      </c>
      <c r="W210" s="42">
        <f>IFERROR(IF(U210="","",U210*0.0155),"")</f>
        <v/>
      </c>
      <c r="X210" s="69" t="inlineStr"/>
      <c r="Y210" s="70" t="inlineStr"/>
      <c r="AC210" s="74" t="n"/>
      <c r="AZ210" s="152" t="inlineStr">
        <is>
          <t>ЗПФ</t>
        </is>
      </c>
    </row>
    <row r="211" ht="27" customHeight="1">
      <c r="A211" s="64" t="inlineStr">
        <is>
          <t>SU002069</t>
        </is>
      </c>
      <c r="B211" s="64" t="inlineStr">
        <is>
          <t>P003001</t>
        </is>
      </c>
      <c r="C211" s="37" t="n">
        <v>4301070917</v>
      </c>
      <c r="D211" s="222" t="n">
        <v>4607111035912</v>
      </c>
      <c r="E211" s="331" t="n"/>
      <c r="F211" s="363" t="n">
        <v>0.43</v>
      </c>
      <c r="G211" s="38" t="n">
        <v>16</v>
      </c>
      <c r="H211" s="363" t="n">
        <v>6.88</v>
      </c>
      <c r="I211" s="363" t="n">
        <v>7.19</v>
      </c>
      <c r="J211" s="38" t="n">
        <v>84</v>
      </c>
      <c r="K211" s="39" t="inlineStr">
        <is>
          <t>МГ</t>
        </is>
      </c>
      <c r="L211" s="38" t="n">
        <v>180</v>
      </c>
      <c r="M211" s="448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N211" s="365" t="n"/>
      <c r="O211" s="365" t="n"/>
      <c r="P211" s="365" t="n"/>
      <c r="Q211" s="331" t="n"/>
      <c r="R211" s="40" t="inlineStr"/>
      <c r="S211" s="40" t="inlineStr"/>
      <c r="T211" s="41" t="inlineStr">
        <is>
          <t>кор</t>
        </is>
      </c>
      <c r="U211" s="366" t="n">
        <v>0</v>
      </c>
      <c r="V211" s="367">
        <f>IFERROR(IF(U211="","",U211),"")</f>
        <v/>
      </c>
      <c r="W211" s="42">
        <f>IFERROR(IF(U211="","",U211*0.0155),"")</f>
        <v/>
      </c>
      <c r="X211" s="69" t="inlineStr"/>
      <c r="Y211" s="70" t="inlineStr"/>
      <c r="AC211" s="74" t="n"/>
      <c r="AZ211" s="153" t="inlineStr">
        <is>
          <t>ЗПФ</t>
        </is>
      </c>
    </row>
    <row r="212" ht="27" customHeight="1">
      <c r="A212" s="64" t="inlineStr">
        <is>
          <t>SU002066</t>
        </is>
      </c>
      <c r="B212" s="64" t="inlineStr">
        <is>
          <t>P003004</t>
        </is>
      </c>
      <c r="C212" s="37" t="n">
        <v>4301070920</v>
      </c>
      <c r="D212" s="222" t="n">
        <v>4607111035929</v>
      </c>
      <c r="E212" s="331" t="n"/>
      <c r="F212" s="363" t="n">
        <v>0.9</v>
      </c>
      <c r="G212" s="38" t="n">
        <v>8</v>
      </c>
      <c r="H212" s="363" t="n">
        <v>7.2</v>
      </c>
      <c r="I212" s="363" t="n">
        <v>7.47</v>
      </c>
      <c r="J212" s="38" t="n">
        <v>84</v>
      </c>
      <c r="K212" s="39" t="inlineStr">
        <is>
          <t>МГ</t>
        </is>
      </c>
      <c r="L212" s="38" t="n">
        <v>180</v>
      </c>
      <c r="M212" s="449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N212" s="365" t="n"/>
      <c r="O212" s="365" t="n"/>
      <c r="P212" s="365" t="n"/>
      <c r="Q212" s="331" t="n"/>
      <c r="R212" s="40" t="inlineStr"/>
      <c r="S212" s="40" t="inlineStr"/>
      <c r="T212" s="41" t="inlineStr">
        <is>
          <t>кор</t>
        </is>
      </c>
      <c r="U212" s="366" t="n">
        <v>3</v>
      </c>
      <c r="V212" s="367">
        <f>IFERROR(IF(U212="","",U212),"")</f>
        <v/>
      </c>
      <c r="W212" s="42">
        <f>IFERROR(IF(U212="","",U212*0.0155),"")</f>
        <v/>
      </c>
      <c r="X212" s="69" t="inlineStr"/>
      <c r="Y212" s="70" t="inlineStr"/>
      <c r="AC212" s="74" t="n"/>
      <c r="AZ212" s="154" t="inlineStr">
        <is>
          <t>ЗПФ</t>
        </is>
      </c>
    </row>
    <row r="213">
      <c r="A213" s="230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368" t="n"/>
      <c r="M213" s="369" t="inlineStr">
        <is>
          <t>Итого</t>
        </is>
      </c>
      <c r="N213" s="339" t="n"/>
      <c r="O213" s="339" t="n"/>
      <c r="P213" s="339" t="n"/>
      <c r="Q213" s="339" t="n"/>
      <c r="R213" s="339" t="n"/>
      <c r="S213" s="340" t="n"/>
      <c r="T213" s="43" t="inlineStr">
        <is>
          <t>кор</t>
        </is>
      </c>
      <c r="U213" s="370">
        <f>IFERROR(SUM(U209:U212),"0")</f>
        <v/>
      </c>
      <c r="V213" s="370">
        <f>IFERROR(SUM(V209:V212),"0")</f>
        <v/>
      </c>
      <c r="W213" s="370">
        <f>IFERROR(IF(W209="",0,W209),"0")+IFERROR(IF(W210="",0,W210),"0")+IFERROR(IF(W211="",0,W211),"0")+IFERROR(IF(W212="",0,W212),"0")</f>
        <v/>
      </c>
      <c r="X213" s="371" t="n"/>
      <c r="Y213" s="371" t="n"/>
    </row>
    <row r="214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368" t="n"/>
      <c r="M214" s="369" t="inlineStr">
        <is>
          <t>Итого</t>
        </is>
      </c>
      <c r="N214" s="339" t="n"/>
      <c r="O214" s="339" t="n"/>
      <c r="P214" s="339" t="n"/>
      <c r="Q214" s="339" t="n"/>
      <c r="R214" s="339" t="n"/>
      <c r="S214" s="340" t="n"/>
      <c r="T214" s="43" t="inlineStr">
        <is>
          <t>кг</t>
        </is>
      </c>
      <c r="U214" s="370">
        <f>IFERROR(SUMPRODUCT(U209:U212*H209:H212),"0")</f>
        <v/>
      </c>
      <c r="V214" s="370">
        <f>IFERROR(SUMPRODUCT(V209:V212*H209:H212),"0")</f>
        <v/>
      </c>
      <c r="W214" s="43" t="n"/>
      <c r="X214" s="371" t="n"/>
      <c r="Y214" s="371" t="n"/>
    </row>
    <row r="215" ht="16.5" customHeight="1">
      <c r="A215" s="220" t="inlineStr">
        <is>
          <t>Бордо</t>
        </is>
      </c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220" t="n"/>
      <c r="Y215" s="220" t="n"/>
    </row>
    <row r="216" ht="14.25" customHeight="1">
      <c r="A216" s="221" t="inlineStr">
        <is>
          <t>Сосиски замороженные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221" t="n"/>
      <c r="Y216" s="221" t="n"/>
    </row>
    <row r="217" ht="27" customHeight="1">
      <c r="A217" s="64" t="inlineStr">
        <is>
          <t>SU002678</t>
        </is>
      </c>
      <c r="B217" s="64" t="inlineStr">
        <is>
          <t>P003054</t>
        </is>
      </c>
      <c r="C217" s="37" t="n">
        <v>4301051320</v>
      </c>
      <c r="D217" s="222" t="n">
        <v>4680115881334</v>
      </c>
      <c r="E217" s="331" t="n"/>
      <c r="F217" s="363" t="n">
        <v>0.33</v>
      </c>
      <c r="G217" s="38" t="n">
        <v>6</v>
      </c>
      <c r="H217" s="363" t="n">
        <v>1.98</v>
      </c>
      <c r="I217" s="363" t="n">
        <v>2.27</v>
      </c>
      <c r="J217" s="38" t="n">
        <v>156</v>
      </c>
      <c r="K217" s="39" t="inlineStr">
        <is>
          <t>СК2</t>
        </is>
      </c>
      <c r="L217" s="38" t="n">
        <v>365</v>
      </c>
      <c r="M217" s="450" t="inlineStr">
        <is>
          <t>Сосиски «Оригинальные» замороженные Фикс.вес 0,33 п/а ТМ «Стародворье»</t>
        </is>
      </c>
      <c r="N217" s="365" t="n"/>
      <c r="O217" s="365" t="n"/>
      <c r="P217" s="365" t="n"/>
      <c r="Q217" s="331" t="n"/>
      <c r="R217" s="40" t="inlineStr"/>
      <c r="S217" s="40" t="inlineStr"/>
      <c r="T217" s="41" t="inlineStr">
        <is>
          <t>кор</t>
        </is>
      </c>
      <c r="U217" s="366" t="n">
        <v>0</v>
      </c>
      <c r="V217" s="367">
        <f>IFERROR(IF(U217="","",U217),"")</f>
        <v/>
      </c>
      <c r="W217" s="42">
        <f>IFERROR(IF(U217="","",U217*0.00753),"")</f>
        <v/>
      </c>
      <c r="X217" s="69" t="inlineStr"/>
      <c r="Y217" s="70" t="inlineStr"/>
      <c r="AC217" s="74" t="n"/>
      <c r="AZ217" s="155" t="inlineStr">
        <is>
          <t>КИЗ</t>
        </is>
      </c>
    </row>
    <row r="218">
      <c r="A218" s="230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368" t="n"/>
      <c r="M218" s="369" t="inlineStr">
        <is>
          <t>Итого</t>
        </is>
      </c>
      <c r="N218" s="339" t="n"/>
      <c r="O218" s="339" t="n"/>
      <c r="P218" s="339" t="n"/>
      <c r="Q218" s="339" t="n"/>
      <c r="R218" s="339" t="n"/>
      <c r="S218" s="340" t="n"/>
      <c r="T218" s="43" t="inlineStr">
        <is>
          <t>кор</t>
        </is>
      </c>
      <c r="U218" s="370">
        <f>IFERROR(SUM(U217:U217),"0")</f>
        <v/>
      </c>
      <c r="V218" s="370">
        <f>IFERROR(SUM(V217:V217),"0")</f>
        <v/>
      </c>
      <c r="W218" s="370">
        <f>IFERROR(IF(W217="",0,W217),"0")</f>
        <v/>
      </c>
      <c r="X218" s="371" t="n"/>
      <c r="Y218" s="371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368" t="n"/>
      <c r="M219" s="369" t="inlineStr">
        <is>
          <t>Итого</t>
        </is>
      </c>
      <c r="N219" s="339" t="n"/>
      <c r="O219" s="339" t="n"/>
      <c r="P219" s="339" t="n"/>
      <c r="Q219" s="339" t="n"/>
      <c r="R219" s="339" t="n"/>
      <c r="S219" s="340" t="n"/>
      <c r="T219" s="43" t="inlineStr">
        <is>
          <t>кг</t>
        </is>
      </c>
      <c r="U219" s="370">
        <f>IFERROR(SUMPRODUCT(U217:U217*H217:H217),"0")</f>
        <v/>
      </c>
      <c r="V219" s="370">
        <f>IFERROR(SUMPRODUCT(V217:V217*H217:H217),"0")</f>
        <v/>
      </c>
      <c r="W219" s="43" t="n"/>
      <c r="X219" s="371" t="n"/>
      <c r="Y219" s="371" t="n"/>
    </row>
    <row r="220" ht="16.5" customHeight="1">
      <c r="A220" s="220" t="inlineStr">
        <is>
          <t>Сочные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220" t="n"/>
      <c r="Y220" s="220" t="n"/>
    </row>
    <row r="221" ht="14.25" customHeight="1">
      <c r="A221" s="221" t="inlineStr">
        <is>
          <t>Пельмени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221" t="n"/>
      <c r="Y221" s="221" t="n"/>
    </row>
    <row r="222" ht="16.5" customHeight="1">
      <c r="A222" s="64" t="inlineStr">
        <is>
          <t>SU001859</t>
        </is>
      </c>
      <c r="B222" s="64" t="inlineStr">
        <is>
          <t>P002720</t>
        </is>
      </c>
      <c r="C222" s="37" t="n">
        <v>4301070874</v>
      </c>
      <c r="D222" s="222" t="n">
        <v>4607111035332</v>
      </c>
      <c r="E222" s="331" t="n"/>
      <c r="F222" s="363" t="n">
        <v>0.43</v>
      </c>
      <c r="G222" s="38" t="n">
        <v>16</v>
      </c>
      <c r="H222" s="363" t="n">
        <v>6.88</v>
      </c>
      <c r="I222" s="363" t="n">
        <v>7.206</v>
      </c>
      <c r="J222" s="38" t="n">
        <v>84</v>
      </c>
      <c r="K222" s="39" t="inlineStr">
        <is>
          <t>МГ</t>
        </is>
      </c>
      <c r="L222" s="38" t="n">
        <v>180</v>
      </c>
      <c r="M222" s="451">
        <f>HYPERLINK("https://abi.ru/products/Замороженные/Стародворье/Сочные/Пельмени/P002720/","Пельмени Сочные Сочные 0,43 Сфера Стародворье")</f>
        <v/>
      </c>
      <c r="N222" s="365" t="n"/>
      <c r="O222" s="365" t="n"/>
      <c r="P222" s="365" t="n"/>
      <c r="Q222" s="331" t="n"/>
      <c r="R222" s="40" t="inlineStr"/>
      <c r="S222" s="40" t="inlineStr"/>
      <c r="T222" s="41" t="inlineStr">
        <is>
          <t>кор</t>
        </is>
      </c>
      <c r="U222" s="366" t="n">
        <v>0</v>
      </c>
      <c r="V222" s="367">
        <f>IFERROR(IF(U222="","",U222),"")</f>
        <v/>
      </c>
      <c r="W222" s="42">
        <f>IFERROR(IF(U222="","",U222*0.0155),"")</f>
        <v/>
      </c>
      <c r="X222" s="69" t="inlineStr"/>
      <c r="Y222" s="70" t="inlineStr"/>
      <c r="AC222" s="74" t="n"/>
      <c r="AZ222" s="156" t="inlineStr">
        <is>
          <t>ЗПФ</t>
        </is>
      </c>
    </row>
    <row r="223" ht="16.5" customHeight="1">
      <c r="A223" s="64" t="inlineStr">
        <is>
          <t>SU001776</t>
        </is>
      </c>
      <c r="B223" s="64" t="inlineStr">
        <is>
          <t>P002719</t>
        </is>
      </c>
      <c r="C223" s="37" t="n">
        <v>4301070873</v>
      </c>
      <c r="D223" s="222" t="n">
        <v>4607111035080</v>
      </c>
      <c r="E223" s="331" t="n"/>
      <c r="F223" s="363" t="n">
        <v>0.9</v>
      </c>
      <c r="G223" s="38" t="n">
        <v>8</v>
      </c>
      <c r="H223" s="363" t="n">
        <v>7.2</v>
      </c>
      <c r="I223" s="363" t="n">
        <v>7.47</v>
      </c>
      <c r="J223" s="38" t="n">
        <v>84</v>
      </c>
      <c r="K223" s="39" t="inlineStr">
        <is>
          <t>МГ</t>
        </is>
      </c>
      <c r="L223" s="38" t="n">
        <v>180</v>
      </c>
      <c r="M223" s="452">
        <f>HYPERLINK("https://abi.ru/products/Замороженные/Стародворье/Сочные/Пельмени/P002719/","Пельмени Сочные Сочные 0,9 Сфера Стародворье")</f>
        <v/>
      </c>
      <c r="N223" s="365" t="n"/>
      <c r="O223" s="365" t="n"/>
      <c r="P223" s="365" t="n"/>
      <c r="Q223" s="331" t="n"/>
      <c r="R223" s="40" t="inlineStr"/>
      <c r="S223" s="40" t="inlineStr"/>
      <c r="T223" s="41" t="inlineStr">
        <is>
          <t>кор</t>
        </is>
      </c>
      <c r="U223" s="366" t="n">
        <v>0</v>
      </c>
      <c r="V223" s="367">
        <f>IFERROR(IF(U223="","",U223),"")</f>
        <v/>
      </c>
      <c r="W223" s="42">
        <f>IFERROR(IF(U223="","",U223*0.0155),"")</f>
        <v/>
      </c>
      <c r="X223" s="69" t="inlineStr"/>
      <c r="Y223" s="70" t="inlineStr"/>
      <c r="AC223" s="74" t="n"/>
      <c r="AZ223" s="157" t="inlineStr">
        <is>
          <t>ЗПФ</t>
        </is>
      </c>
    </row>
    <row r="224">
      <c r="A224" s="230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368" t="n"/>
      <c r="M224" s="369" t="inlineStr">
        <is>
          <t>Итого</t>
        </is>
      </c>
      <c r="N224" s="339" t="n"/>
      <c r="O224" s="339" t="n"/>
      <c r="P224" s="339" t="n"/>
      <c r="Q224" s="339" t="n"/>
      <c r="R224" s="339" t="n"/>
      <c r="S224" s="340" t="n"/>
      <c r="T224" s="43" t="inlineStr">
        <is>
          <t>кор</t>
        </is>
      </c>
      <c r="U224" s="370">
        <f>IFERROR(SUM(U222:U223),"0")</f>
        <v/>
      </c>
      <c r="V224" s="370">
        <f>IFERROR(SUM(V222:V223),"0")</f>
        <v/>
      </c>
      <c r="W224" s="370">
        <f>IFERROR(IF(W222="",0,W222),"0")+IFERROR(IF(W223="",0,W223),"0")</f>
        <v/>
      </c>
      <c r="X224" s="371" t="n"/>
      <c r="Y224" s="371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368" t="n"/>
      <c r="M225" s="369" t="inlineStr">
        <is>
          <t>Итого</t>
        </is>
      </c>
      <c r="N225" s="339" t="n"/>
      <c r="O225" s="339" t="n"/>
      <c r="P225" s="339" t="n"/>
      <c r="Q225" s="339" t="n"/>
      <c r="R225" s="339" t="n"/>
      <c r="S225" s="340" t="n"/>
      <c r="T225" s="43" t="inlineStr">
        <is>
          <t>кг</t>
        </is>
      </c>
      <c r="U225" s="370">
        <f>IFERROR(SUMPRODUCT(U222:U223*H222:H223),"0")</f>
        <v/>
      </c>
      <c r="V225" s="370">
        <f>IFERROR(SUMPRODUCT(V222:V223*H222:H223),"0")</f>
        <v/>
      </c>
      <c r="W225" s="43" t="n"/>
      <c r="X225" s="371" t="n"/>
      <c r="Y225" s="371" t="n"/>
    </row>
    <row r="226" ht="27.75" customHeight="1">
      <c r="A226" s="219" t="inlineStr">
        <is>
          <t>Колбасный стандарт</t>
        </is>
      </c>
      <c r="B226" s="362" t="n"/>
      <c r="C226" s="362" t="n"/>
      <c r="D226" s="362" t="n"/>
      <c r="E226" s="362" t="n"/>
      <c r="F226" s="362" t="n"/>
      <c r="G226" s="362" t="n"/>
      <c r="H226" s="362" t="n"/>
      <c r="I226" s="362" t="n"/>
      <c r="J226" s="362" t="n"/>
      <c r="K226" s="362" t="n"/>
      <c r="L226" s="362" t="n"/>
      <c r="M226" s="362" t="n"/>
      <c r="N226" s="362" t="n"/>
      <c r="O226" s="362" t="n"/>
      <c r="P226" s="362" t="n"/>
      <c r="Q226" s="362" t="n"/>
      <c r="R226" s="362" t="n"/>
      <c r="S226" s="362" t="n"/>
      <c r="T226" s="362" t="n"/>
      <c r="U226" s="362" t="n"/>
      <c r="V226" s="362" t="n"/>
      <c r="W226" s="362" t="n"/>
      <c r="X226" s="55" t="n"/>
      <c r="Y226" s="55" t="n"/>
    </row>
    <row r="227" ht="16.5" customHeight="1">
      <c r="A227" s="220" t="inlineStr">
        <is>
          <t>Владимирский Стандарт ЗПФ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220" t="n"/>
      <c r="Y227" s="220" t="n"/>
    </row>
    <row r="228" ht="14.25" customHeight="1">
      <c r="A228" s="221" t="inlineStr">
        <is>
          <t>Пельмени</t>
        </is>
      </c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221" t="n"/>
      <c r="Y228" s="221" t="n"/>
    </row>
    <row r="229" ht="27" customHeight="1">
      <c r="A229" s="64" t="inlineStr">
        <is>
          <t>SU002267</t>
        </is>
      </c>
      <c r="B229" s="64" t="inlineStr">
        <is>
          <t>P003223</t>
        </is>
      </c>
      <c r="C229" s="37" t="n">
        <v>4301070941</v>
      </c>
      <c r="D229" s="222" t="n">
        <v>4607111036162</v>
      </c>
      <c r="E229" s="331" t="n"/>
      <c r="F229" s="363" t="n">
        <v>0.8</v>
      </c>
      <c r="G229" s="38" t="n">
        <v>8</v>
      </c>
      <c r="H229" s="363" t="n">
        <v>6.4</v>
      </c>
      <c r="I229" s="363" t="n">
        <v>6.6812</v>
      </c>
      <c r="J229" s="38" t="n">
        <v>84</v>
      </c>
      <c r="K229" s="39" t="inlineStr">
        <is>
          <t>МГ</t>
        </is>
      </c>
      <c r="L229" s="38" t="n">
        <v>90</v>
      </c>
      <c r="M229" s="453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/>
      </c>
      <c r="N229" s="365" t="n"/>
      <c r="O229" s="365" t="n"/>
      <c r="P229" s="365" t="n"/>
      <c r="Q229" s="331" t="n"/>
      <c r="R229" s="40" t="inlineStr"/>
      <c r="S229" s="40" t="inlineStr"/>
      <c r="T229" s="41" t="inlineStr">
        <is>
          <t>кор</t>
        </is>
      </c>
      <c r="U229" s="366" t="n">
        <v>0</v>
      </c>
      <c r="V229" s="367">
        <f>IFERROR(IF(U229="","",U229),"")</f>
        <v/>
      </c>
      <c r="W229" s="42">
        <f>IFERROR(IF(U229="","",U229*0.0155),"")</f>
        <v/>
      </c>
      <c r="X229" s="69" t="inlineStr"/>
      <c r="Y229" s="70" t="inlineStr"/>
      <c r="AC229" s="74" t="n"/>
      <c r="AZ229" s="158" t="inlineStr">
        <is>
          <t>ЗПФ</t>
        </is>
      </c>
    </row>
    <row r="230">
      <c r="A230" s="230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368" t="n"/>
      <c r="M230" s="369" t="inlineStr">
        <is>
          <t>Итого</t>
        </is>
      </c>
      <c r="N230" s="339" t="n"/>
      <c r="O230" s="339" t="n"/>
      <c r="P230" s="339" t="n"/>
      <c r="Q230" s="339" t="n"/>
      <c r="R230" s="339" t="n"/>
      <c r="S230" s="340" t="n"/>
      <c r="T230" s="43" t="inlineStr">
        <is>
          <t>кор</t>
        </is>
      </c>
      <c r="U230" s="370">
        <f>IFERROR(SUM(U229:U229),"0")</f>
        <v/>
      </c>
      <c r="V230" s="370">
        <f>IFERROR(SUM(V229:V229),"0")</f>
        <v/>
      </c>
      <c r="W230" s="370">
        <f>IFERROR(IF(W229="",0,W229),"0")</f>
        <v/>
      </c>
      <c r="X230" s="371" t="n"/>
      <c r="Y230" s="371" t="n"/>
    </row>
    <row r="23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368" t="n"/>
      <c r="M231" s="369" t="inlineStr">
        <is>
          <t>Итого</t>
        </is>
      </c>
      <c r="N231" s="339" t="n"/>
      <c r="O231" s="339" t="n"/>
      <c r="P231" s="339" t="n"/>
      <c r="Q231" s="339" t="n"/>
      <c r="R231" s="339" t="n"/>
      <c r="S231" s="340" t="n"/>
      <c r="T231" s="43" t="inlineStr">
        <is>
          <t>кг</t>
        </is>
      </c>
      <c r="U231" s="370">
        <f>IFERROR(SUMPRODUCT(U229:U229*H229:H229),"0")</f>
        <v/>
      </c>
      <c r="V231" s="370">
        <f>IFERROR(SUMPRODUCT(V229:V229*H229:H229),"0")</f>
        <v/>
      </c>
      <c r="W231" s="43" t="n"/>
      <c r="X231" s="371" t="n"/>
      <c r="Y231" s="371" t="n"/>
    </row>
    <row r="232" ht="27.75" customHeight="1">
      <c r="A232" s="219" t="inlineStr">
        <is>
          <t>Особый рецепт</t>
        </is>
      </c>
      <c r="B232" s="362" t="n"/>
      <c r="C232" s="362" t="n"/>
      <c r="D232" s="362" t="n"/>
      <c r="E232" s="362" t="n"/>
      <c r="F232" s="362" t="n"/>
      <c r="G232" s="362" t="n"/>
      <c r="H232" s="362" t="n"/>
      <c r="I232" s="362" t="n"/>
      <c r="J232" s="362" t="n"/>
      <c r="K232" s="362" t="n"/>
      <c r="L232" s="362" t="n"/>
      <c r="M232" s="362" t="n"/>
      <c r="N232" s="362" t="n"/>
      <c r="O232" s="362" t="n"/>
      <c r="P232" s="362" t="n"/>
      <c r="Q232" s="362" t="n"/>
      <c r="R232" s="362" t="n"/>
      <c r="S232" s="362" t="n"/>
      <c r="T232" s="362" t="n"/>
      <c r="U232" s="362" t="n"/>
      <c r="V232" s="362" t="n"/>
      <c r="W232" s="362" t="n"/>
      <c r="X232" s="55" t="n"/>
      <c r="Y232" s="55" t="n"/>
    </row>
    <row r="233" ht="16.5" customHeight="1">
      <c r="A233" s="220" t="inlineStr">
        <is>
          <t>Любимая ложка</t>
        </is>
      </c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220" t="n"/>
      <c r="Y233" s="220" t="n"/>
    </row>
    <row r="234" ht="14.25" customHeight="1">
      <c r="A234" s="221" t="inlineStr">
        <is>
          <t>Пельмени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221" t="n"/>
      <c r="Y234" s="221" t="n"/>
    </row>
    <row r="235" ht="27" customHeight="1">
      <c r="A235" s="64" t="inlineStr">
        <is>
          <t>SU002268</t>
        </is>
      </c>
      <c r="B235" s="64" t="inlineStr">
        <is>
          <t>P002746</t>
        </is>
      </c>
      <c r="C235" s="37" t="n">
        <v>4301070882</v>
      </c>
      <c r="D235" s="222" t="n">
        <v>4607111035899</v>
      </c>
      <c r="E235" s="331" t="n"/>
      <c r="F235" s="363" t="n">
        <v>1</v>
      </c>
      <c r="G235" s="38" t="n">
        <v>5</v>
      </c>
      <c r="H235" s="363" t="n">
        <v>5</v>
      </c>
      <c r="I235" s="363" t="n">
        <v>5.262</v>
      </c>
      <c r="J235" s="38" t="n">
        <v>84</v>
      </c>
      <c r="K235" s="39" t="inlineStr">
        <is>
          <t>МГ</t>
        </is>
      </c>
      <c r="L235" s="38" t="n">
        <v>120</v>
      </c>
      <c r="M235" s="454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/>
      </c>
      <c r="N235" s="365" t="n"/>
      <c r="O235" s="365" t="n"/>
      <c r="P235" s="365" t="n"/>
      <c r="Q235" s="331" t="n"/>
      <c r="R235" s="40" t="inlineStr"/>
      <c r="S235" s="40" t="inlineStr"/>
      <c r="T235" s="41" t="inlineStr">
        <is>
          <t>кор</t>
        </is>
      </c>
      <c r="U235" s="366" t="n">
        <v>35</v>
      </c>
      <c r="V235" s="367">
        <f>IFERROR(IF(U235="","",U235),"")</f>
        <v/>
      </c>
      <c r="W235" s="42">
        <f>IFERROR(IF(U235="","",U235*0.0155),"")</f>
        <v/>
      </c>
      <c r="X235" s="69" t="inlineStr"/>
      <c r="Y235" s="70" t="inlineStr"/>
      <c r="AC235" s="74" t="n"/>
      <c r="AZ235" s="159" t="inlineStr">
        <is>
          <t>ЗПФ</t>
        </is>
      </c>
    </row>
    <row r="236">
      <c r="A236" s="230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368" t="n"/>
      <c r="M236" s="369" t="inlineStr">
        <is>
          <t>Итого</t>
        </is>
      </c>
      <c r="N236" s="339" t="n"/>
      <c r="O236" s="339" t="n"/>
      <c r="P236" s="339" t="n"/>
      <c r="Q236" s="339" t="n"/>
      <c r="R236" s="339" t="n"/>
      <c r="S236" s="340" t="n"/>
      <c r="T236" s="43" t="inlineStr">
        <is>
          <t>кор</t>
        </is>
      </c>
      <c r="U236" s="370">
        <f>IFERROR(SUM(U235:U235),"0")</f>
        <v/>
      </c>
      <c r="V236" s="370">
        <f>IFERROR(SUM(V235:V235),"0")</f>
        <v/>
      </c>
      <c r="W236" s="370">
        <f>IFERROR(IF(W235="",0,W235),"0")</f>
        <v/>
      </c>
      <c r="X236" s="371" t="n"/>
      <c r="Y236" s="371" t="n"/>
    </row>
    <row r="237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368" t="n"/>
      <c r="M237" s="369" t="inlineStr">
        <is>
          <t>Итого</t>
        </is>
      </c>
      <c r="N237" s="339" t="n"/>
      <c r="O237" s="339" t="n"/>
      <c r="P237" s="339" t="n"/>
      <c r="Q237" s="339" t="n"/>
      <c r="R237" s="339" t="n"/>
      <c r="S237" s="340" t="n"/>
      <c r="T237" s="43" t="inlineStr">
        <is>
          <t>кг</t>
        </is>
      </c>
      <c r="U237" s="370">
        <f>IFERROR(SUMPRODUCT(U235:U235*H235:H235),"0")</f>
        <v/>
      </c>
      <c r="V237" s="370">
        <f>IFERROR(SUMPRODUCT(V235:V235*H235:H235),"0")</f>
        <v/>
      </c>
      <c r="W237" s="43" t="n"/>
      <c r="X237" s="371" t="n"/>
      <c r="Y237" s="371" t="n"/>
    </row>
    <row r="238" ht="16.5" customHeight="1">
      <c r="A238" s="220" t="inlineStr">
        <is>
          <t>Особая Без свинины</t>
        </is>
      </c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220" t="n"/>
      <c r="Y238" s="220" t="n"/>
    </row>
    <row r="239" ht="14.25" customHeight="1">
      <c r="A239" s="221" t="inlineStr">
        <is>
          <t>Пельмени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221" t="n"/>
      <c r="Y239" s="221" t="n"/>
    </row>
    <row r="240" ht="27" customHeight="1">
      <c r="A240" s="64" t="inlineStr">
        <is>
          <t>SU002408</t>
        </is>
      </c>
      <c r="B240" s="64" t="inlineStr">
        <is>
          <t>P002686</t>
        </is>
      </c>
      <c r="C240" s="37" t="n">
        <v>4301070870</v>
      </c>
      <c r="D240" s="222" t="n">
        <v>4607111036711</v>
      </c>
      <c r="E240" s="331" t="n"/>
      <c r="F240" s="363" t="n">
        <v>0.8</v>
      </c>
      <c r="G240" s="38" t="n">
        <v>8</v>
      </c>
      <c r="H240" s="363" t="n">
        <v>6.4</v>
      </c>
      <c r="I240" s="363" t="n">
        <v>6.67</v>
      </c>
      <c r="J240" s="38" t="n">
        <v>84</v>
      </c>
      <c r="K240" s="39" t="inlineStr">
        <is>
          <t>МГ</t>
        </is>
      </c>
      <c r="L240" s="38" t="n">
        <v>90</v>
      </c>
      <c r="M240" s="455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N240" s="365" t="n"/>
      <c r="O240" s="365" t="n"/>
      <c r="P240" s="365" t="n"/>
      <c r="Q240" s="331" t="n"/>
      <c r="R240" s="40" t="inlineStr"/>
      <c r="S240" s="40" t="inlineStr"/>
      <c r="T240" s="41" t="inlineStr">
        <is>
          <t>кор</t>
        </is>
      </c>
      <c r="U240" s="366" t="n">
        <v>0</v>
      </c>
      <c r="V240" s="367">
        <f>IFERROR(IF(U240="","",U240),"")</f>
        <v/>
      </c>
      <c r="W240" s="42">
        <f>IFERROR(IF(U240="","",U240*0.0155),"")</f>
        <v/>
      </c>
      <c r="X240" s="69" t="inlineStr"/>
      <c r="Y240" s="70" t="inlineStr"/>
      <c r="AC240" s="74" t="n"/>
      <c r="AZ240" s="160" t="inlineStr">
        <is>
          <t>ЗПФ</t>
        </is>
      </c>
    </row>
    <row r="241">
      <c r="A241" s="230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368" t="n"/>
      <c r="M241" s="369" t="inlineStr">
        <is>
          <t>Итого</t>
        </is>
      </c>
      <c r="N241" s="339" t="n"/>
      <c r="O241" s="339" t="n"/>
      <c r="P241" s="339" t="n"/>
      <c r="Q241" s="339" t="n"/>
      <c r="R241" s="339" t="n"/>
      <c r="S241" s="340" t="n"/>
      <c r="T241" s="43" t="inlineStr">
        <is>
          <t>кор</t>
        </is>
      </c>
      <c r="U241" s="370">
        <f>IFERROR(SUM(U240:U240),"0")</f>
        <v/>
      </c>
      <c r="V241" s="370">
        <f>IFERROR(SUM(V240:V240),"0")</f>
        <v/>
      </c>
      <c r="W241" s="370">
        <f>IFERROR(IF(W240="",0,W240),"0")</f>
        <v/>
      </c>
      <c r="X241" s="371" t="n"/>
      <c r="Y241" s="371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368" t="n"/>
      <c r="M242" s="369" t="inlineStr">
        <is>
          <t>Итого</t>
        </is>
      </c>
      <c r="N242" s="339" t="n"/>
      <c r="O242" s="339" t="n"/>
      <c r="P242" s="339" t="n"/>
      <c r="Q242" s="339" t="n"/>
      <c r="R242" s="339" t="n"/>
      <c r="S242" s="340" t="n"/>
      <c r="T242" s="43" t="inlineStr">
        <is>
          <t>кг</t>
        </is>
      </c>
      <c r="U242" s="370">
        <f>IFERROR(SUMPRODUCT(U240:U240*H240:H240),"0")</f>
        <v/>
      </c>
      <c r="V242" s="370">
        <f>IFERROR(SUMPRODUCT(V240:V240*H240:H240),"0")</f>
        <v/>
      </c>
      <c r="W242" s="43" t="n"/>
      <c r="X242" s="371" t="n"/>
      <c r="Y242" s="371" t="n"/>
    </row>
    <row r="243" ht="15" customHeight="1">
      <c r="A243" s="318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328" t="n"/>
      <c r="M243" s="456" t="inlineStr">
        <is>
          <t>ИТОГО НЕТТО</t>
        </is>
      </c>
      <c r="N243" s="322" t="n"/>
      <c r="O243" s="322" t="n"/>
      <c r="P243" s="322" t="n"/>
      <c r="Q243" s="322" t="n"/>
      <c r="R243" s="322" t="n"/>
      <c r="S243" s="323" t="n"/>
      <c r="T243" s="43" t="inlineStr">
        <is>
          <t>кг</t>
        </is>
      </c>
      <c r="U243" s="370">
        <f>IFERROR(U24+U33+U41+U47+U57+U64+U69+U75+U85+U92+U100+U106+U111+U119+U124+U130+U135+U141+U145+U152+U165+U170+U178+U183+U190+U195+U200+U206+U214+U219+U225+U231+U237+U242,"0")</f>
        <v/>
      </c>
      <c r="V243" s="370">
        <f>IFERROR(V24+V33+V41+V47+V57+V64+V69+V75+V85+V92+V100+V106+V111+V119+V124+V130+V135+V141+V145+V152+V165+V170+V178+V183+V190+V195+V200+V206+V214+V219+V225+V231+V237+V242,"0")</f>
        <v/>
      </c>
      <c r="W243" s="43" t="n"/>
      <c r="X243" s="371" t="n"/>
      <c r="Y243" s="371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328" t="n"/>
      <c r="M244" s="456" t="inlineStr">
        <is>
          <t>ИТОГО БРУТТО</t>
        </is>
      </c>
      <c r="N244" s="322" t="n"/>
      <c r="O244" s="322" t="n"/>
      <c r="P244" s="322" t="n"/>
      <c r="Q244" s="322" t="n"/>
      <c r="R244" s="322" t="n"/>
      <c r="S244" s="323" t="n"/>
      <c r="T244" s="43" t="inlineStr">
        <is>
          <t>кг</t>
        </is>
      </c>
      <c r="U244" s="370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62*I62,"0")+IFERROR(U67*I67,"0")+IFERROR(U72*I72,"0")+IFERROR(U73*I73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209*I209,"0")+IFERROR(U210*I210,"0")+IFERROR(U211*I211,"0")+IFERROR(U212*I212,"0")+IFERROR(U217*I217,"0")+IFERROR(U222*I222,"0")+IFERROR(U223*I223,"0")+IFERROR(U229*I229,"0")+IFERROR(U235*I235,"0")+IFERROR(U240*I240,"0"),"0")</f>
        <v/>
      </c>
      <c r="V244" s="370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62*I62,"0")+IFERROR(V67*I67,"0")+IFERROR(V72*I72,"0")+IFERROR(V73*I73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209*I209,"0")+IFERROR(V210*I210,"0")+IFERROR(V211*I211,"0")+IFERROR(V212*I212,"0")+IFERROR(V217*I217,"0")+IFERROR(V222*I222,"0")+IFERROR(V223*I223,"0")+IFERROR(V229*I229,"0")+IFERROR(V235*I235,"0")+IFERROR(V240*I240,"0"),"0")</f>
        <v/>
      </c>
      <c r="W244" s="43" t="n"/>
      <c r="X244" s="371" t="n"/>
      <c r="Y244" s="371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328" t="n"/>
      <c r="M245" s="456" t="inlineStr">
        <is>
          <t>Кол-во паллет</t>
        </is>
      </c>
      <c r="N245" s="322" t="n"/>
      <c r="O245" s="322" t="n"/>
      <c r="P245" s="322" t="n"/>
      <c r="Q245" s="322" t="n"/>
      <c r="R245" s="322" t="n"/>
      <c r="S245" s="323" t="n"/>
      <c r="T245" s="43" t="inlineStr">
        <is>
          <t>шт</t>
        </is>
      </c>
      <c r="U245" s="45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62/J62,"0")+IFERROR(U67/J67,"0")+IFERROR(U72/J72,"0")+IFERROR(U73/J73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209/J209,"0")+IFERROR(U210/J210,"0")+IFERROR(U211/J211,"0")+IFERROR(U212/J212,"0")+IFERROR(U217/J217,"0")+IFERROR(U222/J222,"0")+IFERROR(U223/J223,"0")+IFERROR(U229/J229,"0")+IFERROR(U235/J235,"0")+IFERROR(U240/J240,"0"),0)</f>
        <v/>
      </c>
      <c r="V245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62/J62,"0")+IFERROR(V67/J67,"0")+IFERROR(V72/J72,"0")+IFERROR(V73/J73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209/J209,"0")+IFERROR(V210/J210,"0")+IFERROR(V211/J211,"0")+IFERROR(V212/J212,"0")+IFERROR(V217/J217,"0")+IFERROR(V222/J222,"0")+IFERROR(V223/J223,"0")+IFERROR(V229/J229,"0")+IFERROR(V235/J235,"0")+IFERROR(V240/J240,"0"),0)</f>
        <v/>
      </c>
      <c r="W245" s="43" t="n"/>
      <c r="X245" s="371" t="n"/>
      <c r="Y245" s="371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328" t="n"/>
      <c r="M246" s="456" t="inlineStr">
        <is>
          <t>Вес брутто  с паллетами</t>
        </is>
      </c>
      <c r="N246" s="322" t="n"/>
      <c r="O246" s="322" t="n"/>
      <c r="P246" s="322" t="n"/>
      <c r="Q246" s="322" t="n"/>
      <c r="R246" s="322" t="n"/>
      <c r="S246" s="323" t="n"/>
      <c r="T246" s="43" t="inlineStr">
        <is>
          <t>кг</t>
        </is>
      </c>
      <c r="U246" s="370">
        <f>GrossWeightTotal+PalletQtyTotal*25</f>
        <v/>
      </c>
      <c r="V246" s="370">
        <f>GrossWeightTotalR+PalletQtyTotalR*25</f>
        <v/>
      </c>
      <c r="W246" s="43" t="n"/>
      <c r="X246" s="371" t="n"/>
      <c r="Y246" s="371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328" t="n"/>
      <c r="M247" s="456" t="inlineStr">
        <is>
          <t>Кол-во коробок</t>
        </is>
      </c>
      <c r="N247" s="322" t="n"/>
      <c r="O247" s="322" t="n"/>
      <c r="P247" s="322" t="n"/>
      <c r="Q247" s="322" t="n"/>
      <c r="R247" s="322" t="n"/>
      <c r="S247" s="323" t="n"/>
      <c r="T247" s="43" t="inlineStr">
        <is>
          <t>шт</t>
        </is>
      </c>
      <c r="U247" s="370">
        <f>IFERROR(U23+U32+U40+U46+U56+U63+U68+U74+U84+U91+U99+U105+U110+U118+U123+U129+U134+U140+U144+U151+U164+U169+U177+U182+U189+U194+U199+U205+U213+U218+U224+U230+U236+U241,"0")</f>
        <v/>
      </c>
      <c r="V247" s="370">
        <f>IFERROR(V23+V32+V40+V46+V56+V63+V68+V74+V84+V91+V99+V105+V110+V118+V123+V129+V134+V140+V144+V151+V164+V169+V177+V182+V189+V194+V199+V205+V213+V218+V224+V230+V236+V241,"0")</f>
        <v/>
      </c>
      <c r="W247" s="43" t="n"/>
      <c r="X247" s="371" t="n"/>
      <c r="Y247" s="371" t="n"/>
    </row>
    <row r="248" ht="14.25" customHeight="1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328" t="n"/>
      <c r="M248" s="456" t="inlineStr">
        <is>
          <t>Объем заказа</t>
        </is>
      </c>
      <c r="N248" s="322" t="n"/>
      <c r="O248" s="322" t="n"/>
      <c r="P248" s="322" t="n"/>
      <c r="Q248" s="322" t="n"/>
      <c r="R248" s="322" t="n"/>
      <c r="S248" s="323" t="n"/>
      <c r="T248" s="46" t="inlineStr">
        <is>
          <t>м3</t>
        </is>
      </c>
      <c r="U248" s="43" t="n"/>
      <c r="V248" s="43" t="n"/>
      <c r="W248" s="43">
        <f>IFERROR(W23+W32+W40+W46+W56+W63+W68+W74+W84+W91+W99+W105+W110+W118+W123+W129+W134+W140+W144+W151+W164+W169+W177+W182+W189+W194+W199+W205+W213+W218+W224+W230+W236+W241,"0")</f>
        <v/>
      </c>
      <c r="X248" s="371" t="n"/>
      <c r="Y248" s="371" t="n"/>
    </row>
    <row r="249" ht="13.5" customHeight="1" thickBot="1"/>
    <row r="250" ht="27" customHeight="1" thickBot="1" thickTop="1">
      <c r="A250" s="47" t="inlineStr">
        <is>
          <t>ТОРГОВАЯ МАРКА</t>
        </is>
      </c>
      <c r="B250" s="319" t="inlineStr">
        <is>
          <t>Ядрена копоть</t>
        </is>
      </c>
      <c r="C250" s="319" t="inlineStr">
        <is>
          <t>Горячая штучка</t>
        </is>
      </c>
      <c r="D250" s="457" t="n"/>
      <c r="E250" s="457" t="n"/>
      <c r="F250" s="457" t="n"/>
      <c r="G250" s="457" t="n"/>
      <c r="H250" s="457" t="n"/>
      <c r="I250" s="457" t="n"/>
      <c r="J250" s="457" t="n"/>
      <c r="K250" s="457" t="n"/>
      <c r="L250" s="457" t="n"/>
      <c r="M250" s="457" t="n"/>
      <c r="N250" s="457" t="n"/>
      <c r="O250" s="457" t="n"/>
      <c r="P250" s="457" t="n"/>
      <c r="Q250" s="457" t="n"/>
      <c r="R250" s="458" t="n"/>
      <c r="S250" s="319" t="inlineStr">
        <is>
          <t>No Name</t>
        </is>
      </c>
      <c r="T250" s="457" t="n"/>
      <c r="U250" s="458" t="n"/>
      <c r="V250" s="319" t="inlineStr">
        <is>
          <t>Вязанка</t>
        </is>
      </c>
      <c r="W250" s="457" t="n"/>
      <c r="X250" s="458" t="n"/>
      <c r="Y250" s="319" t="inlineStr">
        <is>
          <t>Стародворье</t>
        </is>
      </c>
      <c r="Z250" s="457" t="n"/>
      <c r="AA250" s="457" t="n"/>
      <c r="AB250" s="458" t="n"/>
      <c r="AC250" s="319" t="inlineStr">
        <is>
          <t>Колбасный стандарт</t>
        </is>
      </c>
      <c r="AD250" s="319" t="inlineStr">
        <is>
          <t>Особый рецепт</t>
        </is>
      </c>
      <c r="AE250" s="458" t="n"/>
    </row>
    <row r="251" ht="14.25" customHeight="1" thickTop="1">
      <c r="A251" s="320" t="inlineStr">
        <is>
          <t>СЕРИЯ</t>
        </is>
      </c>
      <c r="B251" s="319" t="inlineStr">
        <is>
          <t>Ядрена копоть</t>
        </is>
      </c>
      <c r="C251" s="319" t="inlineStr">
        <is>
          <t>Наггетсы ГШ</t>
        </is>
      </c>
      <c r="D251" s="319" t="inlineStr">
        <is>
          <t>Grandmeni</t>
        </is>
      </c>
      <c r="E251" s="319" t="inlineStr">
        <is>
          <t>Чебупай</t>
        </is>
      </c>
      <c r="F251" s="319" t="inlineStr">
        <is>
          <t>Бигбули ГШ</t>
        </is>
      </c>
      <c r="G251" s="319" t="inlineStr">
        <is>
          <t>Бульмени вес ГШ</t>
        </is>
      </c>
      <c r="H251" s="319" t="inlineStr">
        <is>
          <t>Бельмеши</t>
        </is>
      </c>
      <c r="I251" s="319" t="inlineStr">
        <is>
          <t>Крылышки ГШ</t>
        </is>
      </c>
      <c r="J251" s="319" t="inlineStr">
        <is>
          <t>Чебупели</t>
        </is>
      </c>
      <c r="K251" s="319" t="inlineStr">
        <is>
          <t>Чебуреки</t>
        </is>
      </c>
      <c r="L251" s="319" t="inlineStr">
        <is>
          <t>Бульмени ГШ</t>
        </is>
      </c>
      <c r="M251" s="319" t="inlineStr">
        <is>
          <t>Чебупицца</t>
        </is>
      </c>
      <c r="N251" s="319" t="inlineStr">
        <is>
          <t>Хотстеры</t>
        </is>
      </c>
      <c r="O251" s="319" t="inlineStr">
        <is>
          <t>Круггетсы</t>
        </is>
      </c>
      <c r="P251" s="319" t="inlineStr">
        <is>
          <t>Пекерсы</t>
        </is>
      </c>
      <c r="Q251" s="319" t="inlineStr">
        <is>
          <t>Супермени</t>
        </is>
      </c>
      <c r="R251" s="319" t="inlineStr">
        <is>
          <t>Чебуманы</t>
        </is>
      </c>
      <c r="S251" s="319" t="inlineStr">
        <is>
          <t>No Name ПГП</t>
        </is>
      </c>
      <c r="T251" s="319" t="inlineStr">
        <is>
          <t>Стародворье ПГП</t>
        </is>
      </c>
      <c r="U251" s="319" t="inlineStr">
        <is>
          <t>No Name ЗПФ</t>
        </is>
      </c>
      <c r="V251" s="319" t="inlineStr">
        <is>
          <t>Няняггетсы Сливушки</t>
        </is>
      </c>
      <c r="W251" s="319" t="inlineStr">
        <is>
          <t>Печеные пельмени</t>
        </is>
      </c>
      <c r="X251" s="319" t="inlineStr">
        <is>
          <t>Вязанка</t>
        </is>
      </c>
      <c r="Y251" s="319" t="inlineStr">
        <is>
          <t>Стародворье ЗПФ</t>
        </is>
      </c>
      <c r="Z251" s="319" t="inlineStr">
        <is>
          <t>Медвежье ушко</t>
        </is>
      </c>
      <c r="AA251" s="319" t="inlineStr">
        <is>
          <t>Бордо</t>
        </is>
      </c>
      <c r="AB251" s="319" t="inlineStr">
        <is>
          <t>Сочные</t>
        </is>
      </c>
      <c r="AC251" s="319" t="inlineStr">
        <is>
          <t>Владимирский Стандарт ЗПФ</t>
        </is>
      </c>
      <c r="AD251" s="319" t="inlineStr">
        <is>
          <t>Любимая ложка</t>
        </is>
      </c>
      <c r="AE251" s="319" t="inlineStr">
        <is>
          <t>Особая Без свинины</t>
        </is>
      </c>
    </row>
    <row r="252" ht="13.5" customHeight="1" thickBot="1">
      <c r="A252" s="459" t="n"/>
      <c r="B252" s="460" t="n"/>
      <c r="C252" s="460" t="n"/>
      <c r="D252" s="460" t="n"/>
      <c r="E252" s="460" t="n"/>
      <c r="F252" s="460" t="n"/>
      <c r="G252" s="460" t="n"/>
      <c r="H252" s="460" t="n"/>
      <c r="I252" s="460" t="n"/>
      <c r="J252" s="460" t="n"/>
      <c r="K252" s="460" t="n"/>
      <c r="L252" s="460" t="n"/>
      <c r="M252" s="460" t="n"/>
      <c r="N252" s="460" t="n"/>
      <c r="O252" s="460" t="n"/>
      <c r="P252" s="460" t="n"/>
      <c r="Q252" s="460" t="n"/>
      <c r="R252" s="460" t="n"/>
      <c r="S252" s="460" t="n"/>
      <c r="T252" s="460" t="n"/>
      <c r="U252" s="460" t="n"/>
      <c r="V252" s="460" t="n"/>
      <c r="W252" s="460" t="n"/>
      <c r="X252" s="460" t="n"/>
      <c r="Y252" s="460" t="n"/>
      <c r="Z252" s="460" t="n"/>
      <c r="AA252" s="460" t="n"/>
      <c r="AB252" s="460" t="n"/>
      <c r="AC252" s="460" t="n"/>
      <c r="AD252" s="460" t="n"/>
      <c r="AE252" s="460" t="n"/>
    </row>
    <row r="253" ht="18" customHeight="1" thickBot="1" thickTop="1">
      <c r="A253" s="47" t="inlineStr">
        <is>
          <t>ИТОГО, кг</t>
        </is>
      </c>
      <c r="B253" s="53">
        <f>IFERROR(U22*H22,"0")</f>
        <v/>
      </c>
      <c r="C253" s="53">
        <f>IFERROR(U28*H28,"0")+IFERROR(U29*H29,"0")+IFERROR(U30*H30,"0")+IFERROR(U31*H31,"0")</f>
        <v/>
      </c>
      <c r="D253" s="53">
        <f>IFERROR(U36*H36,"0")+IFERROR(U37*H37,"0")+IFERROR(U38*H38,"0")+IFERROR(U39*H39,"0")</f>
        <v/>
      </c>
      <c r="E253" s="53">
        <f>IFERROR(U44*H44,"0")+IFERROR(U45*H45,"0")</f>
        <v/>
      </c>
      <c r="F253" s="53">
        <f>IFERROR(U50*H50,"0")+IFERROR(U51*H51,"0")+IFERROR(U52*H52,"0")+IFERROR(U53*H53,"0")+IFERROR(U54*H54,"0")+IFERROR(U55*H55,"0")</f>
        <v/>
      </c>
      <c r="G253" s="53">
        <f>IFERROR(U60*H60,"0")+IFERROR(U61*H61,"0")+IFERROR(U62*H62,"0")</f>
        <v/>
      </c>
      <c r="H253" s="53">
        <f>IFERROR(U67*H67,"0")</f>
        <v/>
      </c>
      <c r="I253" s="53">
        <f>IFERROR(U72*H72,"0")+IFERROR(U73*H73,"0")</f>
        <v/>
      </c>
      <c r="J253" s="53">
        <f>IFERROR(U78*H78,"0")+IFERROR(U79*H79,"0")+IFERROR(U80*H80,"0")+IFERROR(U81*H81,"0")+IFERROR(U82*H82,"0")+IFERROR(U83*H83,"0")</f>
        <v/>
      </c>
      <c r="K253" s="53">
        <f>IFERROR(U88*H88,"0")+IFERROR(U89*H89,"0")+IFERROR(U90*H90,"0")</f>
        <v/>
      </c>
      <c r="L253" s="53">
        <f>IFERROR(U95*H95,"0")+IFERROR(U96*H96,"0")+IFERROR(U97*H97,"0")+IFERROR(U98*H98,"0")</f>
        <v/>
      </c>
      <c r="M253" s="53">
        <f>IFERROR(U103*H103,"0")+IFERROR(U104*H104,"0")</f>
        <v/>
      </c>
      <c r="N253" s="53">
        <f>IFERROR(U109*H109,"0")</f>
        <v/>
      </c>
      <c r="O253" s="53">
        <f>IFERROR(U114*H114,"0")+IFERROR(U115*H115,"0")+IFERROR(U116*H116,"0")+IFERROR(U117*H117,"0")</f>
        <v/>
      </c>
      <c r="P253" s="53">
        <f>IFERROR(U122*H122,"0")</f>
        <v/>
      </c>
      <c r="Q253" s="53">
        <f>IFERROR(U127*H127,"0")+IFERROR(U128*H128,"0")</f>
        <v/>
      </c>
      <c r="R253" s="53">
        <f>IFERROR(U133*H133,"0")</f>
        <v/>
      </c>
      <c r="S253" s="53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/>
      </c>
      <c r="T253" s="53">
        <f>IFERROR(U168*H168,"0")</f>
        <v/>
      </c>
      <c r="U253" s="53">
        <f>IFERROR(U173*H173,"0")+IFERROR(U174*H174,"0")+IFERROR(U175*H175,"0")+IFERROR(U176*H176,"0")+IFERROR(U180*H180,"0")+IFERROR(U181*H181,"0")</f>
        <v/>
      </c>
      <c r="V253" s="53">
        <f>IFERROR(U187*H187,"0")+IFERROR(U188*H188,"0")</f>
        <v/>
      </c>
      <c r="W253" s="53">
        <f>IFERROR(U193*H193,"0")</f>
        <v/>
      </c>
      <c r="X253" s="53">
        <f>IFERROR(U198*H198,"0")</f>
        <v/>
      </c>
      <c r="Y253" s="53">
        <f>IFERROR(U204*H204,"0")</f>
        <v/>
      </c>
      <c r="Z253" s="53">
        <f>IFERROR(U209*H209,"0")+IFERROR(U210*H210,"0")+IFERROR(U211*H211,"0")+IFERROR(U212*H212,"0")</f>
        <v/>
      </c>
      <c r="AA253" s="53">
        <f>IFERROR(U217*H217,"0")</f>
        <v/>
      </c>
      <c r="AB253" s="53">
        <f>IFERROR(U222*H222,"0")+IFERROR(U223*H223,"0")</f>
        <v/>
      </c>
      <c r="AC253" s="53">
        <f>IFERROR(U229*H229,"0")</f>
        <v/>
      </c>
      <c r="AD253" s="53">
        <f>IFERROR(U235*H235,"0")</f>
        <v/>
      </c>
      <c r="AE253" s="53">
        <f>IFERROR(U240*H240,"0")</f>
        <v/>
      </c>
    </row>
    <row r="254" ht="13.5" customHeight="1" thickTop="1">
      <c r="C254" s="1" t="n"/>
    </row>
    <row r="255" ht="19.5" customHeight="1">
      <c r="A255" s="71" t="inlineStr">
        <is>
          <t>ЗПФ, кг</t>
        </is>
      </c>
      <c r="B255" s="71" t="inlineStr">
        <is>
          <t xml:space="preserve">ПГП, кг </t>
        </is>
      </c>
      <c r="C255" s="71" t="inlineStr">
        <is>
          <t>КИЗ, кг</t>
        </is>
      </c>
    </row>
    <row r="256">
      <c r="A256" s="72">
        <f>SUMPRODUCT(--(AZ:AZ="ЗПФ"),--(T:T="кор"),H:H,V:V)+SUMPRODUCT(--(AZ:AZ="ЗПФ"),--(T:T="кг"),V:V)</f>
        <v/>
      </c>
      <c r="B256" s="73">
        <f>SUMPRODUCT(--(AZ:AZ="ПГП"),--(T:T="кор"),H:H,V:V)+SUMPRODUCT(--(AZ:AZ="ПГП"),--(T:T="кг"),V:V)</f>
        <v/>
      </c>
      <c r="C256" s="73">
        <f>SUMPRODUCT(--(AZ:AZ="КИЗ"),--(T:T="кор"),H:H,V:V)+SUMPRODUCT(--(AZ:AZ="КИЗ"),--(T:T="кг"),V:V)</f>
        <v/>
      </c>
    </row>
    <row r="257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QArh0FFAcgpYM2eIi3fHLQ==" formatRows="1" sort="0" spinCount="100000" hashValue="kpb180nrfDTeGGmjFOP0ilqWW1+XRJLakyD14VZJI32bMUUgsAYNw1QzxeyrJv4Veh3jWX2yASZOaH9in00Gng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450">
    <mergeCell ref="AC251:AC252"/>
    <mergeCell ref="AD251:AD252"/>
    <mergeCell ref="AE251:AE252"/>
    <mergeCell ref="T251:T252"/>
    <mergeCell ref="U251:U252"/>
    <mergeCell ref="V251:V252"/>
    <mergeCell ref="W251:W252"/>
    <mergeCell ref="X251:X252"/>
    <mergeCell ref="Y251:Y252"/>
    <mergeCell ref="Z251:Z252"/>
    <mergeCell ref="AA251:AA252"/>
    <mergeCell ref="AB251:AB252"/>
    <mergeCell ref="C250:R250"/>
    <mergeCell ref="S250:U250"/>
    <mergeCell ref="V250:X250"/>
    <mergeCell ref="Y250:AB250"/>
    <mergeCell ref="AD250:AE250"/>
    <mergeCell ref="A251:A252"/>
    <mergeCell ref="B251:B252"/>
    <mergeCell ref="C251:C252"/>
    <mergeCell ref="D251:D252"/>
    <mergeCell ref="E251:E252"/>
    <mergeCell ref="F251:F252"/>
    <mergeCell ref="G251:G252"/>
    <mergeCell ref="H251:H252"/>
    <mergeCell ref="I251:I252"/>
    <mergeCell ref="J251:J252"/>
    <mergeCell ref="K251:K252"/>
    <mergeCell ref="L251:L252"/>
    <mergeCell ref="M251:M252"/>
    <mergeCell ref="N251:N252"/>
    <mergeCell ref="O251:O252"/>
    <mergeCell ref="P251:P252"/>
    <mergeCell ref="Q251:Q252"/>
    <mergeCell ref="R251:R252"/>
    <mergeCell ref="S251:S252"/>
    <mergeCell ref="A238:W238"/>
    <mergeCell ref="A239:W239"/>
    <mergeCell ref="D240:E240"/>
    <mergeCell ref="M240:Q240"/>
    <mergeCell ref="M241:S241"/>
    <mergeCell ref="A241:L242"/>
    <mergeCell ref="M242:S242"/>
    <mergeCell ref="M243:S243"/>
    <mergeCell ref="A243:L248"/>
    <mergeCell ref="M244:S244"/>
    <mergeCell ref="M245:S245"/>
    <mergeCell ref="M246:S246"/>
    <mergeCell ref="M247:S247"/>
    <mergeCell ref="M248:S248"/>
    <mergeCell ref="M230:S230"/>
    <mergeCell ref="A230:L231"/>
    <mergeCell ref="M231:S231"/>
    <mergeCell ref="A232:W232"/>
    <mergeCell ref="A233:W233"/>
    <mergeCell ref="A234:W234"/>
    <mergeCell ref="D235:E235"/>
    <mergeCell ref="M235:Q235"/>
    <mergeCell ref="M236:S236"/>
    <mergeCell ref="A236:L237"/>
    <mergeCell ref="M237:S237"/>
    <mergeCell ref="D223:E223"/>
    <mergeCell ref="M223:Q223"/>
    <mergeCell ref="M224:S224"/>
    <mergeCell ref="A224:L225"/>
    <mergeCell ref="M225:S225"/>
    <mergeCell ref="A226:W226"/>
    <mergeCell ref="A227:W227"/>
    <mergeCell ref="A228:W228"/>
    <mergeCell ref="D229:E229"/>
    <mergeCell ref="M229:Q229"/>
    <mergeCell ref="D217:E217"/>
    <mergeCell ref="M217:Q217"/>
    <mergeCell ref="M218:S218"/>
    <mergeCell ref="A218:L219"/>
    <mergeCell ref="M219:S219"/>
    <mergeCell ref="A220:W220"/>
    <mergeCell ref="A221:W221"/>
    <mergeCell ref="D222:E222"/>
    <mergeCell ref="M222:Q222"/>
    <mergeCell ref="D211:E211"/>
    <mergeCell ref="M211:Q211"/>
    <mergeCell ref="D212:E212"/>
    <mergeCell ref="M212:Q212"/>
    <mergeCell ref="M213:S213"/>
    <mergeCell ref="A213:L214"/>
    <mergeCell ref="M214:S214"/>
    <mergeCell ref="A215:W215"/>
    <mergeCell ref="A216:W216"/>
    <mergeCell ref="M205:S205"/>
    <mergeCell ref="A205:L206"/>
    <mergeCell ref="M206:S206"/>
    <mergeCell ref="A207:W207"/>
    <mergeCell ref="A208:W208"/>
    <mergeCell ref="D209:E209"/>
    <mergeCell ref="M209:Q209"/>
    <mergeCell ref="D210:E210"/>
    <mergeCell ref="M210:Q210"/>
    <mergeCell ref="D198:E198"/>
    <mergeCell ref="M198:Q198"/>
    <mergeCell ref="M199:S199"/>
    <mergeCell ref="A199:L200"/>
    <mergeCell ref="M200:S200"/>
    <mergeCell ref="A201:W201"/>
    <mergeCell ref="A202:W202"/>
    <mergeCell ref="A203:W203"/>
    <mergeCell ref="D204:E204"/>
    <mergeCell ref="M204:Q204"/>
    <mergeCell ref="A191:W191"/>
    <mergeCell ref="A192:W192"/>
    <mergeCell ref="D193:E193"/>
    <mergeCell ref="M193:Q193"/>
    <mergeCell ref="M194:S194"/>
    <mergeCell ref="A194:L195"/>
    <mergeCell ref="M195:S195"/>
    <mergeCell ref="A196:W196"/>
    <mergeCell ref="A197:W197"/>
    <mergeCell ref="A185:W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79:W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D168:E168"/>
    <mergeCell ref="M168:Q168"/>
    <mergeCell ref="M169:S169"/>
    <mergeCell ref="A169:L170"/>
    <mergeCell ref="M170:S170"/>
    <mergeCell ref="A171:W171"/>
    <mergeCell ref="A172:W172"/>
    <mergeCell ref="D173:E173"/>
    <mergeCell ref="M173:Q173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A167:W167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M151:S151"/>
    <mergeCell ref="A151:L152"/>
    <mergeCell ref="M152:S152"/>
    <mergeCell ref="A153:W153"/>
    <mergeCell ref="D154:E154"/>
    <mergeCell ref="M154:Q154"/>
    <mergeCell ref="D155:E155"/>
    <mergeCell ref="M155:Q155"/>
    <mergeCell ref="D156:E156"/>
    <mergeCell ref="M156:Q156"/>
    <mergeCell ref="A146:W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40:S140"/>
    <mergeCell ref="A140:L141"/>
    <mergeCell ref="M141:S141"/>
    <mergeCell ref="A142:W142"/>
    <mergeCell ref="D143:E143"/>
    <mergeCell ref="M143:Q143"/>
    <mergeCell ref="M144:S144"/>
    <mergeCell ref="A144:L145"/>
    <mergeCell ref="M145:S145"/>
    <mergeCell ref="D133:E133"/>
    <mergeCell ref="M133:Q133"/>
    <mergeCell ref="M134:S134"/>
    <mergeCell ref="A134:L135"/>
    <mergeCell ref="M135:S135"/>
    <mergeCell ref="A136:W136"/>
    <mergeCell ref="A137:W137"/>
    <mergeCell ref="A138:W138"/>
    <mergeCell ref="D139:E139"/>
    <mergeCell ref="M139:Q139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A120:W120"/>
    <mergeCell ref="A121:W121"/>
    <mergeCell ref="D122:E122"/>
    <mergeCell ref="M122:Q122"/>
    <mergeCell ref="M123:S123"/>
    <mergeCell ref="A123:L124"/>
    <mergeCell ref="M124:S124"/>
    <mergeCell ref="A125:W125"/>
    <mergeCell ref="A126:W126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07:W107"/>
    <mergeCell ref="A108:W108"/>
    <mergeCell ref="D109:E109"/>
    <mergeCell ref="M109:Q109"/>
    <mergeCell ref="M110:S110"/>
    <mergeCell ref="A110:L111"/>
    <mergeCell ref="M111:S111"/>
    <mergeCell ref="A112:W112"/>
    <mergeCell ref="A113:W113"/>
    <mergeCell ref="A101:W101"/>
    <mergeCell ref="A102:W102"/>
    <mergeCell ref="D103:E103"/>
    <mergeCell ref="M103:Q103"/>
    <mergeCell ref="D104:E104"/>
    <mergeCell ref="M104:Q104"/>
    <mergeCell ref="M105:S105"/>
    <mergeCell ref="A105:L106"/>
    <mergeCell ref="M106:S106"/>
    <mergeCell ref="D96:E96"/>
    <mergeCell ref="M96:Q96"/>
    <mergeCell ref="D97:E97"/>
    <mergeCell ref="M97:Q97"/>
    <mergeCell ref="D98:E98"/>
    <mergeCell ref="M98:Q98"/>
    <mergeCell ref="M99:S99"/>
    <mergeCell ref="A99:L100"/>
    <mergeCell ref="M100:S100"/>
    <mergeCell ref="D90:E90"/>
    <mergeCell ref="M90:Q90"/>
    <mergeCell ref="M91:S91"/>
    <mergeCell ref="A91:L92"/>
    <mergeCell ref="M92:S92"/>
    <mergeCell ref="A93:W93"/>
    <mergeCell ref="A94:W94"/>
    <mergeCell ref="D95:E95"/>
    <mergeCell ref="M95:Q95"/>
    <mergeCell ref="M84:S84"/>
    <mergeCell ref="A84:L85"/>
    <mergeCell ref="M85:S85"/>
    <mergeCell ref="A86:W86"/>
    <mergeCell ref="A87:W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M74:S74"/>
    <mergeCell ref="A74:L75"/>
    <mergeCell ref="M75:S75"/>
    <mergeCell ref="A76:W76"/>
    <mergeCell ref="A77:W77"/>
    <mergeCell ref="D78:E78"/>
    <mergeCell ref="M78:Q78"/>
    <mergeCell ref="D67:E67"/>
    <mergeCell ref="M67:Q67"/>
    <mergeCell ref="M68:S68"/>
    <mergeCell ref="A68:L69"/>
    <mergeCell ref="M69:S69"/>
    <mergeCell ref="A70:W70"/>
    <mergeCell ref="A71:W71"/>
    <mergeCell ref="D72:E72"/>
    <mergeCell ref="M72:Q72"/>
    <mergeCell ref="D61:E61"/>
    <mergeCell ref="M61:Q61"/>
    <mergeCell ref="D62:E62"/>
    <mergeCell ref="M62:Q62"/>
    <mergeCell ref="M63:S63"/>
    <mergeCell ref="A63:L64"/>
    <mergeCell ref="M64:S64"/>
    <mergeCell ref="A65:W65"/>
    <mergeCell ref="A66:W66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д. 43В, лит В, офис 4</t>
        </is>
      </c>
      <c r="C6" s="54" t="inlineStr">
        <is>
          <t>590704_5</t>
        </is>
      </c>
      <c r="D6" s="54" t="inlineStr">
        <is>
          <t>1</t>
        </is>
      </c>
      <c r="E6" s="54" t="inlineStr"/>
    </row>
    <row r="8">
      <c r="B8" s="54" t="inlineStr">
        <is>
          <t>295021Российская Федерация, Крым Респ, Симферополь г, Данилова ул, д. 43В, лит В, офис 4</t>
        </is>
      </c>
      <c r="C8" s="54" t="inlineStr">
        <is>
          <t>590704_5</t>
        </is>
      </c>
      <c r="D8" s="54" t="inlineStr"/>
      <c r="E8" s="54" t="inlineStr"/>
    </row>
    <row r="10">
      <c r="B10" s="54" t="inlineStr">
        <is>
          <t>CFR</t>
        </is>
      </c>
      <c r="C10" s="54" t="inlineStr"/>
      <c r="D10" s="54" t="inlineStr"/>
      <c r="E10" s="54" t="inlineStr"/>
    </row>
    <row r="11">
      <c r="B11" s="54" t="inlineStr">
        <is>
          <t>CIF</t>
        </is>
      </c>
      <c r="C11" s="54" t="inlineStr"/>
      <c r="D11" s="54" t="inlineStr"/>
      <c r="E11" s="54" t="inlineStr"/>
    </row>
    <row r="12">
      <c r="B12" s="54" t="inlineStr">
        <is>
          <t>CIP</t>
        </is>
      </c>
      <c r="C12" s="54" t="inlineStr"/>
      <c r="D12" s="54" t="inlineStr"/>
      <c r="E12" s="54" t="inlineStr"/>
    </row>
    <row r="13">
      <c r="B13" s="54" t="inlineStr">
        <is>
          <t>CPT</t>
        </is>
      </c>
      <c r="C13" s="54" t="inlineStr"/>
      <c r="D13" s="54" t="inlineStr"/>
      <c r="E13" s="54" t="inlineStr"/>
    </row>
    <row r="14">
      <c r="B14" s="54" t="inlineStr">
        <is>
          <t>DAP</t>
        </is>
      </c>
      <c r="C14" s="54" t="inlineStr"/>
      <c r="D14" s="54" t="inlineStr"/>
      <c r="E14" s="54" t="inlineStr"/>
    </row>
    <row r="15">
      <c r="B15" s="54" t="inlineStr">
        <is>
          <t>DAT</t>
        </is>
      </c>
      <c r="C15" s="54" t="inlineStr"/>
      <c r="D15" s="54" t="inlineStr"/>
      <c r="E15" s="54" t="inlineStr"/>
    </row>
    <row r="16">
      <c r="B16" s="54" t="inlineStr">
        <is>
          <t>DDP</t>
        </is>
      </c>
      <c r="C16" s="54" t="inlineStr"/>
      <c r="D16" s="54" t="inlineStr"/>
      <c r="E16" s="54" t="inlineStr"/>
    </row>
    <row r="17">
      <c r="B17" s="54" t="inlineStr">
        <is>
          <t>EXW</t>
        </is>
      </c>
      <c r="C17" s="54" t="inlineStr"/>
      <c r="D17" s="54" t="inlineStr"/>
      <c r="E17" s="54" t="inlineStr"/>
    </row>
    <row r="18">
      <c r="B18" s="54" t="inlineStr">
        <is>
          <t>FAS</t>
        </is>
      </c>
      <c r="C18" s="54" t="inlineStr"/>
      <c r="D18" s="54" t="inlineStr"/>
      <c r="E18" s="54" t="inlineStr"/>
    </row>
    <row r="19">
      <c r="B19" s="54" t="inlineStr">
        <is>
          <t>FCA</t>
        </is>
      </c>
      <c r="C19" s="54" t="inlineStr"/>
      <c r="D19" s="54" t="inlineStr"/>
      <c r="E19" s="54" t="inlineStr"/>
    </row>
    <row r="20">
      <c r="B20" s="54" t="inlineStr">
        <is>
          <t>FOB</t>
        </is>
      </c>
      <c r="C20" s="54" t="inlineStr"/>
      <c r="D20" s="54" t="inlineStr"/>
      <c r="E20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K6iXhe1Y2NEUDpGP9BH4Q==" formatRows="1" sort="0" spinCount="100000" hashValue="F71yUL5jdmI3aExPAfI0NPjbCQdCKJ5/lhsamnSkdLiDA88L4NVCTze2lcL9qJSkNeGrwmKT73JEnwfY1gHcM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2023-09-14T12:57:20Z</dcterms:modified>
  <cp:lastModifiedBy>Admin</cp:lastModifiedBy>
</cp:coreProperties>
</file>