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440" windowHeight="97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заказа'!$U$418:$U$418</definedName>
    <definedName name="GrossWeightTotalR">'Бланк заказа'!$V$418:$V$418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заказа'!$U$419:$U$419</definedName>
    <definedName name="PalletQtyTotalR">'Бланк заказа'!$V$419:$V$419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заказа'!$B$201:$B$201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заказа'!$B$210:$B$210</definedName>
    <definedName name="ProductId125">'Бланк заказа'!$B$211:$B$211</definedName>
    <definedName name="ProductId126">'Бланк заказа'!$B$212:$B$212</definedName>
    <definedName name="ProductId127">'Бланк заказа'!$B$216:$B$216</definedName>
    <definedName name="ProductId128">'Бланк заказа'!$B$217:$B$217</definedName>
    <definedName name="ProductId129">'Бланк заказа'!$B$218:$B$218</definedName>
    <definedName name="ProductId13">'Бланк заказа'!$B$55:$B$55</definedName>
    <definedName name="ProductId130">'Бланк заказа'!$B$219:$B$219</definedName>
    <definedName name="ProductId131">'Бланк заказа'!$B$224:$B$224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заказа'!$B$234:$B$234</definedName>
    <definedName name="ProductId139">'Бланк заказа'!$B$235:$B$235</definedName>
    <definedName name="ProductId14">'Бланк заказа'!$B$56:$B$56</definedName>
    <definedName name="ProductId140">'Бланк заказа'!$B$240:$B$240</definedName>
    <definedName name="ProductId141">'Бланк заказа'!$B$241:$B$241</definedName>
    <definedName name="ProductId142">'Бланк заказа'!$B$245:$B$245</definedName>
    <definedName name="ProductId143">'Бланк заказа'!$B$246:$B$246</definedName>
    <definedName name="ProductId144">'Бланк заказа'!$B$247:$B$247</definedName>
    <definedName name="ProductId145">'Бланк заказа'!$B$251:$B$251</definedName>
    <definedName name="ProductId146">'Бланк заказа'!$B$255:$B$255</definedName>
    <definedName name="ProductId147">'Бланк заказа'!$B$259:$B$259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заказа'!$B$281:$B$281</definedName>
    <definedName name="ProductId159">'Бланк заказа'!$B$282:$B$282</definedName>
    <definedName name="ProductId16">'Бланк заказа'!$B$62:$B$62</definedName>
    <definedName name="ProductId160">'Бланк заказа'!$B$286:$B$286</definedName>
    <definedName name="ProductId161">'Бланк заказа'!$B$290:$B$290</definedName>
    <definedName name="ProductId162">'Бланк заказа'!$B$295:$B$295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заказа'!$B$302:$B$302</definedName>
    <definedName name="ProductId167">'Бланк заказа'!$B$303:$B$303</definedName>
    <definedName name="ProductId168">'Бланк заказа'!$B$307:$B$307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заказа'!$B$310:$B$310</definedName>
    <definedName name="ProductId172">'Бланк заказа'!$B$314:$B$314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заказа'!$B$336:$B$336</definedName>
    <definedName name="ProductId184">'Бланк заказа'!$B$337:$B$337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заказа'!$B$382:$B$382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заказа'!$B$390:$B$390</definedName>
    <definedName name="ProductId214">'Бланк заказа'!$B$391:$B$391</definedName>
    <definedName name="ProductId215">'Бланк заказа'!$B$397:$B$397</definedName>
    <definedName name="ProductId216">'Бланк заказа'!$B$398:$B$398</definedName>
    <definedName name="ProductId217">'Бланк заказа'!$B$402:$B$402</definedName>
    <definedName name="ProductId218">'Бланк заказа'!$B$403:$B$403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заказа'!$B$79:$B$79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заказа'!$B$88:$B$88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заказа'!$B$113:$B$113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заказа'!$B$121:$B$121</definedName>
    <definedName name="ProductId6">'Бланк заказа'!$B$30:$B$30</definedName>
    <definedName name="ProductId60">'Бланк заказа'!$B$127:$B$127</definedName>
    <definedName name="ProductId61">'Бланк заказа'!$B$128:$B$128</definedName>
    <definedName name="ProductId62">'Бланк заказа'!$B$129:$B$129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заказа'!$B$155:$B$155</definedName>
    <definedName name="ProductId79">'Бланк заказа'!$B$156:$B$156</definedName>
    <definedName name="ProductId8">'Бланк заказа'!$B$35:$B$35</definedName>
    <definedName name="ProductId80">'Бланк заказа'!$B$157:$B$157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заказа'!$B$174:$B$174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заказа'!$U$201:$U$201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заказа'!$U$210:$U$210</definedName>
    <definedName name="SalesQty125">'Бланк заказа'!$U$211:$U$211</definedName>
    <definedName name="SalesQty126">'Бланк заказа'!$U$212:$U$212</definedName>
    <definedName name="SalesQty127">'Бланк заказа'!$U$216:$U$216</definedName>
    <definedName name="SalesQty128">'Бланк заказа'!$U$217:$U$217</definedName>
    <definedName name="SalesQty129">'Бланк заказа'!$U$218:$U$218</definedName>
    <definedName name="SalesQty13">'Бланк заказа'!$U$55:$U$55</definedName>
    <definedName name="SalesQty130">'Бланк заказа'!$U$219:$U$219</definedName>
    <definedName name="SalesQty131">'Бланк заказа'!$U$224:$U$224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заказа'!$U$234:$U$234</definedName>
    <definedName name="SalesQty139">'Бланк заказа'!$U$235:$U$235</definedName>
    <definedName name="SalesQty14">'Бланк заказа'!$U$56:$U$56</definedName>
    <definedName name="SalesQty140">'Бланк заказа'!$U$240:$U$240</definedName>
    <definedName name="SalesQty141">'Бланк заказа'!$U$241:$U$241</definedName>
    <definedName name="SalesQty142">'Бланк заказа'!$U$245:$U$245</definedName>
    <definedName name="SalesQty143">'Бланк заказа'!$U$246:$U$246</definedName>
    <definedName name="SalesQty144">'Бланк заказа'!$U$247:$U$247</definedName>
    <definedName name="SalesQty145">'Бланк заказа'!$U$251:$U$251</definedName>
    <definedName name="SalesQty146">'Бланк заказа'!$U$255:$U$255</definedName>
    <definedName name="SalesQty147">'Бланк заказа'!$U$259:$U$259</definedName>
    <definedName name="SalesQty148">'Бланк заказа'!$U$265:$U$265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заказа'!$U$276:$U$276</definedName>
    <definedName name="SalesQty157">'Бланк заказа'!$U$277:$U$277</definedName>
    <definedName name="SalesQty158">'Бланк заказа'!$U$281:$U$281</definedName>
    <definedName name="SalesQty159">'Бланк заказа'!$U$282:$U$282</definedName>
    <definedName name="SalesQty16">'Бланк заказа'!$U$62:$U$62</definedName>
    <definedName name="SalesQty160">'Бланк заказа'!$U$286:$U$286</definedName>
    <definedName name="SalesQty161">'Бланк заказа'!$U$290:$U$290</definedName>
    <definedName name="SalesQty162">'Бланк заказа'!$U$295:$U$295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заказа'!$U$302:$U$302</definedName>
    <definedName name="SalesQty167">'Бланк заказа'!$U$303:$U$303</definedName>
    <definedName name="SalesQty168">'Бланк заказа'!$U$307:$U$307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заказа'!$U$310:$U$310</definedName>
    <definedName name="SalesQty172">'Бланк заказа'!$U$314:$U$314</definedName>
    <definedName name="SalesQty173">'Бланк заказа'!$U$315:$U$315</definedName>
    <definedName name="SalesQty174">'Бланк заказа'!$U$321:$U$321</definedName>
    <definedName name="SalesQty175">'Бланк заказа'!$U$322:$U$322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заказа'!$U$336:$U$336</definedName>
    <definedName name="SalesQty184">'Бланк заказа'!$U$337:$U$337</definedName>
    <definedName name="SalesQty185">'Бланк заказа'!$U$338:$U$338</definedName>
    <definedName name="SalesQty186">'Бланк заказа'!$U$339:$U$339</definedName>
    <definedName name="SalesQty187">'Бланк заказа'!$U$343:$U$343</definedName>
    <definedName name="SalesQty188">'Бланк заказа'!$U$348:$U$348</definedName>
    <definedName name="SalesQty189">'Бланк заказа'!$U$349:$U$349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заказа'!$U$376:$U$376</definedName>
    <definedName name="SalesQty206">'Бланк заказа'!$U$377:$U$377</definedName>
    <definedName name="SalesQty207">'Бланк заказа'!$U$381:$U$381</definedName>
    <definedName name="SalesQty208">'Бланк заказа'!$U$382:$U$382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заказа'!$U$390:$U$390</definedName>
    <definedName name="SalesQty214">'Бланк заказа'!$U$391:$U$391</definedName>
    <definedName name="SalesQty215">'Бланк заказа'!$U$397:$U$397</definedName>
    <definedName name="SalesQty216">'Бланк заказа'!$U$398:$U$398</definedName>
    <definedName name="SalesQty217">'Бланк заказа'!$U$402:$U$402</definedName>
    <definedName name="SalesQty218">'Бланк заказа'!$U$403:$U$403</definedName>
    <definedName name="SalesQty219">'Бланк заказа'!$U$407:$U$407</definedName>
    <definedName name="SalesQty22">'Бланк заказа'!$U$68:$U$68</definedName>
    <definedName name="SalesQty220">'Бланк заказа'!$U$408:$U$408</definedName>
    <definedName name="SalesQty221">'Бланк заказа'!$U$412:$U$412</definedName>
    <definedName name="SalesQty222">'Бланк заказа'!$U$413:$U$413</definedName>
    <definedName name="SalesQty223">'Бланк заказа'!$U$414:$U$414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заказа'!$U$79:$U$79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заказа'!$U$88:$U$88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заказа'!$U$100:$U$100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заказа'!$U$110:$U$110</definedName>
    <definedName name="SalesQty53">'Бланк заказа'!$U$111:$U$111</definedName>
    <definedName name="SalesQty54">'Бланк заказа'!$U$112:$U$112</definedName>
    <definedName name="SalesQty55">'Бланк заказа'!$U$113:$U$113</definedName>
    <definedName name="SalesQty56">'Бланк заказа'!$U$118:$U$118</definedName>
    <definedName name="SalesQty57">'Бланк заказа'!$U$119:$U$119</definedName>
    <definedName name="SalesQty58">'Бланк заказа'!$U$120:$U$120</definedName>
    <definedName name="SalesQty59">'Бланк заказа'!$U$121:$U$121</definedName>
    <definedName name="SalesQty6">'Бланк заказа'!$U$30:$U$30</definedName>
    <definedName name="SalesQty60">'Бланк заказа'!$U$127:$U$127</definedName>
    <definedName name="SalesQty61">'Бланк заказа'!$U$128:$U$128</definedName>
    <definedName name="SalesQty62">'Бланк заказа'!$U$129:$U$129</definedName>
    <definedName name="SalesQty63">'Бланк заказа'!$U$134:$U$134</definedName>
    <definedName name="SalesQty64">'Бланк заказа'!$U$135:$U$135</definedName>
    <definedName name="SalesQty65">'Бланк заказа'!$U$136:$U$136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заказа'!$U$151:$U$151</definedName>
    <definedName name="SalesQty78">'Бланк заказа'!$U$155:$U$155</definedName>
    <definedName name="SalesQty79">'Бланк заказа'!$U$156:$U$156</definedName>
    <definedName name="SalesQty8">'Бланк заказа'!$U$35:$U$35</definedName>
    <definedName name="SalesQty80">'Бланк заказа'!$U$157:$U$157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заказа'!$U$174:$U$174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заказа'!$V$201:$V$201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заказа'!$V$210:$V$210</definedName>
    <definedName name="SalesRoundBox125">'Бланк заказа'!$V$211:$V$211</definedName>
    <definedName name="SalesRoundBox126">'Бланк заказа'!$V$212:$V$212</definedName>
    <definedName name="SalesRoundBox127">'Бланк заказа'!$V$216:$V$216</definedName>
    <definedName name="SalesRoundBox128">'Бланк заказа'!$V$217:$V$217</definedName>
    <definedName name="SalesRoundBox129">'Бланк заказа'!$V$218:$V$218</definedName>
    <definedName name="SalesRoundBox13">'Бланк заказа'!$V$55:$V$55</definedName>
    <definedName name="SalesRoundBox130">'Бланк заказа'!$V$219:$V$219</definedName>
    <definedName name="SalesRoundBox131">'Бланк заказа'!$V$224:$V$224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заказа'!$V$234:$V$234</definedName>
    <definedName name="SalesRoundBox139">'Бланк заказа'!$V$235:$V$235</definedName>
    <definedName name="SalesRoundBox14">'Бланк заказа'!$V$56:$V$56</definedName>
    <definedName name="SalesRoundBox140">'Бланк заказа'!$V$240:$V$240</definedName>
    <definedName name="SalesRoundBox141">'Бланк заказа'!$V$241:$V$241</definedName>
    <definedName name="SalesRoundBox142">'Бланк заказа'!$V$245:$V$245</definedName>
    <definedName name="SalesRoundBox143">'Бланк заказа'!$V$246:$V$246</definedName>
    <definedName name="SalesRoundBox144">'Бланк заказа'!$V$247:$V$247</definedName>
    <definedName name="SalesRoundBox145">'Бланк заказа'!$V$251:$V$251</definedName>
    <definedName name="SalesRoundBox146">'Бланк заказа'!$V$255:$V$255</definedName>
    <definedName name="SalesRoundBox147">'Бланк заказа'!$V$259:$V$259</definedName>
    <definedName name="SalesRoundBox148">'Бланк заказа'!$V$265:$V$265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заказа'!$V$276:$V$276</definedName>
    <definedName name="SalesRoundBox157">'Бланк заказа'!$V$277:$V$277</definedName>
    <definedName name="SalesRoundBox158">'Бланк заказа'!$V$281:$V$281</definedName>
    <definedName name="SalesRoundBox159">'Бланк заказа'!$V$282:$V$282</definedName>
    <definedName name="SalesRoundBox16">'Бланк заказа'!$V$62:$V$62</definedName>
    <definedName name="SalesRoundBox160">'Бланк заказа'!$V$286:$V$286</definedName>
    <definedName name="SalesRoundBox161">'Бланк заказа'!$V$290:$V$290</definedName>
    <definedName name="SalesRoundBox162">'Бланк заказа'!$V$295:$V$295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заказа'!$V$302:$V$302</definedName>
    <definedName name="SalesRoundBox167">'Бланк заказа'!$V$303:$V$303</definedName>
    <definedName name="SalesRoundBox168">'Бланк заказа'!$V$307:$V$307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заказа'!$V$310:$V$310</definedName>
    <definedName name="SalesRoundBox172">'Бланк заказа'!$V$314:$V$314</definedName>
    <definedName name="SalesRoundBox173">'Бланк заказа'!$V$315:$V$315</definedName>
    <definedName name="SalesRoundBox174">'Бланк заказа'!$V$321:$V$321</definedName>
    <definedName name="SalesRoundBox175">'Бланк заказа'!$V$322:$V$322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заказа'!$V$336:$V$336</definedName>
    <definedName name="SalesRoundBox184">'Бланк заказа'!$V$337:$V$337</definedName>
    <definedName name="SalesRoundBox185">'Бланк заказа'!$V$338:$V$338</definedName>
    <definedName name="SalesRoundBox186">'Бланк заказа'!$V$339:$V$339</definedName>
    <definedName name="SalesRoundBox187">'Бланк заказа'!$V$343:$V$343</definedName>
    <definedName name="SalesRoundBox188">'Бланк заказа'!$V$348:$V$348</definedName>
    <definedName name="SalesRoundBox189">'Бланк заказа'!$V$349:$V$349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заказа'!$V$376:$V$376</definedName>
    <definedName name="SalesRoundBox206">'Бланк заказа'!$V$377:$V$377</definedName>
    <definedName name="SalesRoundBox207">'Бланк заказа'!$V$381:$V$381</definedName>
    <definedName name="SalesRoundBox208">'Бланк заказа'!$V$382:$V$382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заказа'!$V$390:$V$390</definedName>
    <definedName name="SalesRoundBox214">'Бланк заказа'!$V$391:$V$391</definedName>
    <definedName name="SalesRoundBox215">'Бланк заказа'!$V$397:$V$397</definedName>
    <definedName name="SalesRoundBox216">'Бланк заказа'!$V$398:$V$398</definedName>
    <definedName name="SalesRoundBox217">'Бланк заказа'!$V$402:$V$402</definedName>
    <definedName name="SalesRoundBox218">'Бланк заказа'!$V$403:$V$403</definedName>
    <definedName name="SalesRoundBox219">'Бланк заказа'!$V$407:$V$407</definedName>
    <definedName name="SalesRoundBox22">'Бланк заказа'!$V$68:$V$68</definedName>
    <definedName name="SalesRoundBox220">'Бланк заказа'!$V$408:$V$408</definedName>
    <definedName name="SalesRoundBox221">'Бланк заказа'!$V$412:$V$412</definedName>
    <definedName name="SalesRoundBox222">'Бланк заказа'!$V$413:$V$413</definedName>
    <definedName name="SalesRoundBox223">'Бланк заказа'!$V$414:$V$414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заказа'!$V$79:$V$79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заказа'!$V$88:$V$88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заказа'!$V$100:$V$100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заказа'!$V$110:$V$110</definedName>
    <definedName name="SalesRoundBox53">'Бланк заказа'!$V$111:$V$111</definedName>
    <definedName name="SalesRoundBox54">'Бланк заказа'!$V$112:$V$112</definedName>
    <definedName name="SalesRoundBox55">'Бланк заказа'!$V$113:$V$113</definedName>
    <definedName name="SalesRoundBox56">'Бланк заказа'!$V$118:$V$118</definedName>
    <definedName name="SalesRoundBox57">'Бланк заказа'!$V$119:$V$119</definedName>
    <definedName name="SalesRoundBox58">'Бланк заказа'!$V$120:$V$120</definedName>
    <definedName name="SalesRoundBox59">'Бланк заказа'!$V$121:$V$121</definedName>
    <definedName name="SalesRoundBox6">'Бланк заказа'!$V$30:$V$30</definedName>
    <definedName name="SalesRoundBox60">'Бланк заказа'!$V$127:$V$127</definedName>
    <definedName name="SalesRoundBox61">'Бланк заказа'!$V$128:$V$128</definedName>
    <definedName name="SalesRoundBox62">'Бланк заказа'!$V$129:$V$129</definedName>
    <definedName name="SalesRoundBox63">'Бланк заказа'!$V$134:$V$134</definedName>
    <definedName name="SalesRoundBox64">'Бланк заказа'!$V$135:$V$135</definedName>
    <definedName name="SalesRoundBox65">'Бланк заказа'!$V$136:$V$136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заказа'!$V$151:$V$151</definedName>
    <definedName name="SalesRoundBox78">'Бланк заказа'!$V$155:$V$155</definedName>
    <definedName name="SalesRoundBox79">'Бланк заказа'!$V$156:$V$156</definedName>
    <definedName name="SalesRoundBox8">'Бланк заказа'!$V$35:$V$35</definedName>
    <definedName name="SalesRoundBox80">'Бланк заказа'!$V$157:$V$157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заказа'!$V$174:$V$174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заказа'!$T$201:$T$201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заказа'!$T$210:$T$210</definedName>
    <definedName name="UnitOfMeasure125">'Бланк заказа'!$T$211:$T$211</definedName>
    <definedName name="UnitOfMeasure126">'Бланк заказа'!$T$212:$T$212</definedName>
    <definedName name="UnitOfMeasure127">'Бланк заказа'!$T$216:$T$216</definedName>
    <definedName name="UnitOfMeasure128">'Бланк заказа'!$T$217:$T$217</definedName>
    <definedName name="UnitOfMeasure129">'Бланк заказа'!$T$218:$T$218</definedName>
    <definedName name="UnitOfMeasure13">'Бланк заказа'!$T$55:$T$55</definedName>
    <definedName name="UnitOfMeasure130">'Бланк заказа'!$T$219:$T$219</definedName>
    <definedName name="UnitOfMeasure131">'Бланк заказа'!$T$224:$T$224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заказа'!$T$234:$T$234</definedName>
    <definedName name="UnitOfMeasure139">'Бланк заказа'!$T$235:$T$235</definedName>
    <definedName name="UnitOfMeasure14">'Бланк заказа'!$T$56:$T$56</definedName>
    <definedName name="UnitOfMeasure140">'Бланк заказа'!$T$240:$T$240</definedName>
    <definedName name="UnitOfMeasure141">'Бланк заказа'!$T$241:$T$241</definedName>
    <definedName name="UnitOfMeasure142">'Бланк заказа'!$T$245:$T$245</definedName>
    <definedName name="UnitOfMeasure143">'Бланк заказа'!$T$246:$T$246</definedName>
    <definedName name="UnitOfMeasure144">'Бланк заказа'!$T$247:$T$247</definedName>
    <definedName name="UnitOfMeasure145">'Бланк заказа'!$T$251:$T$251</definedName>
    <definedName name="UnitOfMeasure146">'Бланк заказа'!$T$255:$T$255</definedName>
    <definedName name="UnitOfMeasure147">'Бланк заказа'!$T$259:$T$259</definedName>
    <definedName name="UnitOfMeasure148">'Бланк заказа'!$T$265:$T$265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заказа'!$T$276:$T$276</definedName>
    <definedName name="UnitOfMeasure157">'Бланк заказа'!$T$277:$T$277</definedName>
    <definedName name="UnitOfMeasure158">'Бланк заказа'!$T$281:$T$281</definedName>
    <definedName name="UnitOfMeasure159">'Бланк заказа'!$T$282:$T$282</definedName>
    <definedName name="UnitOfMeasure16">'Бланк заказа'!$T$62:$T$62</definedName>
    <definedName name="UnitOfMeasure160">'Бланк заказа'!$T$286:$T$286</definedName>
    <definedName name="UnitOfMeasure161">'Бланк заказа'!$T$290:$T$290</definedName>
    <definedName name="UnitOfMeasure162">'Бланк заказа'!$T$295:$T$295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заказа'!$T$302:$T$302</definedName>
    <definedName name="UnitOfMeasure167">'Бланк заказа'!$T$303:$T$303</definedName>
    <definedName name="UnitOfMeasure168">'Бланк заказа'!$T$307:$T$307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заказа'!$T$310:$T$310</definedName>
    <definedName name="UnitOfMeasure172">'Бланк заказа'!$T$314:$T$314</definedName>
    <definedName name="UnitOfMeasure173">'Бланк заказа'!$T$315:$T$315</definedName>
    <definedName name="UnitOfMeasure174">'Бланк заказа'!$T$321:$T$321</definedName>
    <definedName name="UnitOfMeasure175">'Бланк заказа'!$T$322:$T$322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заказа'!$T$336:$T$336</definedName>
    <definedName name="UnitOfMeasure184">'Бланк заказа'!$T$337:$T$337</definedName>
    <definedName name="UnitOfMeasure185">'Бланк заказа'!$T$338:$T$338</definedName>
    <definedName name="UnitOfMeasure186">'Бланк заказа'!$T$339:$T$339</definedName>
    <definedName name="UnitOfMeasure187">'Бланк заказа'!$T$343:$T$343</definedName>
    <definedName name="UnitOfMeasure188">'Бланк заказа'!$T$348:$T$348</definedName>
    <definedName name="UnitOfMeasure189">'Бланк заказа'!$T$349:$T$349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заказа'!$T$376:$T$376</definedName>
    <definedName name="UnitOfMeasure206">'Бланк заказа'!$T$377:$T$377</definedName>
    <definedName name="UnitOfMeasure207">'Бланк заказа'!$T$381:$T$381</definedName>
    <definedName name="UnitOfMeasure208">'Бланк заказа'!$T$382:$T$382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заказа'!$T$390:$T$390</definedName>
    <definedName name="UnitOfMeasure214">'Бланк заказа'!$T$391:$T$391</definedName>
    <definedName name="UnitOfMeasure215">'Бланк заказа'!$T$397:$T$397</definedName>
    <definedName name="UnitOfMeasure216">'Бланк заказа'!$T$398:$T$398</definedName>
    <definedName name="UnitOfMeasure217">'Бланк заказа'!$T$402:$T$402</definedName>
    <definedName name="UnitOfMeasure218">'Бланк заказа'!$T$403:$T$403</definedName>
    <definedName name="UnitOfMeasure219">'Бланк заказа'!$T$407:$T$407</definedName>
    <definedName name="UnitOfMeasure22">'Бланк заказа'!$T$68:$T$68</definedName>
    <definedName name="UnitOfMeasure220">'Бланк заказа'!$T$408:$T$408</definedName>
    <definedName name="UnitOfMeasure221">'Бланк заказа'!$T$412:$T$412</definedName>
    <definedName name="UnitOfMeasure222">'Бланк заказа'!$T$413:$T$413</definedName>
    <definedName name="UnitOfMeasure223">'Бланк заказа'!$T$414:$T$414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заказа'!$T$79:$T$79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заказа'!$T$88:$T$88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заказа'!$T$100:$T$100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заказа'!$T$110:$T$110</definedName>
    <definedName name="UnitOfMeasure53">'Бланк заказа'!$T$111:$T$111</definedName>
    <definedName name="UnitOfMeasure54">'Бланк заказа'!$T$112:$T$112</definedName>
    <definedName name="UnitOfMeasure55">'Бланк заказа'!$T$113:$T$113</definedName>
    <definedName name="UnitOfMeasure56">'Бланк заказа'!$T$118:$T$118</definedName>
    <definedName name="UnitOfMeasure57">'Бланк заказа'!$T$119:$T$119</definedName>
    <definedName name="UnitOfMeasure58">'Бланк заказа'!$T$120:$T$120</definedName>
    <definedName name="UnitOfMeasure59">'Бланк заказа'!$T$121:$T$121</definedName>
    <definedName name="UnitOfMeasure6">'Бланк заказа'!$T$30:$T$30</definedName>
    <definedName name="UnitOfMeasure60">'Бланк заказа'!$T$127:$T$127</definedName>
    <definedName name="UnitOfMeasure61">'Бланк заказа'!$T$128:$T$128</definedName>
    <definedName name="UnitOfMeasure62">'Бланк заказа'!$T$129:$T$129</definedName>
    <definedName name="UnitOfMeasure63">'Бланк заказа'!$T$134:$T$134</definedName>
    <definedName name="UnitOfMeasure64">'Бланк заказа'!$T$135:$T$135</definedName>
    <definedName name="UnitOfMeasure65">'Бланк заказа'!$T$136:$T$136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заказа'!$T$151:$T$151</definedName>
    <definedName name="UnitOfMeasure78">'Бланк заказа'!$T$155:$T$155</definedName>
    <definedName name="UnitOfMeasure79">'Бланк заказа'!$T$156:$T$156</definedName>
    <definedName name="UnitOfMeasure8">'Бланк заказа'!$T$35:$T$35</definedName>
    <definedName name="UnitOfMeasure80">'Бланк заказа'!$T$157:$T$157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заказа'!$T$174:$T$174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U419" i="2" l="1"/>
  <c r="U418" i="2"/>
  <c r="U416" i="2"/>
  <c r="U415" i="2"/>
  <c r="W414" i="2"/>
  <c r="V414" i="2"/>
  <c r="V413" i="2"/>
  <c r="W413" i="2" s="1"/>
  <c r="V412" i="2"/>
  <c r="V416" i="2" s="1"/>
  <c r="U410" i="2"/>
  <c r="U409" i="2"/>
  <c r="V408" i="2"/>
  <c r="W408" i="2" s="1"/>
  <c r="V407" i="2"/>
  <c r="V409" i="2" s="1"/>
  <c r="V405" i="2"/>
  <c r="U405" i="2"/>
  <c r="V404" i="2"/>
  <c r="U404" i="2"/>
  <c r="V403" i="2"/>
  <c r="W403" i="2" s="1"/>
  <c r="V402" i="2"/>
  <c r="W402" i="2" s="1"/>
  <c r="U400" i="2"/>
  <c r="V399" i="2"/>
  <c r="U399" i="2"/>
  <c r="V398" i="2"/>
  <c r="W398" i="2" s="1"/>
  <c r="V397" i="2"/>
  <c r="U393" i="2"/>
  <c r="U392" i="2"/>
  <c r="V391" i="2"/>
  <c r="W391" i="2" s="1"/>
  <c r="W390" i="2"/>
  <c r="V390" i="2"/>
  <c r="V393" i="2" s="1"/>
  <c r="U388" i="2"/>
  <c r="U387" i="2"/>
  <c r="V386" i="2"/>
  <c r="W386" i="2" s="1"/>
  <c r="V385" i="2"/>
  <c r="W385" i="2" s="1"/>
  <c r="V384" i="2"/>
  <c r="M384" i="2"/>
  <c r="W383" i="2"/>
  <c r="V383" i="2"/>
  <c r="W382" i="2"/>
  <c r="V382" i="2"/>
  <c r="V381" i="2"/>
  <c r="U379" i="2"/>
  <c r="U378" i="2"/>
  <c r="V377" i="2"/>
  <c r="W377" i="2" s="1"/>
  <c r="V376" i="2"/>
  <c r="W376" i="2" s="1"/>
  <c r="W378" i="2" s="1"/>
  <c r="U374" i="2"/>
  <c r="U373" i="2"/>
  <c r="V372" i="2"/>
  <c r="W372" i="2" s="1"/>
  <c r="V371" i="2"/>
  <c r="W371" i="2" s="1"/>
  <c r="W370" i="2"/>
  <c r="V370" i="2"/>
  <c r="W369" i="2"/>
  <c r="V369" i="2"/>
  <c r="V368" i="2"/>
  <c r="W368" i="2" s="1"/>
  <c r="V367" i="2"/>
  <c r="W367" i="2" s="1"/>
  <c r="M367" i="2"/>
  <c r="V366" i="2"/>
  <c r="W366" i="2" s="1"/>
  <c r="V365" i="2"/>
  <c r="W365" i="2" s="1"/>
  <c r="M365" i="2"/>
  <c r="W364" i="2"/>
  <c r="V364" i="2"/>
  <c r="V363" i="2"/>
  <c r="U359" i="2"/>
  <c r="U358" i="2"/>
  <c r="V357" i="2"/>
  <c r="W357" i="2" s="1"/>
  <c r="V356" i="2"/>
  <c r="W356" i="2" s="1"/>
  <c r="W355" i="2"/>
  <c r="V355" i="2"/>
  <c r="V354" i="2"/>
  <c r="W354" i="2" s="1"/>
  <c r="V353" i="2"/>
  <c r="V359" i="2" s="1"/>
  <c r="V351" i="2"/>
  <c r="U351" i="2"/>
  <c r="V350" i="2"/>
  <c r="U350" i="2"/>
  <c r="W349" i="2"/>
  <c r="V349" i="2"/>
  <c r="V348" i="2"/>
  <c r="U345" i="2"/>
  <c r="V344" i="2"/>
  <c r="U344" i="2"/>
  <c r="V343" i="2"/>
  <c r="W343" i="2" s="1"/>
  <c r="W344" i="2" s="1"/>
  <c r="U341" i="2"/>
  <c r="U340" i="2"/>
  <c r="W339" i="2"/>
  <c r="V339" i="2"/>
  <c r="M339" i="2"/>
  <c r="V338" i="2"/>
  <c r="W338" i="2" s="1"/>
  <c r="V337" i="2"/>
  <c r="W337" i="2" s="1"/>
  <c r="V336" i="2"/>
  <c r="V341" i="2" s="1"/>
  <c r="U334" i="2"/>
  <c r="U333" i="2"/>
  <c r="V332" i="2"/>
  <c r="W332" i="2" s="1"/>
  <c r="W331" i="2"/>
  <c r="V331" i="2"/>
  <c r="W330" i="2"/>
  <c r="V330" i="2"/>
  <c r="V329" i="2"/>
  <c r="W329" i="2" s="1"/>
  <c r="V328" i="2"/>
  <c r="W328" i="2" s="1"/>
  <c r="W327" i="2"/>
  <c r="V327" i="2"/>
  <c r="V326" i="2"/>
  <c r="V324" i="2"/>
  <c r="U324" i="2"/>
  <c r="V323" i="2"/>
  <c r="U323" i="2"/>
  <c r="W322" i="2"/>
  <c r="V322" i="2"/>
  <c r="V321" i="2"/>
  <c r="U317" i="2"/>
  <c r="W316" i="2"/>
  <c r="V316" i="2"/>
  <c r="U316" i="2"/>
  <c r="W315" i="2"/>
  <c r="V315" i="2"/>
  <c r="W314" i="2"/>
  <c r="V314" i="2"/>
  <c r="V317" i="2" s="1"/>
  <c r="U312" i="2"/>
  <c r="U311" i="2"/>
  <c r="V310" i="2"/>
  <c r="W310" i="2" s="1"/>
  <c r="V309" i="2"/>
  <c r="W309" i="2" s="1"/>
  <c r="V308" i="2"/>
  <c r="W308" i="2" s="1"/>
  <c r="W307" i="2"/>
  <c r="V307" i="2"/>
  <c r="U305" i="2"/>
  <c r="V304" i="2"/>
  <c r="U304" i="2"/>
  <c r="W303" i="2"/>
  <c r="V303" i="2"/>
  <c r="W302" i="2"/>
  <c r="W304" i="2" s="1"/>
  <c r="V302" i="2"/>
  <c r="V305" i="2" s="1"/>
  <c r="U300" i="2"/>
  <c r="U299" i="2"/>
  <c r="V298" i="2"/>
  <c r="W298" i="2" s="1"/>
  <c r="V297" i="2"/>
  <c r="W297" i="2" s="1"/>
  <c r="V296" i="2"/>
  <c r="W296" i="2" s="1"/>
  <c r="V295" i="2"/>
  <c r="W295" i="2" s="1"/>
  <c r="U292" i="2"/>
  <c r="U291" i="2"/>
  <c r="V290" i="2"/>
  <c r="V292" i="2" s="1"/>
  <c r="V288" i="2"/>
  <c r="U288" i="2"/>
  <c r="V287" i="2"/>
  <c r="U287" i="2"/>
  <c r="V286" i="2"/>
  <c r="W286" i="2" s="1"/>
  <c r="W287" i="2" s="1"/>
  <c r="U284" i="2"/>
  <c r="V283" i="2"/>
  <c r="U283" i="2"/>
  <c r="W282" i="2"/>
  <c r="V282" i="2"/>
  <c r="W281" i="2"/>
  <c r="W283" i="2" s="1"/>
  <c r="V281" i="2"/>
  <c r="V284" i="2" s="1"/>
  <c r="U279" i="2"/>
  <c r="U278" i="2"/>
  <c r="V277" i="2"/>
  <c r="W277" i="2" s="1"/>
  <c r="V276" i="2"/>
  <c r="V279" i="2" s="1"/>
  <c r="U274" i="2"/>
  <c r="U273" i="2"/>
  <c r="V272" i="2"/>
  <c r="W272" i="2" s="1"/>
  <c r="W271" i="2"/>
  <c r="V271" i="2"/>
  <c r="V270" i="2"/>
  <c r="V269" i="2"/>
  <c r="W269" i="2" s="1"/>
  <c r="W268" i="2"/>
  <c r="V268" i="2"/>
  <c r="V267" i="2"/>
  <c r="W267" i="2" s="1"/>
  <c r="V266" i="2"/>
  <c r="W266" i="2" s="1"/>
  <c r="W265" i="2"/>
  <c r="V265" i="2"/>
  <c r="U261" i="2"/>
  <c r="U260" i="2"/>
  <c r="V259" i="2"/>
  <c r="V260" i="2" s="1"/>
  <c r="U257" i="2"/>
  <c r="U256" i="2"/>
  <c r="V255" i="2"/>
  <c r="V257" i="2" s="1"/>
  <c r="V253" i="2"/>
  <c r="U253" i="2"/>
  <c r="W252" i="2"/>
  <c r="V252" i="2"/>
  <c r="U252" i="2"/>
  <c r="W251" i="2"/>
  <c r="V251" i="2"/>
  <c r="M251" i="2"/>
  <c r="U249" i="2"/>
  <c r="U248" i="2"/>
  <c r="V247" i="2"/>
  <c r="W247" i="2" s="1"/>
  <c r="V246" i="2"/>
  <c r="W246" i="2" s="1"/>
  <c r="V245" i="2"/>
  <c r="U243" i="2"/>
  <c r="U242" i="2"/>
  <c r="W241" i="2"/>
  <c r="V241" i="2"/>
  <c r="V240" i="2"/>
  <c r="V243" i="2" s="1"/>
  <c r="U237" i="2"/>
  <c r="U236" i="2"/>
  <c r="V235" i="2"/>
  <c r="W235" i="2" s="1"/>
  <c r="V234" i="2"/>
  <c r="V237" i="2" s="1"/>
  <c r="U232" i="2"/>
  <c r="U231" i="2"/>
  <c r="V230" i="2"/>
  <c r="W230" i="2" s="1"/>
  <c r="V229" i="2"/>
  <c r="W229" i="2" s="1"/>
  <c r="V228" i="2"/>
  <c r="W227" i="2"/>
  <c r="V227" i="2"/>
  <c r="W226" i="2"/>
  <c r="V226" i="2"/>
  <c r="W225" i="2"/>
  <c r="V225" i="2"/>
  <c r="V224" i="2"/>
  <c r="W224" i="2" s="1"/>
  <c r="U221" i="2"/>
  <c r="V220" i="2"/>
  <c r="U220" i="2"/>
  <c r="V219" i="2"/>
  <c r="W219" i="2" s="1"/>
  <c r="V218" i="2"/>
  <c r="W218" i="2" s="1"/>
  <c r="W217" i="2"/>
  <c r="V217" i="2"/>
  <c r="V216" i="2"/>
  <c r="W216" i="2" s="1"/>
  <c r="U214" i="2"/>
  <c r="V213" i="2"/>
  <c r="U213" i="2"/>
  <c r="W212" i="2"/>
  <c r="V212" i="2"/>
  <c r="W211" i="2"/>
  <c r="V211" i="2"/>
  <c r="V210" i="2"/>
  <c r="W210" i="2" s="1"/>
  <c r="W213" i="2" s="1"/>
  <c r="U208" i="2"/>
  <c r="U207" i="2"/>
  <c r="V206" i="2"/>
  <c r="W206" i="2" s="1"/>
  <c r="V205" i="2"/>
  <c r="W205" i="2" s="1"/>
  <c r="W204" i="2"/>
  <c r="V204" i="2"/>
  <c r="V203" i="2"/>
  <c r="W203" i="2" s="1"/>
  <c r="V202" i="2"/>
  <c r="W202" i="2" s="1"/>
  <c r="V201" i="2"/>
  <c r="W201" i="2" s="1"/>
  <c r="M201" i="2"/>
  <c r="U199" i="2"/>
  <c r="U198" i="2"/>
  <c r="V197" i="2"/>
  <c r="W197" i="2" s="1"/>
  <c r="V196" i="2"/>
  <c r="W196" i="2" s="1"/>
  <c r="V195" i="2"/>
  <c r="W195" i="2" s="1"/>
  <c r="V194" i="2"/>
  <c r="W194" i="2" s="1"/>
  <c r="V193" i="2"/>
  <c r="W193" i="2" s="1"/>
  <c r="W192" i="2"/>
  <c r="V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W180" i="2"/>
  <c r="V180" i="2"/>
  <c r="V179" i="2"/>
  <c r="W179" i="2" s="1"/>
  <c r="V178" i="2"/>
  <c r="W178" i="2" s="1"/>
  <c r="V177" i="2"/>
  <c r="W177" i="2" s="1"/>
  <c r="V176" i="2"/>
  <c r="W176" i="2" s="1"/>
  <c r="V175" i="2"/>
  <c r="W175" i="2" s="1"/>
  <c r="W174" i="2"/>
  <c r="V174" i="2"/>
  <c r="U172" i="2"/>
  <c r="U171" i="2"/>
  <c r="W170" i="2"/>
  <c r="V170" i="2"/>
  <c r="V169" i="2"/>
  <c r="W169" i="2" s="1"/>
  <c r="V168" i="2"/>
  <c r="W168" i="2" s="1"/>
  <c r="V167" i="2"/>
  <c r="W167" i="2" s="1"/>
  <c r="W166" i="2"/>
  <c r="V166" i="2"/>
  <c r="V165" i="2"/>
  <c r="W165" i="2" s="1"/>
  <c r="W164" i="2"/>
  <c r="V164" i="2"/>
  <c r="W163" i="2"/>
  <c r="V163" i="2"/>
  <c r="W162" i="2"/>
  <c r="V162" i="2"/>
  <c r="V161" i="2"/>
  <c r="W161" i="2" s="1"/>
  <c r="V160" i="2"/>
  <c r="W160" i="2" s="1"/>
  <c r="V159" i="2"/>
  <c r="W158" i="2"/>
  <c r="V158" i="2"/>
  <c r="W157" i="2"/>
  <c r="V157" i="2"/>
  <c r="W156" i="2"/>
  <c r="V156" i="2"/>
  <c r="V155" i="2"/>
  <c r="W155" i="2" s="1"/>
  <c r="U153" i="2"/>
  <c r="V152" i="2"/>
  <c r="U152" i="2"/>
  <c r="V151" i="2"/>
  <c r="W151" i="2" s="1"/>
  <c r="W152" i="2" s="1"/>
  <c r="U149" i="2"/>
  <c r="U148" i="2"/>
  <c r="W147" i="2"/>
  <c r="V147" i="2"/>
  <c r="V146" i="2"/>
  <c r="W146" i="2" s="1"/>
  <c r="W145" i="2"/>
  <c r="V145" i="2"/>
  <c r="W144" i="2"/>
  <c r="V144" i="2"/>
  <c r="V143" i="2"/>
  <c r="W143" i="2" s="1"/>
  <c r="V142" i="2"/>
  <c r="W142" i="2" s="1"/>
  <c r="V141" i="2"/>
  <c r="W141" i="2" s="1"/>
  <c r="V140" i="2"/>
  <c r="W140" i="2" s="1"/>
  <c r="W139" i="2"/>
  <c r="V139" i="2"/>
  <c r="W138" i="2"/>
  <c r="V138" i="2"/>
  <c r="W137" i="2"/>
  <c r="V137" i="2"/>
  <c r="V136" i="2"/>
  <c r="W136" i="2" s="1"/>
  <c r="W135" i="2"/>
  <c r="V135" i="2"/>
  <c r="V134" i="2"/>
  <c r="V131" i="2"/>
  <c r="U131" i="2"/>
  <c r="U130" i="2"/>
  <c r="W129" i="2"/>
  <c r="V129" i="2"/>
  <c r="V128" i="2"/>
  <c r="W128" i="2" s="1"/>
  <c r="V127" i="2"/>
  <c r="V130" i="2" s="1"/>
  <c r="U123" i="2"/>
  <c r="U122" i="2"/>
  <c r="W121" i="2"/>
  <c r="V121" i="2"/>
  <c r="V120" i="2"/>
  <c r="W120" i="2" s="1"/>
  <c r="W119" i="2"/>
  <c r="V119" i="2"/>
  <c r="V118" i="2"/>
  <c r="U115" i="2"/>
  <c r="U114" i="2"/>
  <c r="W113" i="2"/>
  <c r="V113" i="2"/>
  <c r="V112" i="2"/>
  <c r="W112" i="2" s="1"/>
  <c r="V111" i="2"/>
  <c r="W111" i="2" s="1"/>
  <c r="V110" i="2"/>
  <c r="V114" i="2" s="1"/>
  <c r="U108" i="2"/>
  <c r="U107" i="2"/>
  <c r="V106" i="2"/>
  <c r="W106" i="2" s="1"/>
  <c r="W105" i="2"/>
  <c r="V105" i="2"/>
  <c r="V104" i="2"/>
  <c r="V103" i="2"/>
  <c r="W103" i="2" s="1"/>
  <c r="V102" i="2"/>
  <c r="V101" i="2"/>
  <c r="W101" i="2" s="1"/>
  <c r="V100" i="2"/>
  <c r="W100" i="2" s="1"/>
  <c r="U98" i="2"/>
  <c r="U97" i="2"/>
  <c r="V96" i="2"/>
  <c r="W96" i="2" s="1"/>
  <c r="V95" i="2"/>
  <c r="W95" i="2" s="1"/>
  <c r="W94" i="2"/>
  <c r="V94" i="2"/>
  <c r="V93" i="2"/>
  <c r="W93" i="2" s="1"/>
  <c r="V92" i="2"/>
  <c r="W92" i="2" s="1"/>
  <c r="V91" i="2"/>
  <c r="V90" i="2"/>
  <c r="W90" i="2" s="1"/>
  <c r="V89" i="2"/>
  <c r="W89" i="2" s="1"/>
  <c r="W88" i="2"/>
  <c r="V88" i="2"/>
  <c r="U86" i="2"/>
  <c r="U85" i="2"/>
  <c r="V84" i="2"/>
  <c r="W84" i="2" s="1"/>
  <c r="W83" i="2"/>
  <c r="V83" i="2"/>
  <c r="W82" i="2"/>
  <c r="V82" i="2"/>
  <c r="V81" i="2"/>
  <c r="W81" i="2" s="1"/>
  <c r="W80" i="2"/>
  <c r="V80" i="2"/>
  <c r="V79" i="2"/>
  <c r="V86" i="2" s="1"/>
  <c r="U77" i="2"/>
  <c r="U76" i="2"/>
  <c r="W75" i="2"/>
  <c r="V75" i="2"/>
  <c r="V74" i="2"/>
  <c r="W74" i="2" s="1"/>
  <c r="V73" i="2"/>
  <c r="W73" i="2" s="1"/>
  <c r="V72" i="2"/>
  <c r="W72" i="2" s="1"/>
  <c r="V71" i="2"/>
  <c r="W71" i="2" s="1"/>
  <c r="V70" i="2"/>
  <c r="W70" i="2" s="1"/>
  <c r="W69" i="2"/>
  <c r="V69" i="2"/>
  <c r="V68" i="2"/>
  <c r="W68" i="2" s="1"/>
  <c r="V67" i="2"/>
  <c r="W67" i="2" s="1"/>
  <c r="V66" i="2"/>
  <c r="V65" i="2"/>
  <c r="W65" i="2" s="1"/>
  <c r="V64" i="2"/>
  <c r="V63" i="2"/>
  <c r="W63" i="2" s="1"/>
  <c r="V62" i="2"/>
  <c r="W62" i="2" s="1"/>
  <c r="U59" i="2"/>
  <c r="U58" i="2"/>
  <c r="W57" i="2"/>
  <c r="V57" i="2"/>
  <c r="W56" i="2"/>
  <c r="V56" i="2"/>
  <c r="V55" i="2"/>
  <c r="D427" i="2" s="1"/>
  <c r="U52" i="2"/>
  <c r="U51" i="2"/>
  <c r="V50" i="2"/>
  <c r="W50" i="2" s="1"/>
  <c r="W51" i="2" s="1"/>
  <c r="V46" i="2"/>
  <c r="U46" i="2"/>
  <c r="U45" i="2"/>
  <c r="W44" i="2"/>
  <c r="W45" i="2" s="1"/>
  <c r="V44" i="2"/>
  <c r="V45" i="2" s="1"/>
  <c r="U42" i="2"/>
  <c r="U41" i="2"/>
  <c r="V40" i="2"/>
  <c r="V41" i="2" s="1"/>
  <c r="U38" i="2"/>
  <c r="U37" i="2"/>
  <c r="V36" i="2"/>
  <c r="W36" i="2" s="1"/>
  <c r="W35" i="2"/>
  <c r="W37" i="2" s="1"/>
  <c r="V35" i="2"/>
  <c r="V38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W26" i="2"/>
  <c r="V26" i="2"/>
  <c r="U24" i="2"/>
  <c r="V23" i="2"/>
  <c r="U23" i="2"/>
  <c r="W22" i="2"/>
  <c r="W23" i="2" s="1"/>
  <c r="V22" i="2"/>
  <c r="B427" i="2" s="1"/>
  <c r="H10" i="2"/>
  <c r="A10" i="2"/>
  <c r="A9" i="2"/>
  <c r="F10" i="2" s="1"/>
  <c r="D7" i="2"/>
  <c r="N6" i="2"/>
  <c r="M2" i="2"/>
  <c r="N427" i="2" l="1"/>
  <c r="V358" i="2"/>
  <c r="V334" i="2"/>
  <c r="W240" i="2"/>
  <c r="W242" i="2" s="1"/>
  <c r="V242" i="2"/>
  <c r="V232" i="2"/>
  <c r="V231" i="2"/>
  <c r="V122" i="2"/>
  <c r="V58" i="2"/>
  <c r="W198" i="2"/>
  <c r="V108" i="2"/>
  <c r="V312" i="2"/>
  <c r="W311" i="2"/>
  <c r="W412" i="2"/>
  <c r="V107" i="2"/>
  <c r="W102" i="2"/>
  <c r="V248" i="2"/>
  <c r="W245" i="2"/>
  <c r="W248" i="2"/>
  <c r="V76" i="2"/>
  <c r="V97" i="2"/>
  <c r="V410" i="2"/>
  <c r="P427" i="2"/>
  <c r="V171" i="2"/>
  <c r="W207" i="2"/>
  <c r="M427" i="2"/>
  <c r="V387" i="2"/>
  <c r="V388" i="2"/>
  <c r="V77" i="2"/>
  <c r="K427" i="2"/>
  <c r="V274" i="2"/>
  <c r="V273" i="2"/>
  <c r="U417" i="2"/>
  <c r="V149" i="2"/>
  <c r="V51" i="2"/>
  <c r="U421" i="2"/>
  <c r="O427" i="2"/>
  <c r="V378" i="2"/>
  <c r="U420" i="2"/>
  <c r="W299" i="2"/>
  <c r="W404" i="2"/>
  <c r="W415" i="2"/>
  <c r="W231" i="2"/>
  <c r="W392" i="2"/>
  <c r="W97" i="2"/>
  <c r="W273" i="2"/>
  <c r="W32" i="2"/>
  <c r="W220" i="2"/>
  <c r="V115" i="2"/>
  <c r="V418" i="2"/>
  <c r="V42" i="2"/>
  <c r="V59" i="2"/>
  <c r="W127" i="2"/>
  <c r="W130" i="2" s="1"/>
  <c r="V214" i="2"/>
  <c r="V311" i="2"/>
  <c r="W353" i="2"/>
  <c r="W358" i="2" s="1"/>
  <c r="W407" i="2"/>
  <c r="W409" i="2" s="1"/>
  <c r="V419" i="2"/>
  <c r="H427" i="2"/>
  <c r="V123" i="2"/>
  <c r="V207" i="2"/>
  <c r="W234" i="2"/>
  <c r="W236" i="2" s="1"/>
  <c r="W384" i="2"/>
  <c r="V85" i="2"/>
  <c r="W118" i="2"/>
  <c r="W122" i="2" s="1"/>
  <c r="W290" i="2"/>
  <c r="W291" i="2" s="1"/>
  <c r="W326" i="2"/>
  <c r="W333" i="2" s="1"/>
  <c r="V153" i="2"/>
  <c r="V249" i="2"/>
  <c r="V256" i="2"/>
  <c r="V291" i="2"/>
  <c r="V333" i="2"/>
  <c r="V345" i="2"/>
  <c r="V373" i="2"/>
  <c r="V379" i="2"/>
  <c r="V392" i="2"/>
  <c r="V400" i="2"/>
  <c r="I427" i="2"/>
  <c r="V37" i="2"/>
  <c r="V52" i="2"/>
  <c r="V208" i="2"/>
  <c r="F9" i="2"/>
  <c r="V172" i="2"/>
  <c r="V236" i="2"/>
  <c r="V278" i="2"/>
  <c r="V299" i="2"/>
  <c r="W321" i="2"/>
  <c r="W323" i="2" s="1"/>
  <c r="J427" i="2"/>
  <c r="W91" i="2"/>
  <c r="F427" i="2"/>
  <c r="W79" i="2"/>
  <c r="W85" i="2" s="1"/>
  <c r="W104" i="2"/>
  <c r="W107" i="2" s="1"/>
  <c r="W134" i="2"/>
  <c r="W148" i="2" s="1"/>
  <c r="W159" i="2"/>
  <c r="W171" i="2" s="1"/>
  <c r="W228" i="2"/>
  <c r="W255" i="2"/>
  <c r="W256" i="2" s="1"/>
  <c r="V261" i="2"/>
  <c r="W270" i="2"/>
  <c r="G427" i="2"/>
  <c r="V98" i="2"/>
  <c r="V221" i="2"/>
  <c r="V24" i="2"/>
  <c r="H9" i="2"/>
  <c r="W55" i="2"/>
  <c r="W58" i="2" s="1"/>
  <c r="V148" i="2"/>
  <c r="V340" i="2"/>
  <c r="W348" i="2"/>
  <c r="W350" i="2" s="1"/>
  <c r="W363" i="2"/>
  <c r="W373" i="2" s="1"/>
  <c r="W381" i="2"/>
  <c r="V415" i="2"/>
  <c r="E427" i="2"/>
  <c r="W66" i="2"/>
  <c r="W110" i="2"/>
  <c r="W114" i="2" s="1"/>
  <c r="W276" i="2"/>
  <c r="W278" i="2" s="1"/>
  <c r="J9" i="2"/>
  <c r="V32" i="2"/>
  <c r="V198" i="2"/>
  <c r="V374" i="2"/>
  <c r="L427" i="2"/>
  <c r="V300" i="2"/>
  <c r="W40" i="2"/>
  <c r="W41" i="2" s="1"/>
  <c r="W64" i="2"/>
  <c r="W259" i="2"/>
  <c r="W260" i="2" s="1"/>
  <c r="W336" i="2"/>
  <c r="W340" i="2" s="1"/>
  <c r="W397" i="2"/>
  <c r="W399" i="2" s="1"/>
  <c r="C427" i="2"/>
  <c r="V33" i="2"/>
  <c r="V199" i="2"/>
  <c r="W76" i="2" l="1"/>
  <c r="V421" i="2"/>
  <c r="V417" i="2"/>
  <c r="V420" i="2"/>
  <c r="W387" i="2"/>
  <c r="W422" i="2" l="1"/>
</calcChain>
</file>

<file path=xl/sharedStrings.xml><?xml version="1.0" encoding="utf-8"?>
<sst xmlns="http://schemas.openxmlformats.org/spreadsheetml/2006/main" count="2447" uniqueCount="774">
  <si>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</si>
  <si>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</si>
  <si>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</si>
  <si>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</si>
  <si>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</si>
  <si>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</si>
  <si>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</si>
  <si>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</si>
  <si>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</si>
  <si>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</si>
  <si>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</si>
  <si>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</si>
  <si>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</si>
  <si>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</si>
  <si>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</si>
  <si>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</si>
  <si>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</si>
  <si>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</si>
  <si>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</si>
  <si>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</si>
  <si>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</si>
  <si>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</si>
  <si>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</si>
  <si>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</si>
  <si>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</si>
  <si>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</si>
  <si>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</si>
  <si>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</si>
  <si>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</si>
  <si>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</si>
  <si>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</si>
  <si>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</si>
  <si>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</si>
  <si>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</si>
  <si>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</si>
  <si>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</si>
  <si>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</si>
  <si>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</si>
  <si>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</si>
  <si>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</si>
  <si>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</si>
  <si>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</si>
  <si>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</si>
  <si>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</si>
  <si>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</si>
  <si>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</si>
  <si>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</si>
  <si>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</si>
  <si>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</si>
  <si>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</si>
  <si>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</si>
  <si>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</si>
  <si>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</si>
  <si>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</si>
  <si>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</si>
  <si>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</si>
  <si>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</si>
  <si>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</si>
  <si>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</si>
  <si>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</si>
  <si>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</si>
  <si>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</si>
  <si>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</si>
  <si>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</si>
  <si>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</si>
  <si>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</si>
  <si>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</si>
  <si>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Индивидуальный предприниматель ПУШКАРНЫЙ ВЛАДИМИР ТИМОФЕЕВИЧ</t>
  </si>
  <si>
    <t>59520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</si>
  <si>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</si>
  <si>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</si>
  <si>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</si>
  <si>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</si>
  <si>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ПУШКАРНЫЙ В.Т., ИП, Краснодарский край, Краснодар г, Уральская ул, 116,</t>
  </si>
  <si>
    <t>350088Российская Федерация, Краснодарский край, Краснодар г, Уральская ул, 116,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</si>
  <si>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</si>
  <si>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</si>
  <si>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</si>
  <si>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</si>
  <si>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</si>
  <si>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</si>
  <si>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</si>
  <si>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</si>
  <si>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</si>
  <si>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</si>
  <si>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</si>
  <si>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</si>
  <si>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</si>
  <si>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</si>
  <si>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</si>
  <si>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</si>
  <si>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</si>
  <si>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</si>
  <si>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</si>
  <si>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</si>
  <si>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</si>
  <si>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</si>
  <si>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</si>
  <si>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</si>
  <si>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</si>
  <si>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</si>
  <si>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</si>
  <si>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</si>
  <si>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</si>
  <si>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</si>
  <si>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</si>
  <si>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</si>
  <si>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</si>
  <si>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</si>
  <si>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</si>
  <si>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</si>
  <si>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</si>
  <si>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</si>
  <si>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</si>
  <si>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</si>
  <si>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</si>
  <si>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</si>
  <si>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</si>
  <si>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</si>
  <si>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</si>
  <si>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</si>
  <si>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</si>
  <si>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</si>
  <si>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</si>
  <si>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</si>
  <si>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</si>
  <si>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</si>
  <si>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</si>
  <si>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</si>
  <si>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</si>
  <si>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</si>
  <si>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</si>
  <si>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</si>
  <si>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</si>
  <si>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</si>
  <si>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</si>
  <si>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</si>
  <si>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</si>
  <si>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</si>
  <si>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</si>
  <si>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</si>
  <si>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</si>
  <si>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</si>
  <si>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</si>
  <si>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</si>
  <si>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</si>
  <si>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</si>
  <si>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</si>
  <si>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</si>
  <si>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</si>
  <si>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</si>
  <si>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</si>
  <si>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</si>
  <si>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</si>
  <si>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</si>
  <si>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</si>
  <si>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</si>
  <si>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</si>
  <si>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</si>
  <si>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</si>
  <si>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</si>
  <si>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</si>
  <si>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</si>
  <si>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</si>
  <si>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</si>
  <si>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</si>
  <si>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</si>
  <si>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</si>
  <si>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</si>
  <si>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</si>
  <si>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</si>
  <si>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</si>
  <si>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</si>
  <si>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</si>
  <si>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</si>
  <si>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</si>
  <si>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</si>
  <si>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</si>
  <si>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</si>
  <si>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</si>
  <si>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</si>
  <si>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</si>
  <si>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</si>
  <si>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</si>
  <si>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</si>
  <si>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</si>
  <si>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</si>
  <si>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</si>
  <si>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</si>
  <si>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</si>
  <si>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</si>
  <si>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</si>
  <si>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</si>
  <si>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</si>
  <si>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</si>
  <si>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</si>
  <si>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</si>
  <si>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</si>
  <si>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</si>
  <si>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</si>
  <si>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</si>
  <si>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</si>
  <si>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</si>
  <si>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</si>
  <si>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</si>
  <si>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</si>
  <si>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</si>
  <si>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</si>
  <si>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</si>
  <si>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</si>
  <si>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</si>
  <si>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</si>
  <si>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</si>
  <si>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</si>
  <si>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</si>
  <si>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</si>
  <si>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</si>
  <si>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</si>
  <si>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</si>
  <si>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</si>
  <si>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</si>
  <si>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</si>
  <si>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</si>
  <si>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</si>
  <si>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</si>
  <si>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</si>
  <si>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</si>
  <si>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</si>
  <si>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</si>
  <si>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</si>
  <si>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</si>
  <si>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</si>
  <si>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</si>
  <si>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</si>
  <si>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</si>
  <si>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</si>
  <si>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</si>
  <si>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</si>
  <si>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</si>
  <si>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</si>
  <si>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</si>
  <si>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</si>
  <si>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</si>
  <si>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</si>
  <si>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</si>
  <si>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</si>
  <si>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</si>
  <si>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</si>
  <si>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</si>
  <si>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</si>
  <si>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</si>
  <si>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</si>
  <si>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</si>
  <si>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</si>
  <si>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</si>
  <si>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</si>
  <si>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</si>
  <si>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</si>
  <si>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</si>
  <si>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</si>
  <si>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</si>
  <si>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</si>
  <si>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</si>
  <si>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</si>
  <si>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</si>
  <si>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</si>
  <si>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</si>
  <si>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</si>
  <si>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</si>
  <si>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</si>
  <si>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</si>
  <si>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</si>
  <si>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</si>
  <si>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</si>
  <si>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</si>
  <si>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</si>
  <si>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</si>
  <si>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</si>
  <si>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</si>
  <si>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</si>
  <si>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</si>
  <si>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</si>
  <si>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</si>
  <si>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</si>
  <si>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</si>
  <si>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</si>
  <si>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</si>
  <si>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</si>
  <si>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</si>
  <si>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</si>
  <si>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</si>
  <si>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</si>
  <si>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</si>
  <si>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</si>
  <si>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</si>
  <si>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</si>
  <si>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</si>
  <si>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</si>
  <si>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</si>
  <si>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</si>
  <si>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</si>
  <si>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</si>
  <si>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</si>
  <si>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</si>
  <si>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</si>
  <si>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</si>
  <si>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</si>
  <si>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</si>
  <si>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</si>
  <si>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</si>
  <si>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</si>
  <si>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</si>
  <si>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</si>
  <si>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</si>
  <si>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</si>
  <si>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</si>
  <si>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</si>
  <si>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</si>
  <si>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</si>
  <si>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</si>
  <si>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</si>
  <si>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</si>
  <si>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</si>
  <si>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</si>
  <si>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</si>
  <si>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</si>
  <si>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</si>
  <si>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</si>
  <si>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</si>
  <si>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</si>
  <si>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</si>
  <si>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</si>
  <si>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</si>
  <si>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</si>
  <si>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</si>
  <si>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</si>
  <si>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</si>
  <si>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</si>
  <si>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</si>
  <si>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</si>
  <si>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</si>
  <si>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</si>
  <si>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</si>
  <si>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</si>
  <si>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</si>
  <si>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</si>
  <si>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</si>
  <si>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</si>
  <si>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</si>
  <si>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</si>
  <si>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</si>
  <si>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</si>
  <si>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</si>
  <si>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</si>
  <si>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</si>
  <si>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</si>
  <si>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</si>
  <si>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</si>
  <si>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</si>
  <si>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</si>
  <si>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</si>
  <si>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</si>
  <si>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</si>
  <si>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</si>
  <si>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</si>
  <si>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</si>
  <si>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</si>
  <si>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</si>
  <si>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</si>
  <si>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</si>
  <si>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</si>
  <si>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</si>
  <si>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</si>
  <si>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</si>
  <si>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</si>
  <si>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</si>
  <si>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</si>
  <si>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</si>
  <si>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</si>
  <si>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</si>
  <si>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</si>
  <si>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</si>
  <si>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</si>
  <si>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</si>
  <si>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</si>
  <si>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</si>
  <si>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</si>
  <si>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</si>
  <si>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</si>
  <si>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</si>
  <si>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</si>
  <si>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</si>
  <si>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</si>
  <si>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</si>
  <si>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</si>
  <si>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</si>
  <si>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</si>
  <si>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</si>
  <si>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</si>
  <si>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</si>
  <si>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</si>
  <si>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P003404</t>
  </si>
  <si>
    <t>Сосиски "Сочинки" Весовой п/а ТМ "Стародворье"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</si>
  <si>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</si>
  <si>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</si>
  <si>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</si>
  <si>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</si>
  <si>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</si>
  <si>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</si>
  <si>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</si>
  <si>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</si>
  <si>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</si>
  <si>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</si>
  <si>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</si>
  <si>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</si>
  <si>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</si>
  <si>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</si>
  <si>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</si>
  <si>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</si>
  <si>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</si>
  <si>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</si>
  <si>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</si>
  <si>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</si>
  <si>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</si>
  <si>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</si>
  <si>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</si>
  <si>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</si>
  <si>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</si>
  <si>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</si>
  <si>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</si>
  <si>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</si>
  <si>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</si>
  <si>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</si>
  <si>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</si>
  <si>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</si>
  <si>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</si>
  <si>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</si>
  <si>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</si>
  <si>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</si>
  <si>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</si>
  <si>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</si>
  <si>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</si>
  <si>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</si>
  <si>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</si>
  <si>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</si>
  <si>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</si>
  <si>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</si>
  <si>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</si>
  <si>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</si>
  <si>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</si>
  <si>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</si>
  <si>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</si>
  <si>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</si>
  <si>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</si>
  <si>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</si>
  <si>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</si>
  <si>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</si>
  <si>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</si>
  <si>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</si>
  <si>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</si>
  <si>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</si>
  <si>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</si>
  <si>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</si>
  <si>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</si>
  <si>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</si>
  <si>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</si>
  <si>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</si>
  <si>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</si>
  <si>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</si>
  <si>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</si>
  <si>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</si>
  <si>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</si>
  <si>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</si>
  <si>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</si>
  <si>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</si>
  <si>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</si>
  <si>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</si>
  <si>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</si>
  <si>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</si>
  <si>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</si>
  <si>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</si>
  <si>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</si>
  <si>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</si>
  <si>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</si>
  <si>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</si>
  <si>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</si>
  <si>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</si>
  <si>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</si>
  <si>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</si>
  <si>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</si>
  <si>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</si>
  <si>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</si>
  <si>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</si>
  <si>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</si>
  <si>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</si>
  <si>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</si>
  <si>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</si>
  <si>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</si>
  <si>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</si>
  <si>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</si>
  <si>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</si>
  <si>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</si>
  <si>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</si>
  <si>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</si>
  <si>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</si>
  <si>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</si>
  <si>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</si>
  <si>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</si>
  <si>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</si>
  <si>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</si>
  <si>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</si>
  <si>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</si>
  <si>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</si>
  <si>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</si>
  <si>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</si>
  <si>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</si>
  <si>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</si>
  <si>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</si>
  <si>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</si>
  <si>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</si>
  <si>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</si>
  <si>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</si>
  <si>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</si>
  <si>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</si>
  <si>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</si>
  <si>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</si>
  <si>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</si>
  <si>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</si>
  <si>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</si>
  <si>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</si>
  <si>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</si>
  <si>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</si>
  <si>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</si>
  <si>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</si>
  <si>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</si>
  <si>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</si>
  <si>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</si>
  <si>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</si>
  <si>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</si>
  <si>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</si>
  <si>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</si>
  <si>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</si>
  <si>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</si>
  <si>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</si>
  <si>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</si>
  <si>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</si>
  <si>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</si>
  <si>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</si>
  <si>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</si>
  <si>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</si>
  <si>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</si>
  <si>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</si>
  <si>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</si>
  <si>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</si>
  <si>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</si>
  <si>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</si>
  <si>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</si>
  <si>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</si>
  <si>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</si>
  <si>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</si>
  <si>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</si>
  <si>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</si>
  <si>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</si>
  <si>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</si>
  <si>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</si>
  <si>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</si>
  <si>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</si>
  <si>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</si>
  <si>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</si>
  <si>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</si>
  <si>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</si>
  <si>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</si>
  <si>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</si>
  <si>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</si>
  <si>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</si>
  <si>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</si>
  <si>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</si>
  <si>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</si>
  <si>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</si>
  <si>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</si>
  <si>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</si>
  <si>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</si>
  <si>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</si>
  <si>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</si>
  <si>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</si>
  <si>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</si>
  <si>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</si>
  <si>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</si>
  <si>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</si>
  <si>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</si>
  <si>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</si>
  <si>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</si>
  <si>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</si>
  <si>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</si>
  <si>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</si>
  <si>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</si>
  <si>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</si>
  <si>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</si>
  <si>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</si>
  <si>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</si>
  <si>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</si>
  <si>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</si>
  <si>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</si>
  <si>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</si>
  <si>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</si>
  <si>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</si>
  <si>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</si>
  <si>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</si>
  <si>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</si>
  <si>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</si>
  <si>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</si>
  <si>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</si>
  <si>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</si>
  <si>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</si>
  <si>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</si>
  <si>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</si>
  <si>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</si>
  <si>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</si>
  <si>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</si>
  <si>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</si>
  <si>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</si>
  <si>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</si>
  <si>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</si>
  <si>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</si>
  <si>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</si>
  <si>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</si>
  <si>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</si>
  <si>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</si>
  <si>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</si>
  <si>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</si>
  <si>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</si>
  <si>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</si>
  <si>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</si>
  <si>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</si>
  <si>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</si>
  <si>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</si>
  <si>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</si>
  <si>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</si>
  <si>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</si>
  <si>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</si>
  <si>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</si>
  <si>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</si>
  <si>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</si>
  <si>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</si>
  <si>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</si>
  <si>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</si>
  <si>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</si>
  <si>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</si>
  <si>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</si>
  <si>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</si>
  <si>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</si>
  <si>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</si>
  <si>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</si>
  <si>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</si>
  <si>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</si>
  <si>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</si>
  <si>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</si>
  <si>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</si>
  <si>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</si>
  <si>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</si>
  <si>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</si>
  <si>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</si>
  <si>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</si>
  <si>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</si>
  <si>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</si>
  <si>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</si>
  <si>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</si>
  <si>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</si>
  <si>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</si>
  <si>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</si>
  <si>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</si>
  <si>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</si>
  <si>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</si>
  <si>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</si>
  <si>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</si>
  <si>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</si>
  <si>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</si>
  <si>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</si>
  <si>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</si>
  <si>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</si>
  <si>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</si>
  <si>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</si>
  <si>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</si>
  <si>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</si>
  <si>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</si>
  <si>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</si>
  <si>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</si>
  <si>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</si>
  <si>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</si>
  <si>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</si>
  <si>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</si>
  <si>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</si>
  <si>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</si>
  <si>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</si>
  <si>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</si>
  <si>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</si>
  <si>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</si>
  <si>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</si>
  <si>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</si>
  <si>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</si>
  <si>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</si>
  <si>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</si>
  <si>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</si>
  <si>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</si>
  <si>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</si>
  <si>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</si>
  <si>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</si>
  <si>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</si>
  <si>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</si>
  <si>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</si>
  <si>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</si>
  <si>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</si>
  <si>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</si>
  <si>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</si>
  <si>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</si>
  <si>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</si>
  <si>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</si>
  <si>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</si>
  <si>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</si>
  <si>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</si>
  <si>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</si>
  <si>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</si>
  <si>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</si>
  <si>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</si>
  <si>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</si>
  <si>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</si>
  <si>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</si>
  <si>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</si>
  <si>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</si>
  <si>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</si>
  <si>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</si>
  <si>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</si>
  <si>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</si>
  <si>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</si>
  <si>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</si>
  <si>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</si>
  <si>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</si>
  <si>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</si>
  <si>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</si>
  <si>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</si>
  <si>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</si>
  <si>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</si>
  <si>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</si>
  <si>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</si>
  <si>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</si>
  <si>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</si>
  <si>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</si>
  <si>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</si>
  <si>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</si>
  <si>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</si>
  <si>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</si>
  <si>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</si>
  <si>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</si>
  <si>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</si>
  <si>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</si>
  <si>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</si>
  <si>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</si>
  <si>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</si>
  <si>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</si>
  <si>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</si>
  <si>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</si>
  <si>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59520_2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</si>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</sst>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2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27"/>
  <sheetViews>
    <sheetView showGridLines="0" tabSelected="1" topLeftCell="A353" zoomScale="93" zoomScaleNormal="93" zoomScaleSheetLayoutView="100" workbookViewId="0">
      <selection activeCell="U413" sqref="U4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/>
      <c r="O5" s="79"/>
      <c r="Q5" s="80" t="s">
        <v>3</v>
      </c>
      <c r="R5" s="81"/>
      <c r="S5" s="82"/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73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 xml:space="preserve"> 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 t="s">
        <v>74</v>
      </c>
      <c r="E8" s="98"/>
      <c r="F8" s="98"/>
      <c r="G8" s="98"/>
      <c r="H8" s="98"/>
      <c r="I8" s="98"/>
      <c r="J8" s="98"/>
      <c r="K8" s="98"/>
      <c r="M8" s="27" t="s">
        <v>11</v>
      </c>
      <c r="N8" s="99"/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75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76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77</v>
      </c>
      <c r="B22" s="64" t="s">
        <v>78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80</v>
      </c>
      <c r="L22" s="38">
        <v>35</v>
      </c>
      <c r="M22" s="132" t="s">
        <v>79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81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82</v>
      </c>
      <c r="B26" s="64" t="s">
        <v>83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80</v>
      </c>
      <c r="L26" s="38">
        <v>35</v>
      </c>
      <c r="M26" s="140" t="s">
        <v>84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85</v>
      </c>
      <c r="B27" s="64" t="s">
        <v>86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80</v>
      </c>
      <c r="L27" s="38">
        <v>35</v>
      </c>
      <c r="M27" s="141" t="s">
        <v>87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88</v>
      </c>
      <c r="B28" s="64" t="s">
        <v>89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80</v>
      </c>
      <c r="L28" s="38">
        <v>30</v>
      </c>
      <c r="M28" s="142" t="s">
        <v>90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91</v>
      </c>
      <c r="B29" s="64" t="s">
        <v>92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80</v>
      </c>
      <c r="L29" s="38">
        <v>30</v>
      </c>
      <c r="M29" s="143" t="s">
        <v>93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94</v>
      </c>
      <c r="B30" s="64" t="s">
        <v>95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80</v>
      </c>
      <c r="L30" s="38">
        <v>35</v>
      </c>
      <c r="M30" s="144" t="s">
        <v>96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97</v>
      </c>
      <c r="B31" s="64" t="s">
        <v>98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80</v>
      </c>
      <c r="L31" s="38">
        <v>35</v>
      </c>
      <c r="M31" s="145" t="s">
        <v>99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100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101</v>
      </c>
      <c r="B35" s="64" t="s">
        <v>102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104</v>
      </c>
      <c r="L35" s="38">
        <v>120</v>
      </c>
      <c r="M35" s="146" t="s">
        <v>103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105</v>
      </c>
      <c r="B36" s="64" t="s">
        <v>106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108</v>
      </c>
      <c r="L36" s="38">
        <v>120</v>
      </c>
      <c r="M36" s="147" t="s">
        <v>107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109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110</v>
      </c>
      <c r="B40" s="64" t="s">
        <v>111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104</v>
      </c>
      <c r="L40" s="38">
        <v>30</v>
      </c>
      <c r="M40" s="148" t="s">
        <v>112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113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114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115</v>
      </c>
      <c r="B44" s="64" t="s">
        <v>116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104</v>
      </c>
      <c r="L44" s="38">
        <v>120</v>
      </c>
      <c r="M44" s="149" t="s">
        <v>117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118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119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120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121</v>
      </c>
      <c r="B50" s="64" t="s">
        <v>122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124</v>
      </c>
      <c r="L50" s="38">
        <v>50</v>
      </c>
      <c r="M50" s="150" t="s">
        <v>123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730</v>
      </c>
      <c r="V50" s="56">
        <f>IFERROR(IF(U50="",0,CEILING((U50/$H50),1)*$H50),"")</f>
        <v>734.40000000000009</v>
      </c>
      <c r="W50" s="42">
        <f>IFERROR(IF(V50=0,"",ROUNDUP(V50/H50,0)*0.02175),"")</f>
        <v>1.4789999999999999</v>
      </c>
      <c r="X50" s="69" t="s">
        <v>48</v>
      </c>
      <c r="Y50" s="70" t="s">
        <v>48</v>
      </c>
    </row>
    <row r="51" spans="1:25" x14ac:dyDescent="0.2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9"/>
      <c r="M51" s="135" t="s">
        <v>43</v>
      </c>
      <c r="N51" s="136"/>
      <c r="O51" s="136"/>
      <c r="P51" s="136"/>
      <c r="Q51" s="136"/>
      <c r="R51" s="136"/>
      <c r="S51" s="137"/>
      <c r="T51" s="43" t="s">
        <v>42</v>
      </c>
      <c r="U51" s="44">
        <f>IFERROR(U50/H50,"0")</f>
        <v>67.592592592592595</v>
      </c>
      <c r="V51" s="44">
        <f>IFERROR(V50/H50,"0")</f>
        <v>68</v>
      </c>
      <c r="W51" s="44">
        <f>IFERROR(IF(W50="",0,W50),"0")</f>
        <v>1.4789999999999999</v>
      </c>
      <c r="X51" s="68"/>
      <c r="Y51" s="68"/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0</v>
      </c>
      <c r="U52" s="44">
        <f>IFERROR(SUM(U50:U50),"0")</f>
        <v>730</v>
      </c>
      <c r="V52" s="44">
        <f>IFERROR(SUM(V50:V50),"0")</f>
        <v>734.40000000000009</v>
      </c>
      <c r="W52" s="43"/>
      <c r="X52" s="68"/>
      <c r="Y52" s="68"/>
    </row>
    <row r="53" spans="1:25" ht="16.5" customHeight="1" x14ac:dyDescent="0.25">
      <c r="A53" s="129" t="s">
        <v>125</v>
      </c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66"/>
      <c r="Y53" s="66"/>
    </row>
    <row r="54" spans="1:25" ht="14.25" customHeight="1" x14ac:dyDescent="0.25">
      <c r="A54" s="130" t="s">
        <v>126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67"/>
      <c r="Y54" s="67"/>
    </row>
    <row r="55" spans="1:25" ht="27" customHeight="1" x14ac:dyDescent="0.25">
      <c r="A55" s="64" t="s">
        <v>127</v>
      </c>
      <c r="B55" s="64" t="s">
        <v>128</v>
      </c>
      <c r="C55" s="37">
        <v>4301011452</v>
      </c>
      <c r="D55" s="131">
        <v>4680115881426</v>
      </c>
      <c r="E55" s="13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9" t="s">
        <v>124</v>
      </c>
      <c r="L55" s="38">
        <v>50</v>
      </c>
      <c r="M55" s="151" t="s">
        <v>129</v>
      </c>
      <c r="N55" s="133"/>
      <c r="O55" s="133"/>
      <c r="P55" s="133"/>
      <c r="Q55" s="134"/>
      <c r="R55" s="40" t="s">
        <v>48</v>
      </c>
      <c r="S55" s="40" t="s">
        <v>48</v>
      </c>
      <c r="T55" s="41" t="s">
        <v>0</v>
      </c>
      <c r="U55" s="59">
        <v>730</v>
      </c>
      <c r="V55" s="56">
        <f>IFERROR(IF(U55="",0,CEILING((U55/$H55),1)*$H55),"")</f>
        <v>734.40000000000009</v>
      </c>
      <c r="W55" s="42">
        <f>IFERROR(IF(V55=0,"",ROUNDUP(V55/H55,0)*0.02175),"")</f>
        <v>1.4789999999999999</v>
      </c>
      <c r="X55" s="69" t="s">
        <v>48</v>
      </c>
      <c r="Y55" s="70" t="s">
        <v>48</v>
      </c>
    </row>
    <row r="56" spans="1:25" ht="27" customHeight="1" x14ac:dyDescent="0.25">
      <c r="A56" s="64" t="s">
        <v>130</v>
      </c>
      <c r="B56" s="64" t="s">
        <v>131</v>
      </c>
      <c r="C56" s="37">
        <v>4301011437</v>
      </c>
      <c r="D56" s="131">
        <v>4680115881419</v>
      </c>
      <c r="E56" s="131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9" t="s">
        <v>124</v>
      </c>
      <c r="L56" s="38">
        <v>50</v>
      </c>
      <c r="M56" s="152" t="s">
        <v>132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711</v>
      </c>
      <c r="V56" s="56">
        <f>IFERROR(IF(U56="",0,CEILING((U56/$H56),1)*$H56),"")</f>
        <v>711</v>
      </c>
      <c r="W56" s="42">
        <f>IFERROR(IF(V56=0,"",ROUNDUP(V56/H56,0)*0.00937),"")</f>
        <v>1.4804599999999999</v>
      </c>
      <c r="X56" s="69" t="s">
        <v>48</v>
      </c>
      <c r="Y56" s="70" t="s">
        <v>48</v>
      </c>
    </row>
    <row r="57" spans="1:25" ht="27" customHeight="1" x14ac:dyDescent="0.25">
      <c r="A57" s="64" t="s">
        <v>133</v>
      </c>
      <c r="B57" s="64" t="s">
        <v>134</v>
      </c>
      <c r="C57" s="37">
        <v>4301011458</v>
      </c>
      <c r="D57" s="131">
        <v>4680115881525</v>
      </c>
      <c r="E57" s="131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9" t="s">
        <v>124</v>
      </c>
      <c r="L57" s="38">
        <v>50</v>
      </c>
      <c r="M57" s="153" t="s">
        <v>135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x14ac:dyDescent="0.2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9"/>
      <c r="M58" s="135" t="s">
        <v>43</v>
      </c>
      <c r="N58" s="136"/>
      <c r="O58" s="136"/>
      <c r="P58" s="136"/>
      <c r="Q58" s="136"/>
      <c r="R58" s="136"/>
      <c r="S58" s="137"/>
      <c r="T58" s="43" t="s">
        <v>42</v>
      </c>
      <c r="U58" s="44">
        <f>IFERROR(U55/H55,"0")+IFERROR(U56/H56,"0")+IFERROR(U57/H57,"0")</f>
        <v>225.59259259259261</v>
      </c>
      <c r="V58" s="44">
        <f>IFERROR(V55/H55,"0")+IFERROR(V56/H56,"0")+IFERROR(V57/H57,"0")</f>
        <v>226</v>
      </c>
      <c r="W58" s="44">
        <f>IFERROR(IF(W55="",0,W55),"0")+IFERROR(IF(W56="",0,W56),"0")+IFERROR(IF(W57="",0,W57),"0")</f>
        <v>2.95946</v>
      </c>
      <c r="X58" s="68"/>
      <c r="Y58" s="68"/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0</v>
      </c>
      <c r="U59" s="44">
        <f>IFERROR(SUM(U55:U57),"0")</f>
        <v>1441</v>
      </c>
      <c r="V59" s="44">
        <f>IFERROR(SUM(V55:V57),"0")</f>
        <v>1445.4</v>
      </c>
      <c r="W59" s="43"/>
      <c r="X59" s="68"/>
      <c r="Y59" s="68"/>
    </row>
    <row r="60" spans="1:25" ht="16.5" customHeight="1" x14ac:dyDescent="0.25">
      <c r="A60" s="129" t="s">
        <v>118</v>
      </c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66"/>
      <c r="Y60" s="66"/>
    </row>
    <row r="61" spans="1:25" ht="14.25" customHeight="1" x14ac:dyDescent="0.25">
      <c r="A61" s="130" t="s">
        <v>126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67"/>
      <c r="Y61" s="67"/>
    </row>
    <row r="62" spans="1:25" ht="27" customHeight="1" x14ac:dyDescent="0.25">
      <c r="A62" s="64" t="s">
        <v>136</v>
      </c>
      <c r="B62" s="64" t="s">
        <v>137</v>
      </c>
      <c r="C62" s="37">
        <v>4301011191</v>
      </c>
      <c r="D62" s="131">
        <v>4607091382945</v>
      </c>
      <c r="E62" s="13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124</v>
      </c>
      <c r="L62" s="38">
        <v>50</v>
      </c>
      <c r="M62" s="154" t="s">
        <v>138</v>
      </c>
      <c r="N62" s="133"/>
      <c r="O62" s="133"/>
      <c r="P62" s="133"/>
      <c r="Q62" s="134"/>
      <c r="R62" s="40" t="s">
        <v>48</v>
      </c>
      <c r="S62" s="40" t="s">
        <v>48</v>
      </c>
      <c r="T62" s="41" t="s">
        <v>0</v>
      </c>
      <c r="U62" s="59">
        <v>100</v>
      </c>
      <c r="V62" s="56">
        <f t="shared" ref="V62:V75" si="2">IFERROR(IF(U62="",0,CEILING((U62/$H62),1)*$H62),"")</f>
        <v>108</v>
      </c>
      <c r="W62" s="42">
        <f>IFERROR(IF(V62=0,"",ROUNDUP(V62/H62,0)*0.02175),"")</f>
        <v>0.21749999999999997</v>
      </c>
      <c r="X62" s="69" t="s">
        <v>48</v>
      </c>
      <c r="Y62" s="70" t="s">
        <v>48</v>
      </c>
    </row>
    <row r="63" spans="1:25" ht="27" customHeight="1" x14ac:dyDescent="0.25">
      <c r="A63" s="64" t="s">
        <v>139</v>
      </c>
      <c r="B63" s="64" t="s">
        <v>140</v>
      </c>
      <c r="C63" s="37">
        <v>4301011380</v>
      </c>
      <c r="D63" s="131">
        <v>4607091385670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124</v>
      </c>
      <c r="L63" s="38">
        <v>50</v>
      </c>
      <c r="M63" s="155" t="s">
        <v>141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97</v>
      </c>
      <c r="V63" s="56">
        <f t="shared" si="2"/>
        <v>97.2</v>
      </c>
      <c r="W63" s="42">
        <f>IFERROR(IF(V63=0,"",ROUNDUP(V63/H63,0)*0.02175),"")</f>
        <v>0.19574999999999998</v>
      </c>
      <c r="X63" s="69" t="s">
        <v>48</v>
      </c>
      <c r="Y63" s="70" t="s">
        <v>48</v>
      </c>
    </row>
    <row r="64" spans="1:25" ht="27" customHeight="1" x14ac:dyDescent="0.25">
      <c r="A64" s="64" t="s">
        <v>142</v>
      </c>
      <c r="B64" s="64" t="s">
        <v>143</v>
      </c>
      <c r="C64" s="37">
        <v>4301011468</v>
      </c>
      <c r="D64" s="131">
        <v>4680115881327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145</v>
      </c>
      <c r="L64" s="38">
        <v>50</v>
      </c>
      <c r="M64" s="156" t="s">
        <v>144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86</v>
      </c>
      <c r="V64" s="56">
        <f t="shared" si="2"/>
        <v>86.4</v>
      </c>
      <c r="W64" s="42">
        <f>IFERROR(IF(V64=0,"",ROUNDUP(V64/H64,0)*0.02175),"")</f>
        <v>0.17399999999999999</v>
      </c>
      <c r="X64" s="69" t="s">
        <v>48</v>
      </c>
      <c r="Y64" s="70" t="s">
        <v>48</v>
      </c>
    </row>
    <row r="65" spans="1:25" ht="16.5" customHeight="1" x14ac:dyDescent="0.25">
      <c r="A65" s="64" t="s">
        <v>146</v>
      </c>
      <c r="B65" s="64" t="s">
        <v>147</v>
      </c>
      <c r="C65" s="37">
        <v>4301011348</v>
      </c>
      <c r="D65" s="131">
        <v>4607091388312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124</v>
      </c>
      <c r="L65" s="38">
        <v>45</v>
      </c>
      <c r="M65" s="157" t="s">
        <v>148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20</v>
      </c>
      <c r="V65" s="56">
        <f t="shared" si="2"/>
        <v>21.6</v>
      </c>
      <c r="W65" s="42">
        <f>IFERROR(IF(V65=0,"",ROUNDUP(V65/H65,0)*0.02175),"")</f>
        <v>4.3499999999999997E-2</v>
      </c>
      <c r="X65" s="69" t="s">
        <v>48</v>
      </c>
      <c r="Y65" s="70" t="s">
        <v>48</v>
      </c>
    </row>
    <row r="66" spans="1:25" ht="16.5" customHeight="1" x14ac:dyDescent="0.25">
      <c r="A66" s="64" t="s">
        <v>149</v>
      </c>
      <c r="B66" s="64" t="s">
        <v>150</v>
      </c>
      <c r="C66" s="37">
        <v>4301011514</v>
      </c>
      <c r="D66" s="131">
        <v>4680115882133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124</v>
      </c>
      <c r="L66" s="38">
        <v>50</v>
      </c>
      <c r="M66" s="158" t="s">
        <v>151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30</v>
      </c>
      <c r="V66" s="56">
        <f t="shared" si="2"/>
        <v>32.400000000000006</v>
      </c>
      <c r="W66" s="42">
        <f>IFERROR(IF(V66=0,"",ROUNDUP(V66/H66,0)*0.02175),"")</f>
        <v>6.5250000000000002E-2</v>
      </c>
      <c r="X66" s="69" t="s">
        <v>48</v>
      </c>
      <c r="Y66" s="70" t="s">
        <v>48</v>
      </c>
    </row>
    <row r="67" spans="1:25" ht="27" customHeight="1" x14ac:dyDescent="0.25">
      <c r="A67" s="64" t="s">
        <v>152</v>
      </c>
      <c r="B67" s="64" t="s">
        <v>153</v>
      </c>
      <c r="C67" s="37">
        <v>4301011192</v>
      </c>
      <c r="D67" s="131">
        <v>4607091382952</v>
      </c>
      <c r="E67" s="13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124</v>
      </c>
      <c r="L67" s="38">
        <v>50</v>
      </c>
      <c r="M67" s="159" t="s">
        <v>154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12</v>
      </c>
      <c r="V67" s="56">
        <f t="shared" si="2"/>
        <v>12</v>
      </c>
      <c r="W67" s="42">
        <f>IFERROR(IF(V67=0,"",ROUNDUP(V67/H67,0)*0.00753),"")</f>
        <v>3.0120000000000001E-2</v>
      </c>
      <c r="X67" s="69" t="s">
        <v>48</v>
      </c>
      <c r="Y67" s="70" t="s">
        <v>48</v>
      </c>
    </row>
    <row r="68" spans="1:25" ht="27" customHeight="1" x14ac:dyDescent="0.25">
      <c r="A68" s="64" t="s">
        <v>155</v>
      </c>
      <c r="B68" s="64" t="s">
        <v>156</v>
      </c>
      <c r="C68" s="37">
        <v>4301011382</v>
      </c>
      <c r="D68" s="131">
        <v>4607091385687</v>
      </c>
      <c r="E68" s="13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158</v>
      </c>
      <c r="L68" s="38">
        <v>50</v>
      </c>
      <c r="M68" s="160" t="s">
        <v>157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220</v>
      </c>
      <c r="V68" s="56">
        <f t="shared" si="2"/>
        <v>220</v>
      </c>
      <c r="W68" s="42">
        <f>IFERROR(IF(V68=0,"",ROUNDUP(V68/H68,0)*0.00937),"")</f>
        <v>0.51534999999999997</v>
      </c>
      <c r="X68" s="69" t="s">
        <v>48</v>
      </c>
      <c r="Y68" s="70" t="s">
        <v>48</v>
      </c>
    </row>
    <row r="69" spans="1:25" ht="27" customHeight="1" x14ac:dyDescent="0.25">
      <c r="A69" s="64" t="s">
        <v>159</v>
      </c>
      <c r="B69" s="64" t="s">
        <v>160</v>
      </c>
      <c r="C69" s="37">
        <v>4301011344</v>
      </c>
      <c r="D69" s="131">
        <v>4607091384604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124</v>
      </c>
      <c r="L69" s="38">
        <v>50</v>
      </c>
      <c r="M69" s="161" t="s">
        <v>161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162</v>
      </c>
      <c r="B70" s="64" t="s">
        <v>163</v>
      </c>
      <c r="C70" s="37">
        <v>4301011386</v>
      </c>
      <c r="D70" s="131">
        <v>4680115880283</v>
      </c>
      <c r="E70" s="131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9" t="s">
        <v>124</v>
      </c>
      <c r="L70" s="38">
        <v>45</v>
      </c>
      <c r="M70" s="162" t="s">
        <v>164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>IFERROR(IF(V70=0,"",ROUNDUP(V70/H70,0)*0.00937),"")</f>
        <v/>
      </c>
      <c r="X70" s="69" t="s">
        <v>48</v>
      </c>
      <c r="Y70" s="70" t="s">
        <v>48</v>
      </c>
    </row>
    <row r="71" spans="1:25" ht="27" customHeight="1" x14ac:dyDescent="0.25">
      <c r="A71" s="64" t="s">
        <v>165</v>
      </c>
      <c r="B71" s="64" t="s">
        <v>166</v>
      </c>
      <c r="C71" s="37">
        <v>4301011414</v>
      </c>
      <c r="D71" s="131">
        <v>4607091381986</v>
      </c>
      <c r="E71" s="131"/>
      <c r="F71" s="63">
        <v>0.5</v>
      </c>
      <c r="G71" s="38">
        <v>10</v>
      </c>
      <c r="H71" s="63">
        <v>5</v>
      </c>
      <c r="I71" s="63">
        <v>5.24</v>
      </c>
      <c r="J71" s="38">
        <v>120</v>
      </c>
      <c r="K71" s="39" t="s">
        <v>124</v>
      </c>
      <c r="L71" s="38">
        <v>45</v>
      </c>
      <c r="M71" s="163" t="s">
        <v>167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190</v>
      </c>
      <c r="V71" s="56">
        <f t="shared" si="2"/>
        <v>190</v>
      </c>
      <c r="W71" s="42">
        <f>IFERROR(IF(V71=0,"",ROUNDUP(V71/H71,0)*0.00937),"")</f>
        <v>0.35605999999999999</v>
      </c>
      <c r="X71" s="69" t="s">
        <v>48</v>
      </c>
      <c r="Y71" s="70" t="s">
        <v>48</v>
      </c>
    </row>
    <row r="72" spans="1:25" ht="27" customHeight="1" x14ac:dyDescent="0.25">
      <c r="A72" s="64" t="s">
        <v>168</v>
      </c>
      <c r="B72" s="64" t="s">
        <v>169</v>
      </c>
      <c r="C72" s="37">
        <v>4301011352</v>
      </c>
      <c r="D72" s="131">
        <v>4607091388466</v>
      </c>
      <c r="E72" s="131"/>
      <c r="F72" s="63">
        <v>0.45</v>
      </c>
      <c r="G72" s="38">
        <v>6</v>
      </c>
      <c r="H72" s="63">
        <v>2.7</v>
      </c>
      <c r="I72" s="63">
        <v>2.9</v>
      </c>
      <c r="J72" s="38">
        <v>156</v>
      </c>
      <c r="K72" s="39" t="s">
        <v>158</v>
      </c>
      <c r="L72" s="38">
        <v>45</v>
      </c>
      <c r="M72" s="164" t="s">
        <v>170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35</v>
      </c>
      <c r="V72" s="56">
        <f t="shared" si="2"/>
        <v>35.1</v>
      </c>
      <c r="W72" s="42">
        <f>IFERROR(IF(V72=0,"",ROUNDUP(V72/H72,0)*0.00753),"")</f>
        <v>9.7890000000000005E-2</v>
      </c>
      <c r="X72" s="69" t="s">
        <v>48</v>
      </c>
      <c r="Y72" s="70" t="s">
        <v>48</v>
      </c>
    </row>
    <row r="73" spans="1:25" ht="27" customHeight="1" x14ac:dyDescent="0.25">
      <c r="A73" s="64" t="s">
        <v>171</v>
      </c>
      <c r="B73" s="64" t="s">
        <v>172</v>
      </c>
      <c r="C73" s="37">
        <v>4301011417</v>
      </c>
      <c r="D73" s="131">
        <v>4680115880269</v>
      </c>
      <c r="E73" s="131"/>
      <c r="F73" s="63">
        <v>0.375</v>
      </c>
      <c r="G73" s="38">
        <v>10</v>
      </c>
      <c r="H73" s="63">
        <v>3.75</v>
      </c>
      <c r="I73" s="63">
        <v>3.99</v>
      </c>
      <c r="J73" s="38">
        <v>120</v>
      </c>
      <c r="K73" s="39" t="s">
        <v>158</v>
      </c>
      <c r="L73" s="38">
        <v>50</v>
      </c>
      <c r="M73" s="165" t="s">
        <v>173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</row>
    <row r="74" spans="1:25" ht="16.5" customHeight="1" x14ac:dyDescent="0.25">
      <c r="A74" s="64" t="s">
        <v>174</v>
      </c>
      <c r="B74" s="64" t="s">
        <v>175</v>
      </c>
      <c r="C74" s="37">
        <v>4301011415</v>
      </c>
      <c r="D74" s="131">
        <v>4680115880429</v>
      </c>
      <c r="E74" s="13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9" t="s">
        <v>158</v>
      </c>
      <c r="L74" s="38">
        <v>50</v>
      </c>
      <c r="M74" s="166" t="s">
        <v>176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22</v>
      </c>
      <c r="V74" s="56">
        <f t="shared" si="2"/>
        <v>22.5</v>
      </c>
      <c r="W74" s="42">
        <f>IFERROR(IF(V74=0,"",ROUNDUP(V74/H74,0)*0.00937),"")</f>
        <v>4.6850000000000003E-2</v>
      </c>
      <c r="X74" s="69" t="s">
        <v>48</v>
      </c>
      <c r="Y74" s="70" t="s">
        <v>48</v>
      </c>
    </row>
    <row r="75" spans="1:25" ht="16.5" customHeight="1" x14ac:dyDescent="0.25">
      <c r="A75" s="64" t="s">
        <v>177</v>
      </c>
      <c r="B75" s="64" t="s">
        <v>178</v>
      </c>
      <c r="C75" s="37">
        <v>4301011462</v>
      </c>
      <c r="D75" s="131">
        <v>4680115881457</v>
      </c>
      <c r="E75" s="131"/>
      <c r="F75" s="63">
        <v>0.75</v>
      </c>
      <c r="G75" s="38">
        <v>6</v>
      </c>
      <c r="H75" s="63">
        <v>4.5</v>
      </c>
      <c r="I75" s="63">
        <v>4.74</v>
      </c>
      <c r="J75" s="38">
        <v>120</v>
      </c>
      <c r="K75" s="39" t="s">
        <v>158</v>
      </c>
      <c r="L75" s="38">
        <v>50</v>
      </c>
      <c r="M75" s="167" t="s">
        <v>179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</row>
    <row r="76" spans="1:25" x14ac:dyDescent="0.2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9"/>
      <c r="M76" s="135" t="s">
        <v>43</v>
      </c>
      <c r="N76" s="136"/>
      <c r="O76" s="136"/>
      <c r="P76" s="136"/>
      <c r="Q76" s="136"/>
      <c r="R76" s="136"/>
      <c r="S76" s="137"/>
      <c r="T76" s="43" t="s">
        <v>42</v>
      </c>
      <c r="U76" s="44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</f>
        <v>145.68518518518519</v>
      </c>
      <c r="V76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</f>
        <v>147</v>
      </c>
      <c r="W76" s="44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</f>
        <v>1.7422700000000002</v>
      </c>
      <c r="X76" s="68"/>
      <c r="Y76" s="68"/>
    </row>
    <row r="77" spans="1:25" x14ac:dyDescent="0.2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9"/>
      <c r="M77" s="135" t="s">
        <v>43</v>
      </c>
      <c r="N77" s="136"/>
      <c r="O77" s="136"/>
      <c r="P77" s="136"/>
      <c r="Q77" s="136"/>
      <c r="R77" s="136"/>
      <c r="S77" s="137"/>
      <c r="T77" s="43" t="s">
        <v>0</v>
      </c>
      <c r="U77" s="44">
        <f>IFERROR(SUM(U62:U75),"0")</f>
        <v>812</v>
      </c>
      <c r="V77" s="44">
        <f>IFERROR(SUM(V62:V75),"0")</f>
        <v>825.2</v>
      </c>
      <c r="W77" s="43"/>
      <c r="X77" s="68"/>
      <c r="Y77" s="68"/>
    </row>
    <row r="78" spans="1:25" ht="14.25" customHeight="1" x14ac:dyDescent="0.25">
      <c r="A78" s="130" t="s">
        <v>120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67"/>
      <c r="Y78" s="67"/>
    </row>
    <row r="79" spans="1:25" ht="16.5" customHeight="1" x14ac:dyDescent="0.25">
      <c r="A79" s="64" t="s">
        <v>180</v>
      </c>
      <c r="B79" s="64" t="s">
        <v>181</v>
      </c>
      <c r="C79" s="37">
        <v>4301020204</v>
      </c>
      <c r="D79" s="131">
        <v>4607091388442</v>
      </c>
      <c r="E79" s="131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9" t="s">
        <v>124</v>
      </c>
      <c r="L79" s="38">
        <v>45</v>
      </c>
      <c r="M79" s="168" t="s">
        <v>182</v>
      </c>
      <c r="N79" s="133"/>
      <c r="O79" s="133"/>
      <c r="P79" s="133"/>
      <c r="Q79" s="13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ref="V79:V84" si="3">IFERROR(IF(U79="",0,CEILING((U79/$H79),1)*$H79),"")</f>
        <v>0</v>
      </c>
      <c r="W79" s="42" t="str">
        <f>IFERROR(IF(V79=0,"",ROUNDUP(V79/H79,0)*0.02175),"")</f>
        <v/>
      </c>
      <c r="X79" s="69" t="s">
        <v>48</v>
      </c>
      <c r="Y79" s="70" t="s">
        <v>48</v>
      </c>
    </row>
    <row r="80" spans="1:25" ht="27" customHeight="1" x14ac:dyDescent="0.25">
      <c r="A80" s="64" t="s">
        <v>183</v>
      </c>
      <c r="B80" s="64" t="s">
        <v>184</v>
      </c>
      <c r="C80" s="37">
        <v>4301020189</v>
      </c>
      <c r="D80" s="131">
        <v>4607091384789</v>
      </c>
      <c r="E80" s="131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9" t="s">
        <v>124</v>
      </c>
      <c r="L80" s="38">
        <v>45</v>
      </c>
      <c r="M80" s="169" t="s">
        <v>185</v>
      </c>
      <c r="N80" s="133"/>
      <c r="O80" s="133"/>
      <c r="P80" s="133"/>
      <c r="Q80" s="13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3"/>
        <v>0</v>
      </c>
      <c r="W80" s="42" t="str">
        <f>IFERROR(IF(V80=0,"",ROUNDUP(V80/H80,0)*0.01196),"")</f>
        <v/>
      </c>
      <c r="X80" s="69" t="s">
        <v>48</v>
      </c>
      <c r="Y80" s="70" t="s">
        <v>48</v>
      </c>
    </row>
    <row r="81" spans="1:25" ht="16.5" customHeight="1" x14ac:dyDescent="0.25">
      <c r="A81" s="64" t="s">
        <v>186</v>
      </c>
      <c r="B81" s="64" t="s">
        <v>187</v>
      </c>
      <c r="C81" s="37">
        <v>4301020235</v>
      </c>
      <c r="D81" s="131">
        <v>4680115881488</v>
      </c>
      <c r="E81" s="131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9" t="s">
        <v>124</v>
      </c>
      <c r="L81" s="38">
        <v>50</v>
      </c>
      <c r="M81" s="170" t="s">
        <v>188</v>
      </c>
      <c r="N81" s="133"/>
      <c r="O81" s="133"/>
      <c r="P81" s="133"/>
      <c r="Q81" s="13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3"/>
        <v>0</v>
      </c>
      <c r="W81" s="42" t="str">
        <f>IFERROR(IF(V81=0,"",ROUNDUP(V81/H81,0)*0.02175),"")</f>
        <v/>
      </c>
      <c r="X81" s="69" t="s">
        <v>48</v>
      </c>
      <c r="Y81" s="70" t="s">
        <v>48</v>
      </c>
    </row>
    <row r="82" spans="1:25" ht="27" customHeight="1" x14ac:dyDescent="0.25">
      <c r="A82" s="64" t="s">
        <v>189</v>
      </c>
      <c r="B82" s="64" t="s">
        <v>190</v>
      </c>
      <c r="C82" s="37">
        <v>4301020183</v>
      </c>
      <c r="D82" s="131">
        <v>4607091384765</v>
      </c>
      <c r="E82" s="131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9" t="s">
        <v>124</v>
      </c>
      <c r="L82" s="38">
        <v>45</v>
      </c>
      <c r="M82" s="171" t="s">
        <v>191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3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192</v>
      </c>
      <c r="B83" s="64" t="s">
        <v>193</v>
      </c>
      <c r="C83" s="37">
        <v>4301020217</v>
      </c>
      <c r="D83" s="131">
        <v>4680115880658</v>
      </c>
      <c r="E83" s="131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124</v>
      </c>
      <c r="L83" s="38">
        <v>50</v>
      </c>
      <c r="M83" s="172" t="s">
        <v>194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3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</row>
    <row r="84" spans="1:25" ht="27" customHeight="1" x14ac:dyDescent="0.25">
      <c r="A84" s="64" t="s">
        <v>195</v>
      </c>
      <c r="B84" s="64" t="s">
        <v>196</v>
      </c>
      <c r="C84" s="37">
        <v>4301020223</v>
      </c>
      <c r="D84" s="131">
        <v>4607091381962</v>
      </c>
      <c r="E84" s="131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124</v>
      </c>
      <c r="L84" s="38">
        <v>50</v>
      </c>
      <c r="M84" s="173" t="s">
        <v>197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180</v>
      </c>
      <c r="V84" s="56">
        <f t="shared" si="3"/>
        <v>180</v>
      </c>
      <c r="W84" s="42">
        <f>IFERROR(IF(V84=0,"",ROUNDUP(V84/H84,0)*0.00753),"")</f>
        <v>0.45180000000000003</v>
      </c>
      <c r="X84" s="69" t="s">
        <v>48</v>
      </c>
      <c r="Y84" s="70" t="s">
        <v>48</v>
      </c>
    </row>
    <row r="85" spans="1:25" x14ac:dyDescent="0.2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5" t="s">
        <v>43</v>
      </c>
      <c r="N85" s="136"/>
      <c r="O85" s="136"/>
      <c r="P85" s="136"/>
      <c r="Q85" s="136"/>
      <c r="R85" s="136"/>
      <c r="S85" s="137"/>
      <c r="T85" s="43" t="s">
        <v>42</v>
      </c>
      <c r="U85" s="44">
        <f>IFERROR(U79/H79,"0")+IFERROR(U80/H80,"0")+IFERROR(U81/H81,"0")+IFERROR(U82/H82,"0")+IFERROR(U83/H83,"0")+IFERROR(U84/H84,"0")</f>
        <v>60</v>
      </c>
      <c r="V85" s="44">
        <f>IFERROR(V79/H79,"0")+IFERROR(V80/H80,"0")+IFERROR(V81/H81,"0")+IFERROR(V82/H82,"0")+IFERROR(V83/H83,"0")+IFERROR(V84/H84,"0")</f>
        <v>60</v>
      </c>
      <c r="W85" s="44">
        <f>IFERROR(IF(W79="",0,W79),"0")+IFERROR(IF(W80="",0,W80),"0")+IFERROR(IF(W81="",0,W81),"0")+IFERROR(IF(W82="",0,W82),"0")+IFERROR(IF(W83="",0,W83),"0")+IFERROR(IF(W84="",0,W84),"0")</f>
        <v>0.45180000000000003</v>
      </c>
      <c r="X85" s="68"/>
      <c r="Y85" s="68"/>
    </row>
    <row r="86" spans="1:25" x14ac:dyDescent="0.2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5" t="s">
        <v>43</v>
      </c>
      <c r="N86" s="136"/>
      <c r="O86" s="136"/>
      <c r="P86" s="136"/>
      <c r="Q86" s="136"/>
      <c r="R86" s="136"/>
      <c r="S86" s="137"/>
      <c r="T86" s="43" t="s">
        <v>0</v>
      </c>
      <c r="U86" s="44">
        <f>IFERROR(SUM(U79:U84),"0")</f>
        <v>180</v>
      </c>
      <c r="V86" s="44">
        <f>IFERROR(SUM(V79:V84),"0")</f>
        <v>180</v>
      </c>
      <c r="W86" s="43"/>
      <c r="X86" s="68"/>
      <c r="Y86" s="68"/>
    </row>
    <row r="87" spans="1:25" ht="14.25" customHeight="1" x14ac:dyDescent="0.25">
      <c r="A87" s="130" t="s">
        <v>76</v>
      </c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67"/>
      <c r="Y87" s="67"/>
    </row>
    <row r="88" spans="1:25" ht="16.5" customHeight="1" x14ac:dyDescent="0.25">
      <c r="A88" s="64" t="s">
        <v>198</v>
      </c>
      <c r="B88" s="64" t="s">
        <v>199</v>
      </c>
      <c r="C88" s="37">
        <v>4301030895</v>
      </c>
      <c r="D88" s="131">
        <v>4607091387667</v>
      </c>
      <c r="E88" s="131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124</v>
      </c>
      <c r="L88" s="38">
        <v>40</v>
      </c>
      <c r="M88" s="174" t="s">
        <v>200</v>
      </c>
      <c r="N88" s="133"/>
      <c r="O88" s="133"/>
      <c r="P88" s="133"/>
      <c r="Q88" s="134"/>
      <c r="R88" s="40" t="s">
        <v>48</v>
      </c>
      <c r="S88" s="40" t="s">
        <v>48</v>
      </c>
      <c r="T88" s="41" t="s">
        <v>0</v>
      </c>
      <c r="U88" s="59">
        <v>45</v>
      </c>
      <c r="V88" s="56">
        <f t="shared" ref="V88:V96" si="4">IFERROR(IF(U88="",0,CEILING((U88/$H88),1)*$H88),"")</f>
        <v>45</v>
      </c>
      <c r="W88" s="42">
        <f>IFERROR(IF(V88=0,"",ROUNDUP(V88/H88,0)*0.02175),"")</f>
        <v>0.10874999999999999</v>
      </c>
      <c r="X88" s="69" t="s">
        <v>48</v>
      </c>
      <c r="Y88" s="70" t="s">
        <v>48</v>
      </c>
    </row>
    <row r="89" spans="1:25" ht="27" customHeight="1" x14ac:dyDescent="0.25">
      <c r="A89" s="64" t="s">
        <v>201</v>
      </c>
      <c r="B89" s="64" t="s">
        <v>202</v>
      </c>
      <c r="C89" s="37">
        <v>4301030961</v>
      </c>
      <c r="D89" s="131">
        <v>4607091387636</v>
      </c>
      <c r="E89" s="131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80</v>
      </c>
      <c r="L89" s="38">
        <v>40</v>
      </c>
      <c r="M89" s="175" t="s">
        <v>203</v>
      </c>
      <c r="N89" s="133"/>
      <c r="O89" s="133"/>
      <c r="P89" s="133"/>
      <c r="Q89" s="134"/>
      <c r="R89" s="40" t="s">
        <v>48</v>
      </c>
      <c r="S89" s="40" t="s">
        <v>48</v>
      </c>
      <c r="T89" s="41" t="s">
        <v>0</v>
      </c>
      <c r="U89" s="59">
        <v>42</v>
      </c>
      <c r="V89" s="56">
        <f t="shared" si="4"/>
        <v>42</v>
      </c>
      <c r="W89" s="42">
        <f>IFERROR(IF(V89=0,"",ROUNDUP(V89/H89,0)*0.00937),"")</f>
        <v>9.3700000000000006E-2</v>
      </c>
      <c r="X89" s="69" t="s">
        <v>48</v>
      </c>
      <c r="Y89" s="70" t="s">
        <v>48</v>
      </c>
    </row>
    <row r="90" spans="1:25" ht="27" customHeight="1" x14ac:dyDescent="0.25">
      <c r="A90" s="64" t="s">
        <v>204</v>
      </c>
      <c r="B90" s="64" t="s">
        <v>205</v>
      </c>
      <c r="C90" s="37">
        <v>4301031078</v>
      </c>
      <c r="D90" s="131">
        <v>4607091384727</v>
      </c>
      <c r="E90" s="131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80</v>
      </c>
      <c r="L90" s="38">
        <v>45</v>
      </c>
      <c r="M90" s="176" t="s">
        <v>206</v>
      </c>
      <c r="N90" s="133"/>
      <c r="O90" s="133"/>
      <c r="P90" s="133"/>
      <c r="Q90" s="13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4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</row>
    <row r="91" spans="1:25" ht="27" customHeight="1" x14ac:dyDescent="0.25">
      <c r="A91" s="64" t="s">
        <v>207</v>
      </c>
      <c r="B91" s="64" t="s">
        <v>208</v>
      </c>
      <c r="C91" s="37">
        <v>4301031080</v>
      </c>
      <c r="D91" s="131">
        <v>4607091386745</v>
      </c>
      <c r="E91" s="131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80</v>
      </c>
      <c r="L91" s="38">
        <v>45</v>
      </c>
      <c r="M91" s="177" t="s">
        <v>209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4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</row>
    <row r="92" spans="1:25" ht="16.5" customHeight="1" x14ac:dyDescent="0.25">
      <c r="A92" s="64" t="s">
        <v>210</v>
      </c>
      <c r="B92" s="64" t="s">
        <v>211</v>
      </c>
      <c r="C92" s="37">
        <v>4301030963</v>
      </c>
      <c r="D92" s="131">
        <v>4607091382426</v>
      </c>
      <c r="E92" s="13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80</v>
      </c>
      <c r="L92" s="38">
        <v>40</v>
      </c>
      <c r="M92" s="178" t="s">
        <v>212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200</v>
      </c>
      <c r="V92" s="56">
        <f t="shared" si="4"/>
        <v>207</v>
      </c>
      <c r="W92" s="42">
        <f>IFERROR(IF(V92=0,"",ROUNDUP(V92/H92,0)*0.02175),"")</f>
        <v>0.50024999999999997</v>
      </c>
      <c r="X92" s="69" t="s">
        <v>48</v>
      </c>
      <c r="Y92" s="70" t="s">
        <v>48</v>
      </c>
    </row>
    <row r="93" spans="1:25" ht="27" customHeight="1" x14ac:dyDescent="0.25">
      <c r="A93" s="64" t="s">
        <v>213</v>
      </c>
      <c r="B93" s="64" t="s">
        <v>214</v>
      </c>
      <c r="C93" s="37">
        <v>4301030962</v>
      </c>
      <c r="D93" s="131">
        <v>4607091386547</v>
      </c>
      <c r="E93" s="131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80</v>
      </c>
      <c r="L93" s="38">
        <v>40</v>
      </c>
      <c r="M93" s="179" t="s">
        <v>215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4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216</v>
      </c>
      <c r="B94" s="64" t="s">
        <v>217</v>
      </c>
      <c r="C94" s="37">
        <v>4301031077</v>
      </c>
      <c r="D94" s="131">
        <v>4607091384703</v>
      </c>
      <c r="E94" s="131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80</v>
      </c>
      <c r="L94" s="38">
        <v>45</v>
      </c>
      <c r="M94" s="180" t="s">
        <v>218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4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</row>
    <row r="95" spans="1:25" ht="27" customHeight="1" x14ac:dyDescent="0.25">
      <c r="A95" s="64" t="s">
        <v>219</v>
      </c>
      <c r="B95" s="64" t="s">
        <v>220</v>
      </c>
      <c r="C95" s="37">
        <v>4301031079</v>
      </c>
      <c r="D95" s="131">
        <v>4607091384734</v>
      </c>
      <c r="E95" s="131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80</v>
      </c>
      <c r="L95" s="38">
        <v>45</v>
      </c>
      <c r="M95" s="181" t="s">
        <v>221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4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222</v>
      </c>
      <c r="B96" s="64" t="s">
        <v>223</v>
      </c>
      <c r="C96" s="37">
        <v>4301030964</v>
      </c>
      <c r="D96" s="131">
        <v>4607091382464</v>
      </c>
      <c r="E96" s="131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80</v>
      </c>
      <c r="L96" s="38">
        <v>40</v>
      </c>
      <c r="M96" s="182" t="s">
        <v>224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4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x14ac:dyDescent="0.2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5" t="s">
        <v>43</v>
      </c>
      <c r="N97" s="136"/>
      <c r="O97" s="136"/>
      <c r="P97" s="136"/>
      <c r="Q97" s="136"/>
      <c r="R97" s="136"/>
      <c r="S97" s="137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37.222222222222221</v>
      </c>
      <c r="V97" s="44">
        <f>IFERROR(V88/H88,"0")+IFERROR(V89/H89,"0")+IFERROR(V90/H90,"0")+IFERROR(V91/H91,"0")+IFERROR(V92/H92,"0")+IFERROR(V93/H93,"0")+IFERROR(V94/H94,"0")+IFERROR(V95/H95,"0")+IFERROR(V96/H96,"0")</f>
        <v>38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0.70269999999999999</v>
      </c>
      <c r="X97" s="68"/>
      <c r="Y97" s="68"/>
    </row>
    <row r="98" spans="1:25" x14ac:dyDescent="0.2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5" t="s">
        <v>43</v>
      </c>
      <c r="N98" s="136"/>
      <c r="O98" s="136"/>
      <c r="P98" s="136"/>
      <c r="Q98" s="136"/>
      <c r="R98" s="136"/>
      <c r="S98" s="137"/>
      <c r="T98" s="43" t="s">
        <v>0</v>
      </c>
      <c r="U98" s="44">
        <f>IFERROR(SUM(U88:U96),"0")</f>
        <v>287</v>
      </c>
      <c r="V98" s="44">
        <f>IFERROR(SUM(V88:V96),"0")</f>
        <v>294</v>
      </c>
      <c r="W98" s="43"/>
      <c r="X98" s="68"/>
      <c r="Y98" s="68"/>
    </row>
    <row r="99" spans="1:25" ht="14.25" customHeight="1" x14ac:dyDescent="0.25">
      <c r="A99" s="130" t="s">
        <v>81</v>
      </c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67"/>
      <c r="Y99" s="67"/>
    </row>
    <row r="100" spans="1:25" ht="27" customHeight="1" x14ac:dyDescent="0.25">
      <c r="A100" s="64" t="s">
        <v>225</v>
      </c>
      <c r="B100" s="64" t="s">
        <v>226</v>
      </c>
      <c r="C100" s="37">
        <v>4301051437</v>
      </c>
      <c r="D100" s="131">
        <v>4607091386967</v>
      </c>
      <c r="E100" s="131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158</v>
      </c>
      <c r="L100" s="38">
        <v>45</v>
      </c>
      <c r="M100" s="183" t="s">
        <v>227</v>
      </c>
      <c r="N100" s="133"/>
      <c r="O100" s="133"/>
      <c r="P100" s="133"/>
      <c r="Q100" s="134"/>
      <c r="R100" s="40" t="s">
        <v>48</v>
      </c>
      <c r="S100" s="40" t="s">
        <v>48</v>
      </c>
      <c r="T100" s="41" t="s">
        <v>0</v>
      </c>
      <c r="U100" s="59">
        <v>305</v>
      </c>
      <c r="V100" s="56">
        <f t="shared" ref="V100:V106" si="5">IFERROR(IF(U100="",0,CEILING((U100/$H100),1)*$H100),"")</f>
        <v>307.8</v>
      </c>
      <c r="W100" s="42">
        <f>IFERROR(IF(V100=0,"",ROUNDUP(V100/H100,0)*0.02175),"")</f>
        <v>0.8264999999999999</v>
      </c>
      <c r="X100" s="69" t="s">
        <v>48</v>
      </c>
      <c r="Y100" s="70" t="s">
        <v>48</v>
      </c>
    </row>
    <row r="101" spans="1:25" ht="16.5" customHeight="1" x14ac:dyDescent="0.25">
      <c r="A101" s="64" t="s">
        <v>228</v>
      </c>
      <c r="B101" s="64" t="s">
        <v>229</v>
      </c>
      <c r="C101" s="37">
        <v>4301051311</v>
      </c>
      <c r="D101" s="131">
        <v>4607091385304</v>
      </c>
      <c r="E101" s="131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80</v>
      </c>
      <c r="L101" s="38">
        <v>40</v>
      </c>
      <c r="M101" s="184" t="s">
        <v>230</v>
      </c>
      <c r="N101" s="133"/>
      <c r="O101" s="133"/>
      <c r="P101" s="133"/>
      <c r="Q101" s="134"/>
      <c r="R101" s="40" t="s">
        <v>48</v>
      </c>
      <c r="S101" s="40" t="s">
        <v>48</v>
      </c>
      <c r="T101" s="41" t="s">
        <v>0</v>
      </c>
      <c r="U101" s="59">
        <v>132</v>
      </c>
      <c r="V101" s="56">
        <f t="shared" si="5"/>
        <v>137.69999999999999</v>
      </c>
      <c r="W101" s="42">
        <f>IFERROR(IF(V101=0,"",ROUNDUP(V101/H101,0)*0.02175),"")</f>
        <v>0.36974999999999997</v>
      </c>
      <c r="X101" s="69" t="s">
        <v>48</v>
      </c>
      <c r="Y101" s="70" t="s">
        <v>48</v>
      </c>
    </row>
    <row r="102" spans="1:25" ht="16.5" customHeight="1" x14ac:dyDescent="0.25">
      <c r="A102" s="64" t="s">
        <v>231</v>
      </c>
      <c r="B102" s="64" t="s">
        <v>232</v>
      </c>
      <c r="C102" s="37">
        <v>4301051306</v>
      </c>
      <c r="D102" s="131">
        <v>4607091386264</v>
      </c>
      <c r="E102" s="131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80</v>
      </c>
      <c r="L102" s="38">
        <v>31</v>
      </c>
      <c r="M102" s="185" t="s">
        <v>233</v>
      </c>
      <c r="N102" s="133"/>
      <c r="O102" s="133"/>
      <c r="P102" s="133"/>
      <c r="Q102" s="134"/>
      <c r="R102" s="40" t="s">
        <v>48</v>
      </c>
      <c r="S102" s="40" t="s">
        <v>48</v>
      </c>
      <c r="T102" s="41" t="s">
        <v>0</v>
      </c>
      <c r="U102" s="59">
        <v>60</v>
      </c>
      <c r="V102" s="56">
        <f t="shared" si="5"/>
        <v>60</v>
      </c>
      <c r="W102" s="42">
        <f>IFERROR(IF(V102=0,"",ROUNDUP(V102/H102,0)*0.00753),"")</f>
        <v>0.15060000000000001</v>
      </c>
      <c r="X102" s="69" t="s">
        <v>48</v>
      </c>
      <c r="Y102" s="70" t="s">
        <v>48</v>
      </c>
    </row>
    <row r="103" spans="1:25" ht="27" customHeight="1" x14ac:dyDescent="0.25">
      <c r="A103" s="64" t="s">
        <v>234</v>
      </c>
      <c r="B103" s="64" t="s">
        <v>235</v>
      </c>
      <c r="C103" s="37">
        <v>4301051436</v>
      </c>
      <c r="D103" s="131">
        <v>4607091385731</v>
      </c>
      <c r="E103" s="131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158</v>
      </c>
      <c r="L103" s="38">
        <v>45</v>
      </c>
      <c r="M103" s="186" t="s">
        <v>236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72</v>
      </c>
      <c r="V103" s="56">
        <f t="shared" si="5"/>
        <v>72.900000000000006</v>
      </c>
      <c r="W103" s="42">
        <f>IFERROR(IF(V103=0,"",ROUNDUP(V103/H103,0)*0.00753),"")</f>
        <v>0.20331000000000002</v>
      </c>
      <c r="X103" s="69" t="s">
        <v>48</v>
      </c>
      <c r="Y103" s="70" t="s">
        <v>48</v>
      </c>
    </row>
    <row r="104" spans="1:25" ht="27" customHeight="1" x14ac:dyDescent="0.25">
      <c r="A104" s="64" t="s">
        <v>237</v>
      </c>
      <c r="B104" s="64" t="s">
        <v>238</v>
      </c>
      <c r="C104" s="37">
        <v>4301051439</v>
      </c>
      <c r="D104" s="131">
        <v>4680115880214</v>
      </c>
      <c r="E104" s="131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158</v>
      </c>
      <c r="L104" s="38">
        <v>45</v>
      </c>
      <c r="M104" s="187" t="s">
        <v>239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5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</row>
    <row r="105" spans="1:25" ht="27" customHeight="1" x14ac:dyDescent="0.25">
      <c r="A105" s="64" t="s">
        <v>240</v>
      </c>
      <c r="B105" s="64" t="s">
        <v>241</v>
      </c>
      <c r="C105" s="37">
        <v>4301051438</v>
      </c>
      <c r="D105" s="131">
        <v>4680115880894</v>
      </c>
      <c r="E105" s="131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158</v>
      </c>
      <c r="L105" s="38">
        <v>45</v>
      </c>
      <c r="M105" s="188" t="s">
        <v>242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5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243</v>
      </c>
      <c r="B106" s="64" t="s">
        <v>244</v>
      </c>
      <c r="C106" s="37">
        <v>4301051313</v>
      </c>
      <c r="D106" s="131">
        <v>4607091385427</v>
      </c>
      <c r="E106" s="131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80</v>
      </c>
      <c r="L106" s="38">
        <v>40</v>
      </c>
      <c r="M106" s="189" t="s">
        <v>245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12</v>
      </c>
      <c r="V106" s="56">
        <f t="shared" si="5"/>
        <v>12</v>
      </c>
      <c r="W106" s="42">
        <f>IFERROR(IF(V106=0,"",ROUNDUP(V106/H106,0)*0.00753),"")</f>
        <v>3.0120000000000001E-2</v>
      </c>
      <c r="X106" s="69" t="s">
        <v>48</v>
      </c>
      <c r="Y106" s="70" t="s">
        <v>48</v>
      </c>
    </row>
    <row r="107" spans="1:25" x14ac:dyDescent="0.2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5" t="s">
        <v>43</v>
      </c>
      <c r="N107" s="136"/>
      <c r="O107" s="136"/>
      <c r="P107" s="136"/>
      <c r="Q107" s="136"/>
      <c r="R107" s="136"/>
      <c r="S107" s="137"/>
      <c r="T107" s="43" t="s">
        <v>42</v>
      </c>
      <c r="U107" s="44">
        <f>IFERROR(U100/H100,"0")+IFERROR(U101/H101,"0")+IFERROR(U102/H102,"0")+IFERROR(U103/H103,"0")+IFERROR(U104/H104,"0")+IFERROR(U105/H105,"0")+IFERROR(U106/H106,"0")</f>
        <v>104.61728395061729</v>
      </c>
      <c r="V107" s="44">
        <f>IFERROR(V100/H100,"0")+IFERROR(V101/H101,"0")+IFERROR(V102/H102,"0")+IFERROR(V103/H103,"0")+IFERROR(V104/H104,"0")+IFERROR(V105/H105,"0")+IFERROR(V106/H106,"0")</f>
        <v>106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1.5802799999999999</v>
      </c>
      <c r="X107" s="68"/>
      <c r="Y107" s="68"/>
    </row>
    <row r="108" spans="1:25" x14ac:dyDescent="0.2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5" t="s">
        <v>43</v>
      </c>
      <c r="N108" s="136"/>
      <c r="O108" s="136"/>
      <c r="P108" s="136"/>
      <c r="Q108" s="136"/>
      <c r="R108" s="136"/>
      <c r="S108" s="137"/>
      <c r="T108" s="43" t="s">
        <v>0</v>
      </c>
      <c r="U108" s="44">
        <f>IFERROR(SUM(U100:U106),"0")</f>
        <v>581</v>
      </c>
      <c r="V108" s="44">
        <f>IFERROR(SUM(V100:V106),"0")</f>
        <v>590.4</v>
      </c>
      <c r="W108" s="43"/>
      <c r="X108" s="68"/>
      <c r="Y108" s="68"/>
    </row>
    <row r="109" spans="1:25" ht="14.25" customHeight="1" x14ac:dyDescent="0.25">
      <c r="A109" s="130" t="s">
        <v>246</v>
      </c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67"/>
      <c r="Y109" s="67"/>
    </row>
    <row r="110" spans="1:25" ht="27" customHeight="1" x14ac:dyDescent="0.25">
      <c r="A110" s="64" t="s">
        <v>247</v>
      </c>
      <c r="B110" s="64" t="s">
        <v>248</v>
      </c>
      <c r="C110" s="37">
        <v>4301060296</v>
      </c>
      <c r="D110" s="131">
        <v>4607091383065</v>
      </c>
      <c r="E110" s="131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80</v>
      </c>
      <c r="L110" s="38">
        <v>30</v>
      </c>
      <c r="M110" s="190" t="s">
        <v>249</v>
      </c>
      <c r="N110" s="133"/>
      <c r="O110" s="133"/>
      <c r="P110" s="133"/>
      <c r="Q110" s="13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</row>
    <row r="111" spans="1:25" ht="27" customHeight="1" x14ac:dyDescent="0.25">
      <c r="A111" s="64" t="s">
        <v>250</v>
      </c>
      <c r="B111" s="64" t="s">
        <v>251</v>
      </c>
      <c r="C111" s="37">
        <v>4301060282</v>
      </c>
      <c r="D111" s="131">
        <v>4607091380699</v>
      </c>
      <c r="E111" s="131"/>
      <c r="F111" s="63">
        <v>1.3</v>
      </c>
      <c r="G111" s="38">
        <v>6</v>
      </c>
      <c r="H111" s="63">
        <v>7.8</v>
      </c>
      <c r="I111" s="63">
        <v>8.3640000000000008</v>
      </c>
      <c r="J111" s="38">
        <v>56</v>
      </c>
      <c r="K111" s="39" t="s">
        <v>80</v>
      </c>
      <c r="L111" s="38">
        <v>30</v>
      </c>
      <c r="M111" s="191" t="s">
        <v>252</v>
      </c>
      <c r="N111" s="133"/>
      <c r="O111" s="133"/>
      <c r="P111" s="133"/>
      <c r="Q111" s="134"/>
      <c r="R111" s="40" t="s">
        <v>48</v>
      </c>
      <c r="S111" s="40" t="s">
        <v>48</v>
      </c>
      <c r="T111" s="41" t="s">
        <v>0</v>
      </c>
      <c r="U111" s="59">
        <v>54</v>
      </c>
      <c r="V111" s="56">
        <f>IFERROR(IF(U111="",0,CEILING((U111/$H111),1)*$H111),"")</f>
        <v>54.6</v>
      </c>
      <c r="W111" s="42">
        <f>IFERROR(IF(V111=0,"",ROUNDUP(V111/H111,0)*0.02175),"")</f>
        <v>0.15225</v>
      </c>
      <c r="X111" s="69" t="s">
        <v>48</v>
      </c>
      <c r="Y111" s="70" t="s">
        <v>48</v>
      </c>
    </row>
    <row r="112" spans="1:25" ht="16.5" customHeight="1" x14ac:dyDescent="0.25">
      <c r="A112" s="64" t="s">
        <v>253</v>
      </c>
      <c r="B112" s="64" t="s">
        <v>254</v>
      </c>
      <c r="C112" s="37">
        <v>4301060309</v>
      </c>
      <c r="D112" s="131">
        <v>4680115880238</v>
      </c>
      <c r="E112" s="13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80</v>
      </c>
      <c r="L112" s="38">
        <v>40</v>
      </c>
      <c r="M112" s="192" t="s">
        <v>255</v>
      </c>
      <c r="N112" s="133"/>
      <c r="O112" s="133"/>
      <c r="P112" s="133"/>
      <c r="Q112" s="13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</row>
    <row r="113" spans="1:25" ht="27" customHeight="1" x14ac:dyDescent="0.25">
      <c r="A113" s="64" t="s">
        <v>256</v>
      </c>
      <c r="B113" s="64" t="s">
        <v>257</v>
      </c>
      <c r="C113" s="37">
        <v>4301060304</v>
      </c>
      <c r="D113" s="131">
        <v>4607091385922</v>
      </c>
      <c r="E113" s="131"/>
      <c r="F113" s="63">
        <v>0.47</v>
      </c>
      <c r="G113" s="38">
        <v>6</v>
      </c>
      <c r="H113" s="63">
        <v>2.82</v>
      </c>
      <c r="I113" s="63">
        <v>3.0979999999999999</v>
      </c>
      <c r="J113" s="38">
        <v>156</v>
      </c>
      <c r="K113" s="39" t="s">
        <v>80</v>
      </c>
      <c r="L113" s="38">
        <v>30</v>
      </c>
      <c r="M113" s="193" t="s">
        <v>258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</row>
    <row r="114" spans="1:25" x14ac:dyDescent="0.2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5" t="s">
        <v>43</v>
      </c>
      <c r="N114" s="136"/>
      <c r="O114" s="136"/>
      <c r="P114" s="136"/>
      <c r="Q114" s="136"/>
      <c r="R114" s="136"/>
      <c r="S114" s="137"/>
      <c r="T114" s="43" t="s">
        <v>42</v>
      </c>
      <c r="U114" s="44">
        <f>IFERROR(U110/H110,"0")+IFERROR(U111/H111,"0")+IFERROR(U112/H112,"0")+IFERROR(U113/H113,"0")</f>
        <v>6.9230769230769234</v>
      </c>
      <c r="V114" s="44">
        <f>IFERROR(V110/H110,"0")+IFERROR(V111/H111,"0")+IFERROR(V112/H112,"0")+IFERROR(V113/H113,"0")</f>
        <v>7</v>
      </c>
      <c r="W114" s="44">
        <f>IFERROR(IF(W110="",0,W110),"0")+IFERROR(IF(W111="",0,W111),"0")+IFERROR(IF(W112="",0,W112),"0")+IFERROR(IF(W113="",0,W113),"0")</f>
        <v>0.15225</v>
      </c>
      <c r="X114" s="68"/>
      <c r="Y114" s="68"/>
    </row>
    <row r="115" spans="1:25" x14ac:dyDescent="0.2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5" t="s">
        <v>43</v>
      </c>
      <c r="N115" s="136"/>
      <c r="O115" s="136"/>
      <c r="P115" s="136"/>
      <c r="Q115" s="136"/>
      <c r="R115" s="136"/>
      <c r="S115" s="137"/>
      <c r="T115" s="43" t="s">
        <v>0</v>
      </c>
      <c r="U115" s="44">
        <f>IFERROR(SUM(U110:U113),"0")</f>
        <v>54</v>
      </c>
      <c r="V115" s="44">
        <f>IFERROR(SUM(V110:V113),"0")</f>
        <v>54.6</v>
      </c>
      <c r="W115" s="43"/>
      <c r="X115" s="68"/>
      <c r="Y115" s="68"/>
    </row>
    <row r="116" spans="1:25" ht="16.5" customHeight="1" x14ac:dyDescent="0.25">
      <c r="A116" s="129" t="s">
        <v>259</v>
      </c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66"/>
      <c r="Y116" s="66"/>
    </row>
    <row r="117" spans="1:25" ht="14.25" customHeight="1" x14ac:dyDescent="0.25">
      <c r="A117" s="130" t="s">
        <v>81</v>
      </c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67"/>
      <c r="Y117" s="67"/>
    </row>
    <row r="118" spans="1:25" ht="27" customHeight="1" x14ac:dyDescent="0.25">
      <c r="A118" s="64" t="s">
        <v>260</v>
      </c>
      <c r="B118" s="64" t="s">
        <v>261</v>
      </c>
      <c r="C118" s="37">
        <v>4301051360</v>
      </c>
      <c r="D118" s="131">
        <v>4607091385168</v>
      </c>
      <c r="E118" s="13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158</v>
      </c>
      <c r="L118" s="38">
        <v>45</v>
      </c>
      <c r="M118" s="194" t="s">
        <v>262</v>
      </c>
      <c r="N118" s="133"/>
      <c r="O118" s="133"/>
      <c r="P118" s="133"/>
      <c r="Q118" s="134"/>
      <c r="R118" s="40" t="s">
        <v>48</v>
      </c>
      <c r="S118" s="40" t="s">
        <v>48</v>
      </c>
      <c r="T118" s="41" t="s">
        <v>0</v>
      </c>
      <c r="U118" s="59">
        <v>300</v>
      </c>
      <c r="V118" s="56">
        <f>IFERROR(IF(U118="",0,CEILING((U118/$H118),1)*$H118),"")</f>
        <v>307.8</v>
      </c>
      <c r="W118" s="42">
        <f>IFERROR(IF(V118=0,"",ROUNDUP(V118/H118,0)*0.02175),"")</f>
        <v>0.8264999999999999</v>
      </c>
      <c r="X118" s="69" t="s">
        <v>48</v>
      </c>
      <c r="Y118" s="70" t="s">
        <v>48</v>
      </c>
    </row>
    <row r="119" spans="1:25" ht="16.5" customHeight="1" x14ac:dyDescent="0.25">
      <c r="A119" s="64" t="s">
        <v>263</v>
      </c>
      <c r="B119" s="64" t="s">
        <v>264</v>
      </c>
      <c r="C119" s="37">
        <v>4301051362</v>
      </c>
      <c r="D119" s="131">
        <v>4607091383256</v>
      </c>
      <c r="E119" s="13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158</v>
      </c>
      <c r="L119" s="38">
        <v>45</v>
      </c>
      <c r="M119" s="195" t="s">
        <v>265</v>
      </c>
      <c r="N119" s="133"/>
      <c r="O119" s="133"/>
      <c r="P119" s="133"/>
      <c r="Q119" s="13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</row>
    <row r="120" spans="1:25" ht="16.5" customHeight="1" x14ac:dyDescent="0.25">
      <c r="A120" s="64" t="s">
        <v>266</v>
      </c>
      <c r="B120" s="64" t="s">
        <v>267</v>
      </c>
      <c r="C120" s="37">
        <v>4301051358</v>
      </c>
      <c r="D120" s="131">
        <v>4607091385748</v>
      </c>
      <c r="E120" s="13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158</v>
      </c>
      <c r="L120" s="38">
        <v>45</v>
      </c>
      <c r="M120" s="196" t="s">
        <v>268</v>
      </c>
      <c r="N120" s="133"/>
      <c r="O120" s="133"/>
      <c r="P120" s="133"/>
      <c r="Q120" s="134"/>
      <c r="R120" s="40" t="s">
        <v>48</v>
      </c>
      <c r="S120" s="40" t="s">
        <v>48</v>
      </c>
      <c r="T120" s="41" t="s">
        <v>0</v>
      </c>
      <c r="U120" s="59">
        <v>43</v>
      </c>
      <c r="V120" s="56">
        <f>IFERROR(IF(U120="",0,CEILING((U120/$H120),1)*$H120),"")</f>
        <v>43.2</v>
      </c>
      <c r="W120" s="42">
        <f>IFERROR(IF(V120=0,"",ROUNDUP(V120/H120,0)*0.00753),"")</f>
        <v>0.12048</v>
      </c>
      <c r="X120" s="69" t="s">
        <v>48</v>
      </c>
      <c r="Y120" s="70" t="s">
        <v>48</v>
      </c>
    </row>
    <row r="121" spans="1:25" ht="16.5" customHeight="1" x14ac:dyDescent="0.25">
      <c r="A121" s="64" t="s">
        <v>269</v>
      </c>
      <c r="B121" s="64" t="s">
        <v>270</v>
      </c>
      <c r="C121" s="37">
        <v>4301051364</v>
      </c>
      <c r="D121" s="131">
        <v>4607091384581</v>
      </c>
      <c r="E121" s="13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158</v>
      </c>
      <c r="L121" s="38">
        <v>45</v>
      </c>
      <c r="M121" s="197" t="s">
        <v>271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</row>
    <row r="122" spans="1:25" x14ac:dyDescent="0.2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5" t="s">
        <v>43</v>
      </c>
      <c r="N122" s="136"/>
      <c r="O122" s="136"/>
      <c r="P122" s="136"/>
      <c r="Q122" s="136"/>
      <c r="R122" s="136"/>
      <c r="S122" s="137"/>
      <c r="T122" s="43" t="s">
        <v>42</v>
      </c>
      <c r="U122" s="44">
        <f>IFERROR(U118/H118,"0")+IFERROR(U119/H119,"0")+IFERROR(U120/H120,"0")+IFERROR(U121/H121,"0")</f>
        <v>52.962962962962962</v>
      </c>
      <c r="V122" s="44">
        <f>IFERROR(V118/H118,"0")+IFERROR(V119/H119,"0")+IFERROR(V120/H120,"0")+IFERROR(V121/H121,"0")</f>
        <v>54</v>
      </c>
      <c r="W122" s="44">
        <f>IFERROR(IF(W118="",0,W118),"0")+IFERROR(IF(W119="",0,W119),"0")+IFERROR(IF(W120="",0,W120),"0")+IFERROR(IF(W121="",0,W121),"0")</f>
        <v>0.94697999999999993</v>
      </c>
      <c r="X122" s="68"/>
      <c r="Y122" s="68"/>
    </row>
    <row r="123" spans="1:25" x14ac:dyDescent="0.2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5" t="s">
        <v>43</v>
      </c>
      <c r="N123" s="136"/>
      <c r="O123" s="136"/>
      <c r="P123" s="136"/>
      <c r="Q123" s="136"/>
      <c r="R123" s="136"/>
      <c r="S123" s="137"/>
      <c r="T123" s="43" t="s">
        <v>0</v>
      </c>
      <c r="U123" s="44">
        <f>IFERROR(SUM(U118:U121),"0")</f>
        <v>343</v>
      </c>
      <c r="V123" s="44">
        <f>IFERROR(SUM(V118:V121),"0")</f>
        <v>351</v>
      </c>
      <c r="W123" s="43"/>
      <c r="X123" s="68"/>
      <c r="Y123" s="68"/>
    </row>
    <row r="124" spans="1:25" ht="27.75" customHeight="1" x14ac:dyDescent="0.2">
      <c r="A124" s="128" t="s">
        <v>272</v>
      </c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55"/>
      <c r="Y124" s="55"/>
    </row>
    <row r="125" spans="1:25" ht="16.5" customHeight="1" x14ac:dyDescent="0.25">
      <c r="A125" s="129" t="s">
        <v>273</v>
      </c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66"/>
      <c r="Y125" s="66"/>
    </row>
    <row r="126" spans="1:25" ht="14.25" customHeight="1" x14ac:dyDescent="0.25">
      <c r="A126" s="130" t="s">
        <v>126</v>
      </c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67"/>
      <c r="Y126" s="67"/>
    </row>
    <row r="127" spans="1:25" ht="27" customHeight="1" x14ac:dyDescent="0.25">
      <c r="A127" s="64" t="s">
        <v>274</v>
      </c>
      <c r="B127" s="64" t="s">
        <v>275</v>
      </c>
      <c r="C127" s="37">
        <v>4301011223</v>
      </c>
      <c r="D127" s="131">
        <v>4607091383423</v>
      </c>
      <c r="E127" s="13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158</v>
      </c>
      <c r="L127" s="38">
        <v>35</v>
      </c>
      <c r="M127" s="198" t="s">
        <v>276</v>
      </c>
      <c r="N127" s="133"/>
      <c r="O127" s="133"/>
      <c r="P127" s="133"/>
      <c r="Q127" s="13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</row>
    <row r="128" spans="1:25" ht="27" customHeight="1" x14ac:dyDescent="0.25">
      <c r="A128" s="64" t="s">
        <v>277</v>
      </c>
      <c r="B128" s="64" t="s">
        <v>278</v>
      </c>
      <c r="C128" s="37">
        <v>4301011338</v>
      </c>
      <c r="D128" s="131">
        <v>4607091381405</v>
      </c>
      <c r="E128" s="13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80</v>
      </c>
      <c r="L128" s="38">
        <v>35</v>
      </c>
      <c r="M128" s="199" t="s">
        <v>279</v>
      </c>
      <c r="N128" s="133"/>
      <c r="O128" s="133"/>
      <c r="P128" s="133"/>
      <c r="Q128" s="13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</row>
    <row r="129" spans="1:25" ht="27" customHeight="1" x14ac:dyDescent="0.25">
      <c r="A129" s="64" t="s">
        <v>280</v>
      </c>
      <c r="B129" s="64" t="s">
        <v>281</v>
      </c>
      <c r="C129" s="37">
        <v>4301011333</v>
      </c>
      <c r="D129" s="131">
        <v>4607091386516</v>
      </c>
      <c r="E129" s="13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80</v>
      </c>
      <c r="L129" s="38">
        <v>30</v>
      </c>
      <c r="M129" s="200" t="s">
        <v>282</v>
      </c>
      <c r="N129" s="133"/>
      <c r="O129" s="133"/>
      <c r="P129" s="133"/>
      <c r="Q129" s="13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</row>
    <row r="130" spans="1:25" x14ac:dyDescent="0.2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5" t="s">
        <v>43</v>
      </c>
      <c r="N130" s="136"/>
      <c r="O130" s="136"/>
      <c r="P130" s="136"/>
      <c r="Q130" s="136"/>
      <c r="R130" s="136"/>
      <c r="S130" s="13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25" x14ac:dyDescent="0.2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5" t="s">
        <v>43</v>
      </c>
      <c r="N131" s="136"/>
      <c r="O131" s="136"/>
      <c r="P131" s="136"/>
      <c r="Q131" s="136"/>
      <c r="R131" s="136"/>
      <c r="S131" s="13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25" ht="16.5" customHeight="1" x14ac:dyDescent="0.25">
      <c r="A132" s="129" t="s">
        <v>283</v>
      </c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66"/>
      <c r="Y132" s="66"/>
    </row>
    <row r="133" spans="1:25" ht="14.25" customHeight="1" x14ac:dyDescent="0.25">
      <c r="A133" s="130" t="s">
        <v>126</v>
      </c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67"/>
      <c r="Y133" s="67"/>
    </row>
    <row r="134" spans="1:25" ht="16.5" customHeight="1" x14ac:dyDescent="0.25">
      <c r="A134" s="64" t="s">
        <v>285</v>
      </c>
      <c r="B134" s="64" t="s">
        <v>286</v>
      </c>
      <c r="C134" s="37">
        <v>4301011450</v>
      </c>
      <c r="D134" s="131">
        <v>4680115881402</v>
      </c>
      <c r="E134" s="131"/>
      <c r="F134" s="63">
        <v>1.35</v>
      </c>
      <c r="G134" s="38">
        <v>8</v>
      </c>
      <c r="H134" s="63">
        <v>10.8</v>
      </c>
      <c r="I134" s="63">
        <v>11.28</v>
      </c>
      <c r="J134" s="38">
        <v>56</v>
      </c>
      <c r="K134" s="39" t="s">
        <v>124</v>
      </c>
      <c r="L134" s="38">
        <v>55</v>
      </c>
      <c r="M134" s="201" t="s">
        <v>287</v>
      </c>
      <c r="N134" s="133"/>
      <c r="O134" s="133"/>
      <c r="P134" s="133"/>
      <c r="Q134" s="134"/>
      <c r="R134" s="40" t="s">
        <v>284</v>
      </c>
      <c r="S134" s="40" t="s">
        <v>48</v>
      </c>
      <c r="T134" s="41" t="s">
        <v>0</v>
      </c>
      <c r="U134" s="59">
        <v>0</v>
      </c>
      <c r="V134" s="56">
        <f t="shared" ref="V134:V147" si="6"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288</v>
      </c>
    </row>
    <row r="135" spans="1:25" ht="27" customHeight="1" x14ac:dyDescent="0.25">
      <c r="A135" s="64" t="s">
        <v>289</v>
      </c>
      <c r="B135" s="64" t="s">
        <v>290</v>
      </c>
      <c r="C135" s="37">
        <v>4301011346</v>
      </c>
      <c r="D135" s="131">
        <v>4607091387445</v>
      </c>
      <c r="E135" s="131"/>
      <c r="F135" s="63">
        <v>0.9</v>
      </c>
      <c r="G135" s="38">
        <v>10</v>
      </c>
      <c r="H135" s="63">
        <v>9</v>
      </c>
      <c r="I135" s="63">
        <v>9.6300000000000008</v>
      </c>
      <c r="J135" s="38">
        <v>56</v>
      </c>
      <c r="K135" s="39" t="s">
        <v>124</v>
      </c>
      <c r="L135" s="38">
        <v>31</v>
      </c>
      <c r="M135" s="202" t="s">
        <v>291</v>
      </c>
      <c r="N135" s="133"/>
      <c r="O135" s="133"/>
      <c r="P135" s="133"/>
      <c r="Q135" s="13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6"/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</row>
    <row r="136" spans="1:25" ht="27" customHeight="1" x14ac:dyDescent="0.25">
      <c r="A136" s="64" t="s">
        <v>292</v>
      </c>
      <c r="B136" s="64" t="s">
        <v>293</v>
      </c>
      <c r="C136" s="37">
        <v>4301011362</v>
      </c>
      <c r="D136" s="131">
        <v>4607091386004</v>
      </c>
      <c r="E136" s="131"/>
      <c r="F136" s="63">
        <v>1.35</v>
      </c>
      <c r="G136" s="38">
        <v>8</v>
      </c>
      <c r="H136" s="63">
        <v>10.8</v>
      </c>
      <c r="I136" s="63">
        <v>11.28</v>
      </c>
      <c r="J136" s="38">
        <v>48</v>
      </c>
      <c r="K136" s="39" t="s">
        <v>295</v>
      </c>
      <c r="L136" s="38">
        <v>55</v>
      </c>
      <c r="M136" s="203" t="s">
        <v>294</v>
      </c>
      <c r="N136" s="133"/>
      <c r="O136" s="133"/>
      <c r="P136" s="133"/>
      <c r="Q136" s="134"/>
      <c r="R136" s="40" t="s">
        <v>48</v>
      </c>
      <c r="S136" s="40" t="s">
        <v>48</v>
      </c>
      <c r="T136" s="41" t="s">
        <v>0</v>
      </c>
      <c r="U136" s="59">
        <v>600</v>
      </c>
      <c r="V136" s="56">
        <f t="shared" si="6"/>
        <v>604.80000000000007</v>
      </c>
      <c r="W136" s="42">
        <f>IFERROR(IF(V136=0,"",ROUNDUP(V136/H136,0)*0.02039),"")</f>
        <v>1.14184</v>
      </c>
      <c r="X136" s="69" t="s">
        <v>48</v>
      </c>
      <c r="Y136" s="70" t="s">
        <v>48</v>
      </c>
    </row>
    <row r="137" spans="1:25" ht="27" customHeight="1" x14ac:dyDescent="0.25">
      <c r="A137" s="64" t="s">
        <v>292</v>
      </c>
      <c r="B137" s="64" t="s">
        <v>296</v>
      </c>
      <c r="C137" s="37">
        <v>4301011308</v>
      </c>
      <c r="D137" s="131">
        <v>4607091386004</v>
      </c>
      <c r="E137" s="13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124</v>
      </c>
      <c r="L137" s="38">
        <v>55</v>
      </c>
      <c r="M137" s="204" t="s">
        <v>294</v>
      </c>
      <c r="N137" s="133"/>
      <c r="O137" s="133"/>
      <c r="P137" s="133"/>
      <c r="Q137" s="13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6"/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</row>
    <row r="138" spans="1:25" ht="27" customHeight="1" x14ac:dyDescent="0.25">
      <c r="A138" s="64" t="s">
        <v>297</v>
      </c>
      <c r="B138" s="64" t="s">
        <v>298</v>
      </c>
      <c r="C138" s="37">
        <v>4301011347</v>
      </c>
      <c r="D138" s="131">
        <v>4607091386073</v>
      </c>
      <c r="E138" s="13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124</v>
      </c>
      <c r="L138" s="38">
        <v>31</v>
      </c>
      <c r="M138" s="205" t="s">
        <v>299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6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300</v>
      </c>
      <c r="B139" s="64" t="s">
        <v>301</v>
      </c>
      <c r="C139" s="37">
        <v>4301010928</v>
      </c>
      <c r="D139" s="131">
        <v>4607091387322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56</v>
      </c>
      <c r="K139" s="39" t="s">
        <v>124</v>
      </c>
      <c r="L139" s="38">
        <v>55</v>
      </c>
      <c r="M139" s="206" t="s">
        <v>302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6"/>
        <v>0</v>
      </c>
      <c r="W139" s="42" t="str">
        <f>IFERROR(IF(V139=0,"",ROUNDUP(V139/H139,0)*0.02175),"")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300</v>
      </c>
      <c r="B140" s="64" t="s">
        <v>303</v>
      </c>
      <c r="C140" s="37">
        <v>4301011395</v>
      </c>
      <c r="D140" s="131">
        <v>4607091387322</v>
      </c>
      <c r="E140" s="131"/>
      <c r="F140" s="63">
        <v>1.35</v>
      </c>
      <c r="G140" s="38">
        <v>8</v>
      </c>
      <c r="H140" s="63">
        <v>10.8</v>
      </c>
      <c r="I140" s="63">
        <v>11.28</v>
      </c>
      <c r="J140" s="38">
        <v>48</v>
      </c>
      <c r="K140" s="39" t="s">
        <v>295</v>
      </c>
      <c r="L140" s="38">
        <v>55</v>
      </c>
      <c r="M140" s="207" t="s">
        <v>302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6"/>
        <v>0</v>
      </c>
      <c r="W140" s="42" t="str">
        <f>IFERROR(IF(V140=0,"",ROUNDUP(V140/H140,0)*0.02039),"")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4301011311</v>
      </c>
      <c r="D141" s="131">
        <v>4607091387377</v>
      </c>
      <c r="E141" s="131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124</v>
      </c>
      <c r="L141" s="38">
        <v>55</v>
      </c>
      <c r="M141" s="208" t="s">
        <v>306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100</v>
      </c>
      <c r="V141" s="56">
        <f t="shared" si="6"/>
        <v>108</v>
      </c>
      <c r="W141" s="42">
        <f>IFERROR(IF(V141=0,"",ROUNDUP(V141/H141,0)*0.02175),"")</f>
        <v>0.21749999999999997</v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4301010945</v>
      </c>
      <c r="D142" s="131">
        <v>4607091387353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124</v>
      </c>
      <c r="L142" s="38">
        <v>55</v>
      </c>
      <c r="M142" s="209" t="s">
        <v>309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100</v>
      </c>
      <c r="V142" s="56">
        <f t="shared" si="6"/>
        <v>108</v>
      </c>
      <c r="W142" s="42">
        <f>IFERROR(IF(V142=0,"",ROUNDUP(V142/H142,0)*0.02175),"")</f>
        <v>0.21749999999999997</v>
      </c>
      <c r="X142" s="69" t="s">
        <v>48</v>
      </c>
      <c r="Y142" s="70" t="s">
        <v>48</v>
      </c>
    </row>
    <row r="143" spans="1:25" ht="27" customHeight="1" x14ac:dyDescent="0.25">
      <c r="A143" s="64" t="s">
        <v>310</v>
      </c>
      <c r="B143" s="64" t="s">
        <v>311</v>
      </c>
      <c r="C143" s="37">
        <v>4301011328</v>
      </c>
      <c r="D143" s="131">
        <v>4607091386011</v>
      </c>
      <c r="E143" s="131"/>
      <c r="F143" s="63">
        <v>0.5</v>
      </c>
      <c r="G143" s="38">
        <v>10</v>
      </c>
      <c r="H143" s="63">
        <v>5</v>
      </c>
      <c r="I143" s="63">
        <v>5.21</v>
      </c>
      <c r="J143" s="38">
        <v>120</v>
      </c>
      <c r="K143" s="39" t="s">
        <v>80</v>
      </c>
      <c r="L143" s="38">
        <v>55</v>
      </c>
      <c r="M143" s="210" t="s">
        <v>312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600</v>
      </c>
      <c r="V143" s="56">
        <f t="shared" si="6"/>
        <v>600</v>
      </c>
      <c r="W143" s="42">
        <f>IFERROR(IF(V143=0,"",ROUNDUP(V143/H143,0)*0.00937),"")</f>
        <v>1.1244000000000001</v>
      </c>
      <c r="X143" s="69" t="s">
        <v>48</v>
      </c>
      <c r="Y143" s="70" t="s">
        <v>48</v>
      </c>
    </row>
    <row r="144" spans="1:25" ht="27" customHeight="1" x14ac:dyDescent="0.25">
      <c r="A144" s="64" t="s">
        <v>313</v>
      </c>
      <c r="B144" s="64" t="s">
        <v>314</v>
      </c>
      <c r="C144" s="37">
        <v>4301011329</v>
      </c>
      <c r="D144" s="131">
        <v>4607091387308</v>
      </c>
      <c r="E144" s="131"/>
      <c r="F144" s="63">
        <v>0.5</v>
      </c>
      <c r="G144" s="38">
        <v>10</v>
      </c>
      <c r="H144" s="63">
        <v>5</v>
      </c>
      <c r="I144" s="63">
        <v>5.21</v>
      </c>
      <c r="J144" s="38">
        <v>120</v>
      </c>
      <c r="K144" s="39" t="s">
        <v>80</v>
      </c>
      <c r="L144" s="38">
        <v>55</v>
      </c>
      <c r="M144" s="211" t="s">
        <v>315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6"/>
        <v>0</v>
      </c>
      <c r="W144" s="42" t="str">
        <f>IFERROR(IF(V144=0,"",ROUNDUP(V144/H144,0)*0.00937),"")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316</v>
      </c>
      <c r="B145" s="64" t="s">
        <v>317</v>
      </c>
      <c r="C145" s="37">
        <v>4301011049</v>
      </c>
      <c r="D145" s="131">
        <v>4607091387339</v>
      </c>
      <c r="E145" s="131"/>
      <c r="F145" s="63">
        <v>0.5</v>
      </c>
      <c r="G145" s="38">
        <v>10</v>
      </c>
      <c r="H145" s="63">
        <v>5</v>
      </c>
      <c r="I145" s="63">
        <v>5.24</v>
      </c>
      <c r="J145" s="38">
        <v>120</v>
      </c>
      <c r="K145" s="39" t="s">
        <v>124</v>
      </c>
      <c r="L145" s="38">
        <v>55</v>
      </c>
      <c r="M145" s="212" t="s">
        <v>318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6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319</v>
      </c>
      <c r="B146" s="64" t="s">
        <v>320</v>
      </c>
      <c r="C146" s="37">
        <v>4301011454</v>
      </c>
      <c r="D146" s="131">
        <v>4680115881396</v>
      </c>
      <c r="E146" s="131"/>
      <c r="F146" s="63">
        <v>0.45</v>
      </c>
      <c r="G146" s="38">
        <v>6</v>
      </c>
      <c r="H146" s="63">
        <v>2.7</v>
      </c>
      <c r="I146" s="63">
        <v>2.9</v>
      </c>
      <c r="J146" s="38">
        <v>156</v>
      </c>
      <c r="K146" s="39" t="s">
        <v>80</v>
      </c>
      <c r="L146" s="38">
        <v>55</v>
      </c>
      <c r="M146" s="213" t="s">
        <v>321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6"/>
        <v>0</v>
      </c>
      <c r="W146" s="42" t="str">
        <f>IFERROR(IF(V146=0,"",ROUNDUP(V146/H146,0)*0.00753),"")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322</v>
      </c>
      <c r="B147" s="64" t="s">
        <v>323</v>
      </c>
      <c r="C147" s="37">
        <v>4301010944</v>
      </c>
      <c r="D147" s="131">
        <v>4607091387346</v>
      </c>
      <c r="E147" s="131"/>
      <c r="F147" s="63">
        <v>0.4</v>
      </c>
      <c r="G147" s="38">
        <v>10</v>
      </c>
      <c r="H147" s="63">
        <v>4</v>
      </c>
      <c r="I147" s="63">
        <v>4.24</v>
      </c>
      <c r="J147" s="38">
        <v>120</v>
      </c>
      <c r="K147" s="39" t="s">
        <v>124</v>
      </c>
      <c r="L147" s="38">
        <v>55</v>
      </c>
      <c r="M147" s="214" t="s">
        <v>324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6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x14ac:dyDescent="0.2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5" t="s">
        <v>43</v>
      </c>
      <c r="N148" s="136"/>
      <c r="O148" s="136"/>
      <c r="P148" s="136"/>
      <c r="Q148" s="136"/>
      <c r="R148" s="136"/>
      <c r="S148" s="137"/>
      <c r="T148" s="43" t="s">
        <v>42</v>
      </c>
      <c r="U148" s="44">
        <f>IFERROR(U134/H134,"0")+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</f>
        <v>194.07407407407408</v>
      </c>
      <c r="V148" s="44">
        <f>IFERROR(V134/H134,"0")+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</f>
        <v>196</v>
      </c>
      <c r="W148" s="44">
        <f>IFERROR(IF(W134="",0,W134),"0")+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</f>
        <v>2.7012400000000003</v>
      </c>
      <c r="X148" s="68"/>
      <c r="Y148" s="68"/>
    </row>
    <row r="149" spans="1:25" x14ac:dyDescent="0.2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5" t="s">
        <v>43</v>
      </c>
      <c r="N149" s="136"/>
      <c r="O149" s="136"/>
      <c r="P149" s="136"/>
      <c r="Q149" s="136"/>
      <c r="R149" s="136"/>
      <c r="S149" s="137"/>
      <c r="T149" s="43" t="s">
        <v>0</v>
      </c>
      <c r="U149" s="44">
        <f>IFERROR(SUM(U134:U147),"0")</f>
        <v>1400</v>
      </c>
      <c r="V149" s="44">
        <f>IFERROR(SUM(V134:V147),"0")</f>
        <v>1420.8000000000002</v>
      </c>
      <c r="W149" s="43"/>
      <c r="X149" s="68"/>
      <c r="Y149" s="68"/>
    </row>
    <row r="150" spans="1:25" ht="14.25" customHeight="1" x14ac:dyDescent="0.25">
      <c r="A150" s="130" t="s">
        <v>120</v>
      </c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67"/>
      <c r="Y150" s="67"/>
    </row>
    <row r="151" spans="1:25" ht="16.5" customHeight="1" x14ac:dyDescent="0.25">
      <c r="A151" s="64" t="s">
        <v>325</v>
      </c>
      <c r="B151" s="64" t="s">
        <v>326</v>
      </c>
      <c r="C151" s="37">
        <v>4301020220</v>
      </c>
      <c r="D151" s="131">
        <v>4680115880764</v>
      </c>
      <c r="E151" s="131"/>
      <c r="F151" s="63">
        <v>0.35</v>
      </c>
      <c r="G151" s="38">
        <v>6</v>
      </c>
      <c r="H151" s="63">
        <v>2.1</v>
      </c>
      <c r="I151" s="63">
        <v>2.2999999999999998</v>
      </c>
      <c r="J151" s="38">
        <v>156</v>
      </c>
      <c r="K151" s="39" t="s">
        <v>124</v>
      </c>
      <c r="L151" s="38">
        <v>50</v>
      </c>
      <c r="M151" s="215" t="s">
        <v>327</v>
      </c>
      <c r="N151" s="133"/>
      <c r="O151" s="133"/>
      <c r="P151" s="133"/>
      <c r="Q151" s="13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42</v>
      </c>
      <c r="U152" s="44">
        <f>IFERROR(U151/H151,"0")</f>
        <v>0</v>
      </c>
      <c r="V152" s="44">
        <f>IFERROR(V151/H151,"0")</f>
        <v>0</v>
      </c>
      <c r="W152" s="44">
        <f>IFERROR(IF(W151="",0,W151),"0")</f>
        <v>0</v>
      </c>
      <c r="X152" s="68"/>
      <c r="Y152" s="68"/>
    </row>
    <row r="153" spans="1:25" x14ac:dyDescent="0.2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5" t="s">
        <v>43</v>
      </c>
      <c r="N153" s="136"/>
      <c r="O153" s="136"/>
      <c r="P153" s="136"/>
      <c r="Q153" s="136"/>
      <c r="R153" s="136"/>
      <c r="S153" s="137"/>
      <c r="T153" s="43" t="s">
        <v>0</v>
      </c>
      <c r="U153" s="44">
        <f>IFERROR(SUM(U151:U151),"0")</f>
        <v>0</v>
      </c>
      <c r="V153" s="44">
        <f>IFERROR(SUM(V151:V151),"0")</f>
        <v>0</v>
      </c>
      <c r="W153" s="43"/>
      <c r="X153" s="68"/>
      <c r="Y153" s="68"/>
    </row>
    <row r="154" spans="1:25" ht="14.25" customHeight="1" x14ac:dyDescent="0.25">
      <c r="A154" s="130" t="s">
        <v>76</v>
      </c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67"/>
      <c r="Y154" s="67"/>
    </row>
    <row r="155" spans="1:25" ht="27" customHeight="1" x14ac:dyDescent="0.25">
      <c r="A155" s="64" t="s">
        <v>328</v>
      </c>
      <c r="B155" s="64" t="s">
        <v>329</v>
      </c>
      <c r="C155" s="37">
        <v>4301031224</v>
      </c>
      <c r="D155" s="131">
        <v>4680115882683</v>
      </c>
      <c r="E155" s="131"/>
      <c r="F155" s="63">
        <v>0.9</v>
      </c>
      <c r="G155" s="38">
        <v>6</v>
      </c>
      <c r="H155" s="63">
        <v>5.4</v>
      </c>
      <c r="I155" s="63">
        <v>5.88</v>
      </c>
      <c r="J155" s="38">
        <v>56</v>
      </c>
      <c r="K155" s="39" t="s">
        <v>80</v>
      </c>
      <c r="L155" s="38">
        <v>40</v>
      </c>
      <c r="M155" s="216" t="s">
        <v>330</v>
      </c>
      <c r="N155" s="133"/>
      <c r="O155" s="133"/>
      <c r="P155" s="133"/>
      <c r="Q155" s="134"/>
      <c r="R155" s="40" t="s">
        <v>48</v>
      </c>
      <c r="S155" s="40" t="s">
        <v>48</v>
      </c>
      <c r="T155" s="41" t="s">
        <v>0</v>
      </c>
      <c r="U155" s="59">
        <v>0</v>
      </c>
      <c r="V155" s="56">
        <f t="shared" ref="V155:V170" si="7"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288</v>
      </c>
    </row>
    <row r="156" spans="1:25" ht="27" customHeight="1" x14ac:dyDescent="0.25">
      <c r="A156" s="64" t="s">
        <v>331</v>
      </c>
      <c r="B156" s="64" t="s">
        <v>332</v>
      </c>
      <c r="C156" s="37">
        <v>4301031230</v>
      </c>
      <c r="D156" s="131">
        <v>4680115882690</v>
      </c>
      <c r="E156" s="131"/>
      <c r="F156" s="63">
        <v>0.9</v>
      </c>
      <c r="G156" s="38">
        <v>6</v>
      </c>
      <c r="H156" s="63">
        <v>5.4</v>
      </c>
      <c r="I156" s="63">
        <v>5.88</v>
      </c>
      <c r="J156" s="38">
        <v>56</v>
      </c>
      <c r="K156" s="39" t="s">
        <v>80</v>
      </c>
      <c r="L156" s="38">
        <v>40</v>
      </c>
      <c r="M156" s="217" t="s">
        <v>333</v>
      </c>
      <c r="N156" s="133"/>
      <c r="O156" s="133"/>
      <c r="P156" s="133"/>
      <c r="Q156" s="134"/>
      <c r="R156" s="40" t="s">
        <v>48</v>
      </c>
      <c r="S156" s="40" t="s">
        <v>48</v>
      </c>
      <c r="T156" s="41" t="s">
        <v>0</v>
      </c>
      <c r="U156" s="59">
        <v>0</v>
      </c>
      <c r="V156" s="56">
        <f t="shared" si="7"/>
        <v>0</v>
      </c>
      <c r="W156" s="42" t="str">
        <f>IFERROR(IF(V156=0,"",ROUNDUP(V156/H156,0)*0.02175),"")</f>
        <v/>
      </c>
      <c r="X156" s="69" t="s">
        <v>48</v>
      </c>
      <c r="Y156" s="70" t="s">
        <v>288</v>
      </c>
    </row>
    <row r="157" spans="1:25" ht="27" customHeight="1" x14ac:dyDescent="0.25">
      <c r="A157" s="64" t="s">
        <v>334</v>
      </c>
      <c r="B157" s="64" t="s">
        <v>335</v>
      </c>
      <c r="C157" s="37">
        <v>4301031220</v>
      </c>
      <c r="D157" s="131">
        <v>4680115882669</v>
      </c>
      <c r="E157" s="131"/>
      <c r="F157" s="63">
        <v>0.9</v>
      </c>
      <c r="G157" s="38">
        <v>6</v>
      </c>
      <c r="H157" s="63">
        <v>5.4</v>
      </c>
      <c r="I157" s="63">
        <v>5.88</v>
      </c>
      <c r="J157" s="38">
        <v>56</v>
      </c>
      <c r="K157" s="39" t="s">
        <v>80</v>
      </c>
      <c r="L157" s="38">
        <v>40</v>
      </c>
      <c r="M157" s="218" t="s">
        <v>336</v>
      </c>
      <c r="N157" s="133"/>
      <c r="O157" s="133"/>
      <c r="P157" s="133"/>
      <c r="Q157" s="134"/>
      <c r="R157" s="40" t="s">
        <v>48</v>
      </c>
      <c r="S157" s="40" t="s">
        <v>48</v>
      </c>
      <c r="T157" s="41" t="s">
        <v>0</v>
      </c>
      <c r="U157" s="59">
        <v>0</v>
      </c>
      <c r="V157" s="56">
        <f t="shared" si="7"/>
        <v>0</v>
      </c>
      <c r="W157" s="42" t="str">
        <f>IFERROR(IF(V157=0,"",ROUNDUP(V157/H157,0)*0.02175),"")</f>
        <v/>
      </c>
      <c r="X157" s="69" t="s">
        <v>48</v>
      </c>
      <c r="Y157" s="70" t="s">
        <v>288</v>
      </c>
    </row>
    <row r="158" spans="1:25" ht="27" customHeight="1" x14ac:dyDescent="0.25">
      <c r="A158" s="64" t="s">
        <v>337</v>
      </c>
      <c r="B158" s="64" t="s">
        <v>338</v>
      </c>
      <c r="C158" s="37">
        <v>4301031221</v>
      </c>
      <c r="D158" s="131">
        <v>4680115882676</v>
      </c>
      <c r="E158" s="131"/>
      <c r="F158" s="63">
        <v>0.9</v>
      </c>
      <c r="G158" s="38">
        <v>6</v>
      </c>
      <c r="H158" s="63">
        <v>5.4</v>
      </c>
      <c r="I158" s="63">
        <v>5.88</v>
      </c>
      <c r="J158" s="38">
        <v>56</v>
      </c>
      <c r="K158" s="39" t="s">
        <v>80</v>
      </c>
      <c r="L158" s="38">
        <v>40</v>
      </c>
      <c r="M158" s="219" t="s">
        <v>339</v>
      </c>
      <c r="N158" s="133"/>
      <c r="O158" s="133"/>
      <c r="P158" s="133"/>
      <c r="Q158" s="134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si="7"/>
        <v>0</v>
      </c>
      <c r="W158" s="42" t="str">
        <f>IFERROR(IF(V158=0,"",ROUNDUP(V158/H158,0)*0.02175),"")</f>
        <v/>
      </c>
      <c r="X158" s="69" t="s">
        <v>48</v>
      </c>
      <c r="Y158" s="70" t="s">
        <v>288</v>
      </c>
    </row>
    <row r="159" spans="1:25" ht="27" customHeight="1" x14ac:dyDescent="0.25">
      <c r="A159" s="64" t="s">
        <v>340</v>
      </c>
      <c r="B159" s="64" t="s">
        <v>341</v>
      </c>
      <c r="C159" s="37">
        <v>4301030878</v>
      </c>
      <c r="D159" s="131">
        <v>4607091387193</v>
      </c>
      <c r="E159" s="131"/>
      <c r="F159" s="63">
        <v>0.7</v>
      </c>
      <c r="G159" s="38">
        <v>6</v>
      </c>
      <c r="H159" s="63">
        <v>4.2</v>
      </c>
      <c r="I159" s="63">
        <v>4.46</v>
      </c>
      <c r="J159" s="38">
        <v>156</v>
      </c>
      <c r="K159" s="39" t="s">
        <v>80</v>
      </c>
      <c r="L159" s="38">
        <v>35</v>
      </c>
      <c r="M159" s="220" t="s">
        <v>342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250</v>
      </c>
      <c r="V159" s="56">
        <f t="shared" si="7"/>
        <v>252</v>
      </c>
      <c r="W159" s="42">
        <f>IFERROR(IF(V159=0,"",ROUNDUP(V159/H159,0)*0.00753),"")</f>
        <v>0.45180000000000003</v>
      </c>
      <c r="X159" s="69" t="s">
        <v>48</v>
      </c>
      <c r="Y159" s="70" t="s">
        <v>48</v>
      </c>
    </row>
    <row r="160" spans="1:25" ht="27" customHeight="1" x14ac:dyDescent="0.25">
      <c r="A160" s="64" t="s">
        <v>343</v>
      </c>
      <c r="B160" s="64" t="s">
        <v>344</v>
      </c>
      <c r="C160" s="37">
        <v>4301031153</v>
      </c>
      <c r="D160" s="131">
        <v>4607091387230</v>
      </c>
      <c r="E160" s="131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80</v>
      </c>
      <c r="L160" s="38">
        <v>40</v>
      </c>
      <c r="M160" s="221" t="s">
        <v>345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263</v>
      </c>
      <c r="V160" s="56">
        <f t="shared" si="7"/>
        <v>264.60000000000002</v>
      </c>
      <c r="W160" s="42">
        <f>IFERROR(IF(V160=0,"",ROUNDUP(V160/H160,0)*0.00753),"")</f>
        <v>0.47439000000000003</v>
      </c>
      <c r="X160" s="69" t="s">
        <v>48</v>
      </c>
      <c r="Y160" s="70" t="s">
        <v>48</v>
      </c>
    </row>
    <row r="161" spans="1:25" ht="27" customHeight="1" x14ac:dyDescent="0.25">
      <c r="A161" s="64" t="s">
        <v>346</v>
      </c>
      <c r="B161" s="64" t="s">
        <v>347</v>
      </c>
      <c r="C161" s="37">
        <v>4301031191</v>
      </c>
      <c r="D161" s="131">
        <v>4680115880993</v>
      </c>
      <c r="E161" s="131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80</v>
      </c>
      <c r="L161" s="38">
        <v>40</v>
      </c>
      <c r="M161" s="222" t="s">
        <v>348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7"/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</row>
    <row r="162" spans="1:25" ht="27" customHeight="1" x14ac:dyDescent="0.25">
      <c r="A162" s="64" t="s">
        <v>349</v>
      </c>
      <c r="B162" s="64" t="s">
        <v>350</v>
      </c>
      <c r="C162" s="37">
        <v>4301031204</v>
      </c>
      <c r="D162" s="131">
        <v>4680115881761</v>
      </c>
      <c r="E162" s="131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80</v>
      </c>
      <c r="L162" s="38">
        <v>40</v>
      </c>
      <c r="M162" s="223" t="s">
        <v>351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7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</row>
    <row r="163" spans="1:25" ht="27" customHeight="1" x14ac:dyDescent="0.25">
      <c r="A163" s="64" t="s">
        <v>352</v>
      </c>
      <c r="B163" s="64" t="s">
        <v>353</v>
      </c>
      <c r="C163" s="37">
        <v>4301031201</v>
      </c>
      <c r="D163" s="131">
        <v>4680115881563</v>
      </c>
      <c r="E163" s="131"/>
      <c r="F163" s="63">
        <v>0.7</v>
      </c>
      <c r="G163" s="38">
        <v>6</v>
      </c>
      <c r="H163" s="63">
        <v>4.2</v>
      </c>
      <c r="I163" s="63">
        <v>4.4000000000000004</v>
      </c>
      <c r="J163" s="38">
        <v>156</v>
      </c>
      <c r="K163" s="39" t="s">
        <v>80</v>
      </c>
      <c r="L163" s="38">
        <v>40</v>
      </c>
      <c r="M163" s="224" t="s">
        <v>354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7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355</v>
      </c>
      <c r="B164" s="64" t="s">
        <v>356</v>
      </c>
      <c r="C164" s="37">
        <v>4301031152</v>
      </c>
      <c r="D164" s="131">
        <v>4607091387285</v>
      </c>
      <c r="E164" s="131"/>
      <c r="F164" s="63">
        <v>0.35</v>
      </c>
      <c r="G164" s="38">
        <v>6</v>
      </c>
      <c r="H164" s="63">
        <v>2.1</v>
      </c>
      <c r="I164" s="63">
        <v>2.23</v>
      </c>
      <c r="J164" s="38">
        <v>234</v>
      </c>
      <c r="K164" s="39" t="s">
        <v>80</v>
      </c>
      <c r="L164" s="38">
        <v>40</v>
      </c>
      <c r="M164" s="225" t="s">
        <v>357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7"/>
        <v>0</v>
      </c>
      <c r="W164" s="42" t="str">
        <f>IFERROR(IF(V164=0,"",ROUNDUP(V164/H164,0)*0.00502),"")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358</v>
      </c>
      <c r="B165" s="64" t="s">
        <v>359</v>
      </c>
      <c r="C165" s="37">
        <v>4301031199</v>
      </c>
      <c r="D165" s="131">
        <v>4680115880986</v>
      </c>
      <c r="E165" s="131"/>
      <c r="F165" s="63">
        <v>0.35</v>
      </c>
      <c r="G165" s="38">
        <v>6</v>
      </c>
      <c r="H165" s="63">
        <v>2.1</v>
      </c>
      <c r="I165" s="63">
        <v>2.23</v>
      </c>
      <c r="J165" s="38">
        <v>234</v>
      </c>
      <c r="K165" s="39" t="s">
        <v>80</v>
      </c>
      <c r="L165" s="38">
        <v>40</v>
      </c>
      <c r="M165" s="226" t="s">
        <v>360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21</v>
      </c>
      <c r="V165" s="56">
        <f t="shared" si="7"/>
        <v>21</v>
      </c>
      <c r="W165" s="42">
        <f>IFERROR(IF(V165=0,"",ROUNDUP(V165/H165,0)*0.00502),"")</f>
        <v>5.0200000000000002E-2</v>
      </c>
      <c r="X165" s="69" t="s">
        <v>48</v>
      </c>
      <c r="Y165" s="70" t="s">
        <v>48</v>
      </c>
    </row>
    <row r="166" spans="1:25" ht="27" customHeight="1" x14ac:dyDescent="0.25">
      <c r="A166" s="64" t="s">
        <v>361</v>
      </c>
      <c r="B166" s="64" t="s">
        <v>362</v>
      </c>
      <c r="C166" s="37">
        <v>4301031190</v>
      </c>
      <c r="D166" s="131">
        <v>4680115880207</v>
      </c>
      <c r="E166" s="131"/>
      <c r="F166" s="63">
        <v>0.4</v>
      </c>
      <c r="G166" s="38">
        <v>6</v>
      </c>
      <c r="H166" s="63">
        <v>2.4</v>
      </c>
      <c r="I166" s="63">
        <v>2.63</v>
      </c>
      <c r="J166" s="38">
        <v>156</v>
      </c>
      <c r="K166" s="39" t="s">
        <v>80</v>
      </c>
      <c r="L166" s="38">
        <v>40</v>
      </c>
      <c r="M166" s="227" t="s">
        <v>363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7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364</v>
      </c>
      <c r="B167" s="64" t="s">
        <v>365</v>
      </c>
      <c r="C167" s="37">
        <v>4301031205</v>
      </c>
      <c r="D167" s="131">
        <v>4680115881785</v>
      </c>
      <c r="E167" s="131"/>
      <c r="F167" s="63">
        <v>0.35</v>
      </c>
      <c r="G167" s="38">
        <v>6</v>
      </c>
      <c r="H167" s="63">
        <v>2.1</v>
      </c>
      <c r="I167" s="63">
        <v>2.23</v>
      </c>
      <c r="J167" s="38">
        <v>234</v>
      </c>
      <c r="K167" s="39" t="s">
        <v>80</v>
      </c>
      <c r="L167" s="38">
        <v>40</v>
      </c>
      <c r="M167" s="228" t="s">
        <v>366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14</v>
      </c>
      <c r="V167" s="56">
        <f t="shared" si="7"/>
        <v>14.700000000000001</v>
      </c>
      <c r="W167" s="42">
        <f>IFERROR(IF(V167=0,"",ROUNDUP(V167/H167,0)*0.00502),"")</f>
        <v>3.5140000000000005E-2</v>
      </c>
      <c r="X167" s="69" t="s">
        <v>48</v>
      </c>
      <c r="Y167" s="70" t="s">
        <v>48</v>
      </c>
    </row>
    <row r="168" spans="1:25" ht="27" customHeight="1" x14ac:dyDescent="0.25">
      <c r="A168" s="64" t="s">
        <v>367</v>
      </c>
      <c r="B168" s="64" t="s">
        <v>368</v>
      </c>
      <c r="C168" s="37">
        <v>4301031202</v>
      </c>
      <c r="D168" s="131">
        <v>4680115881679</v>
      </c>
      <c r="E168" s="131"/>
      <c r="F168" s="63">
        <v>0.35</v>
      </c>
      <c r="G168" s="38">
        <v>6</v>
      </c>
      <c r="H168" s="63">
        <v>2.1</v>
      </c>
      <c r="I168" s="63">
        <v>2.2000000000000002</v>
      </c>
      <c r="J168" s="38">
        <v>234</v>
      </c>
      <c r="K168" s="39" t="s">
        <v>80</v>
      </c>
      <c r="L168" s="38">
        <v>40</v>
      </c>
      <c r="M168" s="229" t="s">
        <v>369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14</v>
      </c>
      <c r="V168" s="56">
        <f t="shared" si="7"/>
        <v>14.700000000000001</v>
      </c>
      <c r="W168" s="42">
        <f>IFERROR(IF(V168=0,"",ROUNDUP(V168/H168,0)*0.00502),"")</f>
        <v>3.5140000000000005E-2</v>
      </c>
      <c r="X168" s="69" t="s">
        <v>48</v>
      </c>
      <c r="Y168" s="70" t="s">
        <v>48</v>
      </c>
    </row>
    <row r="169" spans="1:25" ht="27" customHeight="1" x14ac:dyDescent="0.25">
      <c r="A169" s="64" t="s">
        <v>370</v>
      </c>
      <c r="B169" s="64" t="s">
        <v>371</v>
      </c>
      <c r="C169" s="37">
        <v>4301031158</v>
      </c>
      <c r="D169" s="131">
        <v>4680115880191</v>
      </c>
      <c r="E169" s="131"/>
      <c r="F169" s="63">
        <v>0.4</v>
      </c>
      <c r="G169" s="38">
        <v>6</v>
      </c>
      <c r="H169" s="63">
        <v>2.4</v>
      </c>
      <c r="I169" s="63">
        <v>2.5</v>
      </c>
      <c r="J169" s="38">
        <v>234</v>
      </c>
      <c r="K169" s="39" t="s">
        <v>80</v>
      </c>
      <c r="L169" s="38">
        <v>40</v>
      </c>
      <c r="M169" s="230" t="s">
        <v>372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7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373</v>
      </c>
      <c r="B170" s="64" t="s">
        <v>374</v>
      </c>
      <c r="C170" s="37">
        <v>4301031151</v>
      </c>
      <c r="D170" s="131">
        <v>4607091389845</v>
      </c>
      <c r="E170" s="131"/>
      <c r="F170" s="63">
        <v>0.35</v>
      </c>
      <c r="G170" s="38">
        <v>6</v>
      </c>
      <c r="H170" s="63">
        <v>2.1</v>
      </c>
      <c r="I170" s="63">
        <v>2.2000000000000002</v>
      </c>
      <c r="J170" s="38">
        <v>234</v>
      </c>
      <c r="K170" s="39" t="s">
        <v>80</v>
      </c>
      <c r="L170" s="38">
        <v>40</v>
      </c>
      <c r="M170" s="231" t="s">
        <v>375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7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</row>
    <row r="171" spans="1:25" x14ac:dyDescent="0.2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5" t="s">
        <v>43</v>
      </c>
      <c r="N171" s="136"/>
      <c r="O171" s="136"/>
      <c r="P171" s="136"/>
      <c r="Q171" s="136"/>
      <c r="R171" s="136"/>
      <c r="S171" s="137"/>
      <c r="T171" s="43" t="s">
        <v>42</v>
      </c>
      <c r="U171" s="44">
        <f>IFERROR(U155/H155,"0")+IFERROR(U156/H156,"0")+IFERROR(U157/H157,"0")+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</f>
        <v>145.47619047619045</v>
      </c>
      <c r="V171" s="44">
        <f>IFERROR(V155/H155,"0")+IFERROR(V156/H156,"0")+IFERROR(V157/H157,"0")+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</f>
        <v>147</v>
      </c>
      <c r="W171" s="44">
        <f>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</f>
        <v>1.04667</v>
      </c>
      <c r="X171" s="68"/>
      <c r="Y171" s="68"/>
    </row>
    <row r="172" spans="1:25" x14ac:dyDescent="0.2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5" t="s">
        <v>43</v>
      </c>
      <c r="N172" s="136"/>
      <c r="O172" s="136"/>
      <c r="P172" s="136"/>
      <c r="Q172" s="136"/>
      <c r="R172" s="136"/>
      <c r="S172" s="137"/>
      <c r="T172" s="43" t="s">
        <v>0</v>
      </c>
      <c r="U172" s="44">
        <f>IFERROR(SUM(U155:U170),"0")</f>
        <v>562</v>
      </c>
      <c r="V172" s="44">
        <f>IFERROR(SUM(V155:V170),"0")</f>
        <v>567.00000000000011</v>
      </c>
      <c r="W172" s="43"/>
      <c r="X172" s="68"/>
      <c r="Y172" s="68"/>
    </row>
    <row r="173" spans="1:25" ht="14.25" customHeight="1" x14ac:dyDescent="0.25">
      <c r="A173" s="130" t="s">
        <v>81</v>
      </c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67"/>
      <c r="Y173" s="67"/>
    </row>
    <row r="174" spans="1:25" ht="27" customHeight="1" x14ac:dyDescent="0.25">
      <c r="A174" s="64" t="s">
        <v>376</v>
      </c>
      <c r="B174" s="64" t="s">
        <v>377</v>
      </c>
      <c r="C174" s="37">
        <v>4301051408</v>
      </c>
      <c r="D174" s="131">
        <v>4680115881594</v>
      </c>
      <c r="E174" s="131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158</v>
      </c>
      <c r="L174" s="38">
        <v>40</v>
      </c>
      <c r="M174" s="232" t="s">
        <v>378</v>
      </c>
      <c r="N174" s="133"/>
      <c r="O174" s="133"/>
      <c r="P174" s="133"/>
      <c r="Q174" s="134"/>
      <c r="R174" s="40" t="s">
        <v>48</v>
      </c>
      <c r="S174" s="40" t="s">
        <v>48</v>
      </c>
      <c r="T174" s="41" t="s">
        <v>0</v>
      </c>
      <c r="U174" s="59">
        <v>39</v>
      </c>
      <c r="V174" s="56">
        <f t="shared" ref="V174:V197" si="8">IFERROR(IF(U174="",0,CEILING((U174/$H174),1)*$H174),"")</f>
        <v>40.5</v>
      </c>
      <c r="W174" s="42">
        <f>IFERROR(IF(V174=0,"",ROUNDUP(V174/H174,0)*0.02175),"")</f>
        <v>0.10874999999999999</v>
      </c>
      <c r="X174" s="69" t="s">
        <v>48</v>
      </c>
      <c r="Y174" s="70" t="s">
        <v>288</v>
      </c>
    </row>
    <row r="175" spans="1:25" ht="27" customHeight="1" x14ac:dyDescent="0.25">
      <c r="A175" s="64" t="s">
        <v>379</v>
      </c>
      <c r="B175" s="64" t="s">
        <v>380</v>
      </c>
      <c r="C175" s="37">
        <v>4301051407</v>
      </c>
      <c r="D175" s="131">
        <v>4680115882195</v>
      </c>
      <c r="E175" s="131"/>
      <c r="F175" s="63">
        <v>0.4</v>
      </c>
      <c r="G175" s="38">
        <v>6</v>
      </c>
      <c r="H175" s="63">
        <v>2.4</v>
      </c>
      <c r="I175" s="63">
        <v>2.69</v>
      </c>
      <c r="J175" s="38">
        <v>156</v>
      </c>
      <c r="K175" s="39" t="s">
        <v>158</v>
      </c>
      <c r="L175" s="38">
        <v>40</v>
      </c>
      <c r="M175" s="233" t="s">
        <v>381</v>
      </c>
      <c r="N175" s="133"/>
      <c r="O175" s="133"/>
      <c r="P175" s="133"/>
      <c r="Q175" s="134"/>
      <c r="R175" s="40" t="s">
        <v>48</v>
      </c>
      <c r="S175" s="40" t="s">
        <v>48</v>
      </c>
      <c r="T175" s="41" t="s">
        <v>0</v>
      </c>
      <c r="U175" s="59">
        <v>12</v>
      </c>
      <c r="V175" s="56">
        <f t="shared" si="8"/>
        <v>12</v>
      </c>
      <c r="W175" s="42">
        <f>IFERROR(IF(V175=0,"",ROUNDUP(V175/H175,0)*0.00753),"")</f>
        <v>3.7650000000000003E-2</v>
      </c>
      <c r="X175" s="69" t="s">
        <v>48</v>
      </c>
      <c r="Y175" s="70" t="s">
        <v>288</v>
      </c>
    </row>
    <row r="176" spans="1:25" ht="27" customHeight="1" x14ac:dyDescent="0.25">
      <c r="A176" s="64" t="s">
        <v>382</v>
      </c>
      <c r="B176" s="64" t="s">
        <v>383</v>
      </c>
      <c r="C176" s="37">
        <v>4301051411</v>
      </c>
      <c r="D176" s="131">
        <v>4680115881617</v>
      </c>
      <c r="E176" s="131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158</v>
      </c>
      <c r="L176" s="38">
        <v>40</v>
      </c>
      <c r="M176" s="234" t="s">
        <v>384</v>
      </c>
      <c r="N176" s="133"/>
      <c r="O176" s="133"/>
      <c r="P176" s="133"/>
      <c r="Q176" s="134"/>
      <c r="R176" s="40" t="s">
        <v>48</v>
      </c>
      <c r="S176" s="40" t="s">
        <v>48</v>
      </c>
      <c r="T176" s="41" t="s">
        <v>0</v>
      </c>
      <c r="U176" s="59">
        <v>39</v>
      </c>
      <c r="V176" s="56">
        <f t="shared" si="8"/>
        <v>40.5</v>
      </c>
      <c r="W176" s="42">
        <f>IFERROR(IF(V176=0,"",ROUNDUP(V176/H176,0)*0.02175),"")</f>
        <v>0.10874999999999999</v>
      </c>
      <c r="X176" s="69" t="s">
        <v>48</v>
      </c>
      <c r="Y176" s="70" t="s">
        <v>288</v>
      </c>
    </row>
    <row r="177" spans="1:25" ht="27" customHeight="1" x14ac:dyDescent="0.25">
      <c r="A177" s="64" t="s">
        <v>385</v>
      </c>
      <c r="B177" s="64" t="s">
        <v>386</v>
      </c>
      <c r="C177" s="37">
        <v>4301051410</v>
      </c>
      <c r="D177" s="131">
        <v>4680115882164</v>
      </c>
      <c r="E177" s="131"/>
      <c r="F177" s="63">
        <v>0.4</v>
      </c>
      <c r="G177" s="38">
        <v>6</v>
      </c>
      <c r="H177" s="63">
        <v>2.4</v>
      </c>
      <c r="I177" s="63">
        <v>2.6779999999999999</v>
      </c>
      <c r="J177" s="38">
        <v>156</v>
      </c>
      <c r="K177" s="39" t="s">
        <v>158</v>
      </c>
      <c r="L177" s="38">
        <v>40</v>
      </c>
      <c r="M177" s="235" t="s">
        <v>387</v>
      </c>
      <c r="N177" s="133"/>
      <c r="O177" s="133"/>
      <c r="P177" s="133"/>
      <c r="Q177" s="134"/>
      <c r="R177" s="40" t="s">
        <v>48</v>
      </c>
      <c r="S177" s="40" t="s">
        <v>48</v>
      </c>
      <c r="T177" s="41" t="s">
        <v>0</v>
      </c>
      <c r="U177" s="59">
        <v>12</v>
      </c>
      <c r="V177" s="56">
        <f t="shared" si="8"/>
        <v>12</v>
      </c>
      <c r="W177" s="42">
        <f>IFERROR(IF(V177=0,"",ROUNDUP(V177/H177,0)*0.00753),"")</f>
        <v>3.7650000000000003E-2</v>
      </c>
      <c r="X177" s="69" t="s">
        <v>48</v>
      </c>
      <c r="Y177" s="70" t="s">
        <v>288</v>
      </c>
    </row>
    <row r="178" spans="1:25" ht="27" customHeight="1" x14ac:dyDescent="0.25">
      <c r="A178" s="64" t="s">
        <v>388</v>
      </c>
      <c r="B178" s="64" t="s">
        <v>389</v>
      </c>
      <c r="C178" s="37">
        <v>4301051409</v>
      </c>
      <c r="D178" s="131">
        <v>4680115881556</v>
      </c>
      <c r="E178" s="131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9" t="s">
        <v>158</v>
      </c>
      <c r="L178" s="38">
        <v>45</v>
      </c>
      <c r="M178" s="236" t="s">
        <v>390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IFERROR(IF(V178=0,"",ROUNDUP(V178/H178,0)*0.01196),"")</f>
        <v/>
      </c>
      <c r="X178" s="69" t="s">
        <v>48</v>
      </c>
      <c r="Y178" s="70" t="s">
        <v>48</v>
      </c>
    </row>
    <row r="179" spans="1:25" ht="16.5" customHeight="1" x14ac:dyDescent="0.25">
      <c r="A179" s="64" t="s">
        <v>391</v>
      </c>
      <c r="B179" s="64" t="s">
        <v>392</v>
      </c>
      <c r="C179" s="37">
        <v>4301051101</v>
      </c>
      <c r="D179" s="131">
        <v>4607091387766</v>
      </c>
      <c r="E179" s="131"/>
      <c r="F179" s="63">
        <v>1.35</v>
      </c>
      <c r="G179" s="38">
        <v>6</v>
      </c>
      <c r="H179" s="63">
        <v>8.1</v>
      </c>
      <c r="I179" s="63">
        <v>8.6579999999999995</v>
      </c>
      <c r="J179" s="38">
        <v>56</v>
      </c>
      <c r="K179" s="39" t="s">
        <v>80</v>
      </c>
      <c r="L179" s="38">
        <v>40</v>
      </c>
      <c r="M179" s="237" t="s">
        <v>393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2000</v>
      </c>
      <c r="V179" s="56">
        <f t="shared" si="8"/>
        <v>2000.6999999999998</v>
      </c>
      <c r="W179" s="42">
        <f>IFERROR(IF(V179=0,"",ROUNDUP(V179/H179,0)*0.02175),"")</f>
        <v>5.3722499999999993</v>
      </c>
      <c r="X179" s="69" t="s">
        <v>48</v>
      </c>
      <c r="Y179" s="70" t="s">
        <v>48</v>
      </c>
    </row>
    <row r="180" spans="1:25" ht="27" customHeight="1" x14ac:dyDescent="0.25">
      <c r="A180" s="64" t="s">
        <v>394</v>
      </c>
      <c r="B180" s="64" t="s">
        <v>395</v>
      </c>
      <c r="C180" s="37">
        <v>4301051116</v>
      </c>
      <c r="D180" s="131">
        <v>4607091387957</v>
      </c>
      <c r="E180" s="131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9" t="s">
        <v>80</v>
      </c>
      <c r="L180" s="38">
        <v>40</v>
      </c>
      <c r="M180" s="238" t="s">
        <v>396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IFERROR(IF(V180=0,"",ROUNDUP(V180/H180,0)*0.02175),"")</f>
        <v/>
      </c>
      <c r="X180" s="69" t="s">
        <v>48</v>
      </c>
      <c r="Y180" s="70" t="s">
        <v>48</v>
      </c>
    </row>
    <row r="181" spans="1:25" ht="27" customHeight="1" x14ac:dyDescent="0.25">
      <c r="A181" s="64" t="s">
        <v>397</v>
      </c>
      <c r="B181" s="64" t="s">
        <v>398</v>
      </c>
      <c r="C181" s="37">
        <v>4301051115</v>
      </c>
      <c r="D181" s="131">
        <v>4607091387964</v>
      </c>
      <c r="E181" s="131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9" t="s">
        <v>80</v>
      </c>
      <c r="L181" s="38">
        <v>40</v>
      </c>
      <c r="M181" s="239" t="s">
        <v>399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16.5" customHeight="1" x14ac:dyDescent="0.25">
      <c r="A182" s="64" t="s">
        <v>400</v>
      </c>
      <c r="B182" s="64" t="s">
        <v>401</v>
      </c>
      <c r="C182" s="37">
        <v>4301051470</v>
      </c>
      <c r="D182" s="131">
        <v>4680115880573</v>
      </c>
      <c r="E182" s="131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158</v>
      </c>
      <c r="L182" s="38">
        <v>45</v>
      </c>
      <c r="M182" s="240" t="s">
        <v>402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39</v>
      </c>
      <c r="V182" s="56">
        <f t="shared" si="8"/>
        <v>39</v>
      </c>
      <c r="W182" s="42">
        <f>IFERROR(IF(V182=0,"",ROUNDUP(V182/H182,0)*0.02175),"")</f>
        <v>0.10874999999999999</v>
      </c>
      <c r="X182" s="69" t="s">
        <v>48</v>
      </c>
      <c r="Y182" s="70" t="s">
        <v>48</v>
      </c>
    </row>
    <row r="183" spans="1:25" ht="16.5" customHeight="1" x14ac:dyDescent="0.25">
      <c r="A183" s="64" t="s">
        <v>400</v>
      </c>
      <c r="B183" s="64" t="s">
        <v>403</v>
      </c>
      <c r="C183" s="37">
        <v>4301051370</v>
      </c>
      <c r="D183" s="131">
        <v>4680115880573</v>
      </c>
      <c r="E183" s="13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158</v>
      </c>
      <c r="L183" s="38">
        <v>40</v>
      </c>
      <c r="M183" s="241" t="s">
        <v>404</v>
      </c>
      <c r="N183" s="133"/>
      <c r="O183" s="133"/>
      <c r="P183" s="133"/>
      <c r="Q183" s="1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405</v>
      </c>
      <c r="B184" s="64" t="s">
        <v>406</v>
      </c>
      <c r="C184" s="37">
        <v>4301051433</v>
      </c>
      <c r="D184" s="131">
        <v>4680115881587</v>
      </c>
      <c r="E184" s="131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9" t="s">
        <v>80</v>
      </c>
      <c r="L184" s="38">
        <v>35</v>
      </c>
      <c r="M184" s="242" t="s">
        <v>407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>IFERROR(IF(V184=0,"",ROUNDUP(V184/H184,0)*0.01196),"")</f>
        <v/>
      </c>
      <c r="X184" s="69" t="s">
        <v>48</v>
      </c>
      <c r="Y184" s="70" t="s">
        <v>48</v>
      </c>
    </row>
    <row r="185" spans="1:25" ht="16.5" customHeight="1" x14ac:dyDescent="0.25">
      <c r="A185" s="64" t="s">
        <v>408</v>
      </c>
      <c r="B185" s="64" t="s">
        <v>409</v>
      </c>
      <c r="C185" s="37">
        <v>4301051380</v>
      </c>
      <c r="D185" s="131">
        <v>4680115880962</v>
      </c>
      <c r="E185" s="131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80</v>
      </c>
      <c r="L185" s="38">
        <v>40</v>
      </c>
      <c r="M185" s="243" t="s">
        <v>410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27" customHeight="1" x14ac:dyDescent="0.25">
      <c r="A186" s="64" t="s">
        <v>411</v>
      </c>
      <c r="B186" s="64" t="s">
        <v>412</v>
      </c>
      <c r="C186" s="37">
        <v>4301051377</v>
      </c>
      <c r="D186" s="131">
        <v>4680115881228</v>
      </c>
      <c r="E186" s="131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9" t="s">
        <v>80</v>
      </c>
      <c r="L186" s="38">
        <v>35</v>
      </c>
      <c r="M186" s="244" t="s">
        <v>413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43</v>
      </c>
      <c r="V186" s="56">
        <f t="shared" si="8"/>
        <v>43.199999999999996</v>
      </c>
      <c r="W186" s="42">
        <f>IFERROR(IF(V186=0,"",ROUNDUP(V186/H186,0)*0.00753),"")</f>
        <v>0.13553999999999999</v>
      </c>
      <c r="X186" s="69" t="s">
        <v>48</v>
      </c>
      <c r="Y186" s="70" t="s">
        <v>48</v>
      </c>
    </row>
    <row r="187" spans="1:25" ht="27" customHeight="1" x14ac:dyDescent="0.25">
      <c r="A187" s="64" t="s">
        <v>414</v>
      </c>
      <c r="B187" s="64" t="s">
        <v>415</v>
      </c>
      <c r="C187" s="37">
        <v>4301051432</v>
      </c>
      <c r="D187" s="131">
        <v>4680115881037</v>
      </c>
      <c r="E187" s="131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9" t="s">
        <v>80</v>
      </c>
      <c r="L187" s="38">
        <v>35</v>
      </c>
      <c r="M187" s="245" t="s">
        <v>416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>IFERROR(IF(V187=0,"",ROUNDUP(V187/H187,0)*0.00937),"")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417</v>
      </c>
      <c r="B188" s="64" t="s">
        <v>418</v>
      </c>
      <c r="C188" s="37">
        <v>4301051384</v>
      </c>
      <c r="D188" s="131">
        <v>4680115881211</v>
      </c>
      <c r="E188" s="131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9" t="s">
        <v>80</v>
      </c>
      <c r="L188" s="38">
        <v>45</v>
      </c>
      <c r="M188" s="246" t="s">
        <v>419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43</v>
      </c>
      <c r="V188" s="56">
        <f t="shared" si="8"/>
        <v>43.199999999999996</v>
      </c>
      <c r="W188" s="42">
        <f>IFERROR(IF(V188=0,"",ROUNDUP(V188/H188,0)*0.00753),"")</f>
        <v>0.13553999999999999</v>
      </c>
      <c r="X188" s="69" t="s">
        <v>48</v>
      </c>
      <c r="Y188" s="70" t="s">
        <v>48</v>
      </c>
    </row>
    <row r="189" spans="1:25" ht="27" customHeight="1" x14ac:dyDescent="0.25">
      <c r="A189" s="64" t="s">
        <v>420</v>
      </c>
      <c r="B189" s="64" t="s">
        <v>421</v>
      </c>
      <c r="C189" s="37">
        <v>4301051378</v>
      </c>
      <c r="D189" s="131">
        <v>4680115881020</v>
      </c>
      <c r="E189" s="131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9" t="s">
        <v>80</v>
      </c>
      <c r="L189" s="38">
        <v>45</v>
      </c>
      <c r="M189" s="247" t="s">
        <v>422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>IFERROR(IF(V189=0,"",ROUNDUP(V189/H189,0)*0.00937),"")</f>
        <v/>
      </c>
      <c r="X189" s="69" t="s">
        <v>48</v>
      </c>
      <c r="Y189" s="70" t="s">
        <v>48</v>
      </c>
    </row>
    <row r="190" spans="1:25" ht="16.5" customHeight="1" x14ac:dyDescent="0.25">
      <c r="A190" s="64" t="s">
        <v>423</v>
      </c>
      <c r="B190" s="64" t="s">
        <v>424</v>
      </c>
      <c r="C190" s="37">
        <v>4301051134</v>
      </c>
      <c r="D190" s="131">
        <v>4607091381672</v>
      </c>
      <c r="E190" s="131"/>
      <c r="F190" s="63">
        <v>0.6</v>
      </c>
      <c r="G190" s="38">
        <v>6</v>
      </c>
      <c r="H190" s="63">
        <v>3.6</v>
      </c>
      <c r="I190" s="63">
        <v>3.8759999999999999</v>
      </c>
      <c r="J190" s="38">
        <v>120</v>
      </c>
      <c r="K190" s="39" t="s">
        <v>80</v>
      </c>
      <c r="L190" s="38">
        <v>40</v>
      </c>
      <c r="M190" s="248" t="s">
        <v>425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108</v>
      </c>
      <c r="V190" s="56">
        <f t="shared" si="8"/>
        <v>108</v>
      </c>
      <c r="W190" s="42">
        <f>IFERROR(IF(V190=0,"",ROUNDUP(V190/H190,0)*0.00937),"")</f>
        <v>0.28110000000000002</v>
      </c>
      <c r="X190" s="69" t="s">
        <v>48</v>
      </c>
      <c r="Y190" s="70" t="s">
        <v>48</v>
      </c>
    </row>
    <row r="191" spans="1:25" ht="27" customHeight="1" x14ac:dyDescent="0.25">
      <c r="A191" s="64" t="s">
        <v>426</v>
      </c>
      <c r="B191" s="64" t="s">
        <v>427</v>
      </c>
      <c r="C191" s="37">
        <v>4301051130</v>
      </c>
      <c r="D191" s="131">
        <v>4607091387537</v>
      </c>
      <c r="E191" s="131"/>
      <c r="F191" s="63">
        <v>0.45</v>
      </c>
      <c r="G191" s="38">
        <v>6</v>
      </c>
      <c r="H191" s="63">
        <v>2.7</v>
      </c>
      <c r="I191" s="63">
        <v>2.99</v>
      </c>
      <c r="J191" s="38">
        <v>156</v>
      </c>
      <c r="K191" s="39" t="s">
        <v>80</v>
      </c>
      <c r="L191" s="38">
        <v>40</v>
      </c>
      <c r="M191" s="249" t="s">
        <v>428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8"/>
        <v>0</v>
      </c>
      <c r="W191" s="42" t="str">
        <f t="shared" ref="W191:W197" si="9">IFERROR(IF(V191=0,"",ROUNDUP(V191/H191,0)*0.00753),"")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429</v>
      </c>
      <c r="B192" s="64" t="s">
        <v>430</v>
      </c>
      <c r="C192" s="37">
        <v>4301051132</v>
      </c>
      <c r="D192" s="131">
        <v>4607091387513</v>
      </c>
      <c r="E192" s="131"/>
      <c r="F192" s="63">
        <v>0.45</v>
      </c>
      <c r="G192" s="38">
        <v>6</v>
      </c>
      <c r="H192" s="63">
        <v>2.7</v>
      </c>
      <c r="I192" s="63">
        <v>2.9780000000000002</v>
      </c>
      <c r="J192" s="38">
        <v>156</v>
      </c>
      <c r="K192" s="39" t="s">
        <v>80</v>
      </c>
      <c r="L192" s="38">
        <v>40</v>
      </c>
      <c r="M192" s="250" t="s">
        <v>431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8"/>
        <v>0</v>
      </c>
      <c r="W192" s="42" t="str">
        <f t="shared" si="9"/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432</v>
      </c>
      <c r="B193" s="64" t="s">
        <v>433</v>
      </c>
      <c r="C193" s="37">
        <v>4301051468</v>
      </c>
      <c r="D193" s="131">
        <v>4680115880092</v>
      </c>
      <c r="E193" s="131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158</v>
      </c>
      <c r="L193" s="38">
        <v>45</v>
      </c>
      <c r="M193" s="251" t="s">
        <v>434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48</v>
      </c>
      <c r="V193" s="56">
        <f t="shared" si="8"/>
        <v>48</v>
      </c>
      <c r="W193" s="42">
        <f t="shared" si="9"/>
        <v>0.15060000000000001</v>
      </c>
      <c r="X193" s="69" t="s">
        <v>48</v>
      </c>
      <c r="Y193" s="70" t="s">
        <v>48</v>
      </c>
    </row>
    <row r="194" spans="1:25" ht="27" customHeight="1" x14ac:dyDescent="0.25">
      <c r="A194" s="64" t="s">
        <v>432</v>
      </c>
      <c r="B194" s="64" t="s">
        <v>435</v>
      </c>
      <c r="C194" s="37">
        <v>4301051371</v>
      </c>
      <c r="D194" s="131">
        <v>4680115880092</v>
      </c>
      <c r="E194" s="13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158</v>
      </c>
      <c r="L194" s="38">
        <v>40</v>
      </c>
      <c r="M194" s="252" t="s">
        <v>436</v>
      </c>
      <c r="N194" s="133"/>
      <c r="O194" s="133"/>
      <c r="P194" s="133"/>
      <c r="Q194" s="13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8"/>
        <v>0</v>
      </c>
      <c r="W194" s="42" t="str">
        <f t="shared" si="9"/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437</v>
      </c>
      <c r="B195" s="64" t="s">
        <v>438</v>
      </c>
      <c r="C195" s="37">
        <v>4301051469</v>
      </c>
      <c r="D195" s="131">
        <v>4680115880221</v>
      </c>
      <c r="E195" s="1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158</v>
      </c>
      <c r="L195" s="38">
        <v>45</v>
      </c>
      <c r="M195" s="253" t="s">
        <v>439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48</v>
      </c>
      <c r="V195" s="56">
        <f t="shared" si="8"/>
        <v>48</v>
      </c>
      <c r="W195" s="42">
        <f t="shared" si="9"/>
        <v>0.15060000000000001</v>
      </c>
      <c r="X195" s="69" t="s">
        <v>48</v>
      </c>
      <c r="Y195" s="70" t="s">
        <v>48</v>
      </c>
    </row>
    <row r="196" spans="1:25" ht="27" customHeight="1" x14ac:dyDescent="0.25">
      <c r="A196" s="64" t="s">
        <v>437</v>
      </c>
      <c r="B196" s="64" t="s">
        <v>440</v>
      </c>
      <c r="C196" s="37">
        <v>4301051372</v>
      </c>
      <c r="D196" s="131">
        <v>4680115880221</v>
      </c>
      <c r="E196" s="13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9" t="s">
        <v>158</v>
      </c>
      <c r="L196" s="38">
        <v>40</v>
      </c>
      <c r="M196" s="254" t="s">
        <v>439</v>
      </c>
      <c r="N196" s="133"/>
      <c r="O196" s="133"/>
      <c r="P196" s="133"/>
      <c r="Q196" s="13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8"/>
        <v>0</v>
      </c>
      <c r="W196" s="42" t="str">
        <f t="shared" si="9"/>
        <v/>
      </c>
      <c r="X196" s="69" t="s">
        <v>48</v>
      </c>
      <c r="Y196" s="70" t="s">
        <v>48</v>
      </c>
    </row>
    <row r="197" spans="1:25" ht="16.5" customHeight="1" x14ac:dyDescent="0.25">
      <c r="A197" s="64" t="s">
        <v>441</v>
      </c>
      <c r="B197" s="64" t="s">
        <v>442</v>
      </c>
      <c r="C197" s="37">
        <v>4301051326</v>
      </c>
      <c r="D197" s="131">
        <v>4680115880504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80</v>
      </c>
      <c r="L197" s="38">
        <v>40</v>
      </c>
      <c r="M197" s="255" t="s">
        <v>443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12</v>
      </c>
      <c r="V197" s="56">
        <f t="shared" si="8"/>
        <v>12</v>
      </c>
      <c r="W197" s="42">
        <f t="shared" si="9"/>
        <v>3.7650000000000003E-2</v>
      </c>
      <c r="X197" s="69" t="s">
        <v>48</v>
      </c>
      <c r="Y197" s="70" t="s">
        <v>48</v>
      </c>
    </row>
    <row r="198" spans="1:25" x14ac:dyDescent="0.2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5" t="s">
        <v>43</v>
      </c>
      <c r="N198" s="136"/>
      <c r="O198" s="136"/>
      <c r="P198" s="136"/>
      <c r="Q198" s="136"/>
      <c r="R198" s="136"/>
      <c r="S198" s="137"/>
      <c r="T198" s="43" t="s">
        <v>42</v>
      </c>
      <c r="U198" s="44">
        <f>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</f>
        <v>382.37654320987662</v>
      </c>
      <c r="V198" s="4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</f>
        <v>383</v>
      </c>
      <c r="W198" s="44">
        <f>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</f>
        <v>6.6648299999999985</v>
      </c>
      <c r="X198" s="68"/>
      <c r="Y198" s="68"/>
    </row>
    <row r="199" spans="1:25" x14ac:dyDescent="0.2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5" t="s">
        <v>43</v>
      </c>
      <c r="N199" s="136"/>
      <c r="O199" s="136"/>
      <c r="P199" s="136"/>
      <c r="Q199" s="136"/>
      <c r="R199" s="136"/>
      <c r="S199" s="137"/>
      <c r="T199" s="43" t="s">
        <v>0</v>
      </c>
      <c r="U199" s="44">
        <f>IFERROR(SUM(U174:U197),"0")</f>
        <v>2443</v>
      </c>
      <c r="V199" s="44">
        <f>IFERROR(SUM(V174:V197),"0")</f>
        <v>2447.0999999999995</v>
      </c>
      <c r="W199" s="43"/>
      <c r="X199" s="68"/>
      <c r="Y199" s="68"/>
    </row>
    <row r="200" spans="1:25" ht="14.25" customHeight="1" x14ac:dyDescent="0.25">
      <c r="A200" s="130" t="s">
        <v>246</v>
      </c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67"/>
      <c r="Y200" s="67"/>
    </row>
    <row r="201" spans="1:25" ht="16.5" customHeight="1" x14ac:dyDescent="0.25">
      <c r="A201" s="64" t="s">
        <v>444</v>
      </c>
      <c r="B201" s="64" t="s">
        <v>445</v>
      </c>
      <c r="C201" s="37">
        <v>4301060326</v>
      </c>
      <c r="D201" s="131">
        <v>4607091380880</v>
      </c>
      <c r="E201" s="131"/>
      <c r="F201" s="63">
        <v>1.4</v>
      </c>
      <c r="G201" s="38">
        <v>6</v>
      </c>
      <c r="H201" s="63">
        <v>8.4</v>
      </c>
      <c r="I201" s="63">
        <v>8.9640000000000004</v>
      </c>
      <c r="J201" s="38">
        <v>56</v>
      </c>
      <c r="K201" s="39" t="s">
        <v>80</v>
      </c>
      <c r="L201" s="38">
        <v>30</v>
      </c>
      <c r="M201" s="256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1" s="133"/>
      <c r="O201" s="133"/>
      <c r="P201" s="133"/>
      <c r="Q201" s="134"/>
      <c r="R201" s="40" t="s">
        <v>48</v>
      </c>
      <c r="S201" s="40" t="s">
        <v>48</v>
      </c>
      <c r="T201" s="41" t="s">
        <v>0</v>
      </c>
      <c r="U201" s="59">
        <v>33</v>
      </c>
      <c r="V201" s="56">
        <f t="shared" ref="V201:V206" si="10">IFERROR(IF(U201="",0,CEILING((U201/$H201),1)*$H201),"")</f>
        <v>33.6</v>
      </c>
      <c r="W201" s="42">
        <f>IFERROR(IF(V201=0,"",ROUNDUP(V201/H201,0)*0.02175),"")</f>
        <v>8.6999999999999994E-2</v>
      </c>
      <c r="X201" s="69" t="s">
        <v>48</v>
      </c>
      <c r="Y201" s="70" t="s">
        <v>48</v>
      </c>
    </row>
    <row r="202" spans="1:25" ht="27" customHeight="1" x14ac:dyDescent="0.25">
      <c r="A202" s="64" t="s">
        <v>446</v>
      </c>
      <c r="B202" s="64" t="s">
        <v>447</v>
      </c>
      <c r="C202" s="37">
        <v>4301060308</v>
      </c>
      <c r="D202" s="131">
        <v>4607091384482</v>
      </c>
      <c r="E202" s="131"/>
      <c r="F202" s="63">
        <v>1.3</v>
      </c>
      <c r="G202" s="38">
        <v>6</v>
      </c>
      <c r="H202" s="63">
        <v>7.8</v>
      </c>
      <c r="I202" s="63">
        <v>8.3640000000000008</v>
      </c>
      <c r="J202" s="38">
        <v>56</v>
      </c>
      <c r="K202" s="39" t="s">
        <v>80</v>
      </c>
      <c r="L202" s="38">
        <v>30</v>
      </c>
      <c r="M202" s="257" t="s">
        <v>448</v>
      </c>
      <c r="N202" s="133"/>
      <c r="O202" s="133"/>
      <c r="P202" s="133"/>
      <c r="Q202" s="134"/>
      <c r="R202" s="40" t="s">
        <v>48</v>
      </c>
      <c r="S202" s="40" t="s">
        <v>48</v>
      </c>
      <c r="T202" s="41" t="s">
        <v>0</v>
      </c>
      <c r="U202" s="59">
        <v>548</v>
      </c>
      <c r="V202" s="56">
        <f t="shared" si="10"/>
        <v>553.79999999999995</v>
      </c>
      <c r="W202" s="42">
        <f>IFERROR(IF(V202=0,"",ROUNDUP(V202/H202,0)*0.02175),"")</f>
        <v>1.5442499999999999</v>
      </c>
      <c r="X202" s="69" t="s">
        <v>48</v>
      </c>
      <c r="Y202" s="70" t="s">
        <v>48</v>
      </c>
    </row>
    <row r="203" spans="1:25" ht="16.5" customHeight="1" x14ac:dyDescent="0.25">
      <c r="A203" s="64" t="s">
        <v>449</v>
      </c>
      <c r="B203" s="64" t="s">
        <v>450</v>
      </c>
      <c r="C203" s="37">
        <v>4301060325</v>
      </c>
      <c r="D203" s="131">
        <v>4607091380897</v>
      </c>
      <c r="E203" s="131"/>
      <c r="F203" s="63">
        <v>1.4</v>
      </c>
      <c r="G203" s="38">
        <v>6</v>
      </c>
      <c r="H203" s="63">
        <v>8.4</v>
      </c>
      <c r="I203" s="63">
        <v>8.9640000000000004</v>
      </c>
      <c r="J203" s="38">
        <v>56</v>
      </c>
      <c r="K203" s="39" t="s">
        <v>80</v>
      </c>
      <c r="L203" s="38">
        <v>30</v>
      </c>
      <c r="M203" s="258" t="s">
        <v>451</v>
      </c>
      <c r="N203" s="133"/>
      <c r="O203" s="133"/>
      <c r="P203" s="133"/>
      <c r="Q203" s="134"/>
      <c r="R203" s="40" t="s">
        <v>48</v>
      </c>
      <c r="S203" s="40" t="s">
        <v>48</v>
      </c>
      <c r="T203" s="41" t="s">
        <v>0</v>
      </c>
      <c r="U203" s="59">
        <v>15</v>
      </c>
      <c r="V203" s="56">
        <f t="shared" si="10"/>
        <v>16.8</v>
      </c>
      <c r="W203" s="42">
        <f>IFERROR(IF(V203=0,"",ROUNDUP(V203/H203,0)*0.02175),"")</f>
        <v>4.3499999999999997E-2</v>
      </c>
      <c r="X203" s="69" t="s">
        <v>48</v>
      </c>
      <c r="Y203" s="70" t="s">
        <v>48</v>
      </c>
    </row>
    <row r="204" spans="1:25" ht="16.5" customHeight="1" x14ac:dyDescent="0.25">
      <c r="A204" s="64" t="s">
        <v>452</v>
      </c>
      <c r="B204" s="64" t="s">
        <v>453</v>
      </c>
      <c r="C204" s="37">
        <v>4301060338</v>
      </c>
      <c r="D204" s="131">
        <v>4680115880801</v>
      </c>
      <c r="E204" s="131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80</v>
      </c>
      <c r="L204" s="38">
        <v>40</v>
      </c>
      <c r="M204" s="259" t="s">
        <v>454</v>
      </c>
      <c r="N204" s="133"/>
      <c r="O204" s="133"/>
      <c r="P204" s="133"/>
      <c r="Q204" s="134"/>
      <c r="R204" s="40" t="s">
        <v>48</v>
      </c>
      <c r="S204" s="40" t="s">
        <v>48</v>
      </c>
      <c r="T204" s="41" t="s">
        <v>0</v>
      </c>
      <c r="U204" s="59">
        <v>7</v>
      </c>
      <c r="V204" s="56">
        <f t="shared" si="10"/>
        <v>7.1999999999999993</v>
      </c>
      <c r="W204" s="42">
        <f>IFERROR(IF(V204=0,"",ROUNDUP(V204/H204,0)*0.00753),"")</f>
        <v>2.2589999999999999E-2</v>
      </c>
      <c r="X204" s="69" t="s">
        <v>48</v>
      </c>
      <c r="Y204" s="70" t="s">
        <v>48</v>
      </c>
    </row>
    <row r="205" spans="1:25" ht="27" customHeight="1" x14ac:dyDescent="0.25">
      <c r="A205" s="64" t="s">
        <v>455</v>
      </c>
      <c r="B205" s="64" t="s">
        <v>456</v>
      </c>
      <c r="C205" s="37">
        <v>4301060339</v>
      </c>
      <c r="D205" s="131">
        <v>4680115880818</v>
      </c>
      <c r="E205" s="131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9" t="s">
        <v>80</v>
      </c>
      <c r="L205" s="38">
        <v>40</v>
      </c>
      <c r="M205" s="260" t="s">
        <v>457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7</v>
      </c>
      <c r="V205" s="56">
        <f t="shared" si="10"/>
        <v>7.1999999999999993</v>
      </c>
      <c r="W205" s="42">
        <f>IFERROR(IF(V205=0,"",ROUNDUP(V205/H205,0)*0.00753),"")</f>
        <v>2.2589999999999999E-2</v>
      </c>
      <c r="X205" s="69" t="s">
        <v>48</v>
      </c>
      <c r="Y205" s="70" t="s">
        <v>48</v>
      </c>
    </row>
    <row r="206" spans="1:25" ht="16.5" customHeight="1" x14ac:dyDescent="0.25">
      <c r="A206" s="64" t="s">
        <v>458</v>
      </c>
      <c r="B206" s="64" t="s">
        <v>459</v>
      </c>
      <c r="C206" s="37">
        <v>4301060337</v>
      </c>
      <c r="D206" s="131">
        <v>4680115880368</v>
      </c>
      <c r="E206" s="131"/>
      <c r="F206" s="63">
        <v>1</v>
      </c>
      <c r="G206" s="38">
        <v>4</v>
      </c>
      <c r="H206" s="63">
        <v>4</v>
      </c>
      <c r="I206" s="63">
        <v>4.3600000000000003</v>
      </c>
      <c r="J206" s="38">
        <v>104</v>
      </c>
      <c r="K206" s="39" t="s">
        <v>158</v>
      </c>
      <c r="L206" s="38">
        <v>40</v>
      </c>
      <c r="M206" s="261" t="s">
        <v>460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IFERROR(IF(V206=0,"",ROUNDUP(V206/H206,0)*0.01196),"")</f>
        <v/>
      </c>
      <c r="X206" s="69" t="s">
        <v>48</v>
      </c>
      <c r="Y206" s="70" t="s">
        <v>48</v>
      </c>
    </row>
    <row r="207" spans="1:25" x14ac:dyDescent="0.2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5" t="s">
        <v>43</v>
      </c>
      <c r="N207" s="136"/>
      <c r="O207" s="136"/>
      <c r="P207" s="136"/>
      <c r="Q207" s="136"/>
      <c r="R207" s="136"/>
      <c r="S207" s="137"/>
      <c r="T207" s="43" t="s">
        <v>42</v>
      </c>
      <c r="U207" s="44">
        <f>IFERROR(U201/H201,"0")+IFERROR(U202/H202,"0")+IFERROR(U203/H203,"0")+IFERROR(U204/H204,"0")+IFERROR(U205/H205,"0")+IFERROR(U206/H206,"0")</f>
        <v>81.804029304029328</v>
      </c>
      <c r="V207" s="44">
        <f>IFERROR(V201/H201,"0")+IFERROR(V202/H202,"0")+IFERROR(V203/H203,"0")+IFERROR(V204/H204,"0")+IFERROR(V205/H205,"0")+IFERROR(V206/H206,"0")</f>
        <v>83</v>
      </c>
      <c r="W207" s="44">
        <f>IFERROR(IF(W201="",0,W201),"0")+IFERROR(IF(W202="",0,W202),"0")+IFERROR(IF(W203="",0,W203),"0")+IFERROR(IF(W204="",0,W204),"0")+IFERROR(IF(W205="",0,W205),"0")+IFERROR(IF(W206="",0,W206),"0")</f>
        <v>1.7199300000000002</v>
      </c>
      <c r="X207" s="68"/>
      <c r="Y207" s="68"/>
    </row>
    <row r="208" spans="1:25" x14ac:dyDescent="0.2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5" t="s">
        <v>43</v>
      </c>
      <c r="N208" s="136"/>
      <c r="O208" s="136"/>
      <c r="P208" s="136"/>
      <c r="Q208" s="136"/>
      <c r="R208" s="136"/>
      <c r="S208" s="137"/>
      <c r="T208" s="43" t="s">
        <v>0</v>
      </c>
      <c r="U208" s="44">
        <f>IFERROR(SUM(U201:U206),"0")</f>
        <v>610</v>
      </c>
      <c r="V208" s="44">
        <f>IFERROR(SUM(V201:V206),"0")</f>
        <v>618.6</v>
      </c>
      <c r="W208" s="43"/>
      <c r="X208" s="68"/>
      <c r="Y208" s="68"/>
    </row>
    <row r="209" spans="1:25" ht="14.25" customHeight="1" x14ac:dyDescent="0.25">
      <c r="A209" s="130" t="s">
        <v>100</v>
      </c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67"/>
      <c r="Y209" s="67"/>
    </row>
    <row r="210" spans="1:25" ht="16.5" customHeight="1" x14ac:dyDescent="0.25">
      <c r="A210" s="64" t="s">
        <v>461</v>
      </c>
      <c r="B210" s="64" t="s">
        <v>462</v>
      </c>
      <c r="C210" s="37">
        <v>4301030232</v>
      </c>
      <c r="D210" s="131">
        <v>4607091388374</v>
      </c>
      <c r="E210" s="131"/>
      <c r="F210" s="63">
        <v>0.38</v>
      </c>
      <c r="G210" s="38">
        <v>8</v>
      </c>
      <c r="H210" s="63">
        <v>3.04</v>
      </c>
      <c r="I210" s="63">
        <v>3.28</v>
      </c>
      <c r="J210" s="38">
        <v>156</v>
      </c>
      <c r="K210" s="39" t="s">
        <v>104</v>
      </c>
      <c r="L210" s="38">
        <v>180</v>
      </c>
      <c r="M210" s="262" t="s">
        <v>463</v>
      </c>
      <c r="N210" s="133"/>
      <c r="O210" s="133"/>
      <c r="P210" s="133"/>
      <c r="Q210" s="134"/>
      <c r="R210" s="40" t="s">
        <v>48</v>
      </c>
      <c r="S210" s="40" t="s">
        <v>48</v>
      </c>
      <c r="T210" s="41" t="s">
        <v>0</v>
      </c>
      <c r="U210" s="59">
        <v>0</v>
      </c>
      <c r="V210" s="56">
        <f>IFERROR(IF(U210="",0,CEILING((U210/$H210),1)*$H210),"")</f>
        <v>0</v>
      </c>
      <c r="W210" s="42" t="str">
        <f>IFERROR(IF(V210=0,"",ROUNDUP(V210/H210,0)*0.00753),"")</f>
        <v/>
      </c>
      <c r="X210" s="69" t="s">
        <v>48</v>
      </c>
      <c r="Y210" s="70" t="s">
        <v>48</v>
      </c>
    </row>
    <row r="211" spans="1:25" ht="27" customHeight="1" x14ac:dyDescent="0.25">
      <c r="A211" s="64" t="s">
        <v>464</v>
      </c>
      <c r="B211" s="64" t="s">
        <v>465</v>
      </c>
      <c r="C211" s="37">
        <v>4301030235</v>
      </c>
      <c r="D211" s="131">
        <v>4607091388381</v>
      </c>
      <c r="E211" s="131"/>
      <c r="F211" s="63">
        <v>0.38</v>
      </c>
      <c r="G211" s="38">
        <v>8</v>
      </c>
      <c r="H211" s="63">
        <v>3.04</v>
      </c>
      <c r="I211" s="63">
        <v>3.32</v>
      </c>
      <c r="J211" s="38">
        <v>156</v>
      </c>
      <c r="K211" s="39" t="s">
        <v>104</v>
      </c>
      <c r="L211" s="38">
        <v>180</v>
      </c>
      <c r="M211" s="263" t="s">
        <v>466</v>
      </c>
      <c r="N211" s="133"/>
      <c r="O211" s="133"/>
      <c r="P211" s="133"/>
      <c r="Q211" s="13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</row>
    <row r="212" spans="1:25" ht="27" customHeight="1" x14ac:dyDescent="0.25">
      <c r="A212" s="64" t="s">
        <v>467</v>
      </c>
      <c r="B212" s="64" t="s">
        <v>468</v>
      </c>
      <c r="C212" s="37">
        <v>4301030233</v>
      </c>
      <c r="D212" s="131">
        <v>4607091388404</v>
      </c>
      <c r="E212" s="131"/>
      <c r="F212" s="63">
        <v>0.17</v>
      </c>
      <c r="G212" s="38">
        <v>15</v>
      </c>
      <c r="H212" s="63">
        <v>2.5499999999999998</v>
      </c>
      <c r="I212" s="63">
        <v>2.9</v>
      </c>
      <c r="J212" s="38">
        <v>156</v>
      </c>
      <c r="K212" s="39" t="s">
        <v>104</v>
      </c>
      <c r="L212" s="38">
        <v>180</v>
      </c>
      <c r="M212" s="264" t="s">
        <v>469</v>
      </c>
      <c r="N212" s="133"/>
      <c r="O212" s="133"/>
      <c r="P212" s="133"/>
      <c r="Q212" s="134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</row>
    <row r="213" spans="1:25" x14ac:dyDescent="0.2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5" t="s">
        <v>43</v>
      </c>
      <c r="N213" s="136"/>
      <c r="O213" s="136"/>
      <c r="P213" s="136"/>
      <c r="Q213" s="136"/>
      <c r="R213" s="136"/>
      <c r="S213" s="137"/>
      <c r="T213" s="43" t="s">
        <v>42</v>
      </c>
      <c r="U213" s="44">
        <f>IFERROR(U210/H210,"0")+IFERROR(U211/H211,"0")+IFERROR(U212/H212,"0")</f>
        <v>0</v>
      </c>
      <c r="V213" s="44">
        <f>IFERROR(V210/H210,"0")+IFERROR(V211/H211,"0")+IFERROR(V212/H212,"0")</f>
        <v>0</v>
      </c>
      <c r="W213" s="44">
        <f>IFERROR(IF(W210="",0,W210),"0")+IFERROR(IF(W211="",0,W211),"0")+IFERROR(IF(W212="",0,W212),"0")</f>
        <v>0</v>
      </c>
      <c r="X213" s="68"/>
      <c r="Y213" s="68"/>
    </row>
    <row r="214" spans="1:25" x14ac:dyDescent="0.2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5" t="s">
        <v>43</v>
      </c>
      <c r="N214" s="136"/>
      <c r="O214" s="136"/>
      <c r="P214" s="136"/>
      <c r="Q214" s="136"/>
      <c r="R214" s="136"/>
      <c r="S214" s="137"/>
      <c r="T214" s="43" t="s">
        <v>0</v>
      </c>
      <c r="U214" s="44">
        <f>IFERROR(SUM(U210:U212),"0")</f>
        <v>0</v>
      </c>
      <c r="V214" s="44">
        <f>IFERROR(SUM(V210:V212),"0")</f>
        <v>0</v>
      </c>
      <c r="W214" s="43"/>
      <c r="X214" s="68"/>
      <c r="Y214" s="68"/>
    </row>
    <row r="215" spans="1:25" ht="14.25" customHeight="1" x14ac:dyDescent="0.25">
      <c r="A215" s="130" t="s">
        <v>470</v>
      </c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67"/>
      <c r="Y215" s="67"/>
    </row>
    <row r="216" spans="1:25" ht="16.5" customHeight="1" x14ac:dyDescent="0.25">
      <c r="A216" s="64" t="s">
        <v>471</v>
      </c>
      <c r="B216" s="64" t="s">
        <v>472</v>
      </c>
      <c r="C216" s="37">
        <v>4301180002</v>
      </c>
      <c r="D216" s="131">
        <v>4680115880122</v>
      </c>
      <c r="E216" s="131"/>
      <c r="F216" s="63">
        <v>0.1</v>
      </c>
      <c r="G216" s="38">
        <v>20</v>
      </c>
      <c r="H216" s="63">
        <v>2</v>
      </c>
      <c r="I216" s="63">
        <v>2.2400000000000002</v>
      </c>
      <c r="J216" s="38">
        <v>238</v>
      </c>
      <c r="K216" s="39" t="s">
        <v>474</v>
      </c>
      <c r="L216" s="38">
        <v>730</v>
      </c>
      <c r="M216" s="265" t="s">
        <v>473</v>
      </c>
      <c r="N216" s="133"/>
      <c r="O216" s="133"/>
      <c r="P216" s="133"/>
      <c r="Q216" s="134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IFERROR(IF(V216=0,"",ROUNDUP(V216/H216,0)*0.00474),"")</f>
        <v/>
      </c>
      <c r="X216" s="69" t="s">
        <v>48</v>
      </c>
      <c r="Y216" s="70" t="s">
        <v>48</v>
      </c>
    </row>
    <row r="217" spans="1:25" ht="16.5" customHeight="1" x14ac:dyDescent="0.25">
      <c r="A217" s="64" t="s">
        <v>475</v>
      </c>
      <c r="B217" s="64" t="s">
        <v>476</v>
      </c>
      <c r="C217" s="37">
        <v>4301180007</v>
      </c>
      <c r="D217" s="131">
        <v>4680115881808</v>
      </c>
      <c r="E217" s="131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474</v>
      </c>
      <c r="L217" s="38">
        <v>730</v>
      </c>
      <c r="M217" s="266" t="s">
        <v>477</v>
      </c>
      <c r="N217" s="133"/>
      <c r="O217" s="133"/>
      <c r="P217" s="133"/>
      <c r="Q217" s="134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IFERROR(IF(V217=0,"",ROUNDUP(V217/H217,0)*0.00474),"")</f>
        <v/>
      </c>
      <c r="X217" s="69" t="s">
        <v>48</v>
      </c>
      <c r="Y217" s="70" t="s">
        <v>48</v>
      </c>
    </row>
    <row r="218" spans="1:25" ht="27" customHeight="1" x14ac:dyDescent="0.25">
      <c r="A218" s="64" t="s">
        <v>478</v>
      </c>
      <c r="B218" s="64" t="s">
        <v>479</v>
      </c>
      <c r="C218" s="37">
        <v>4301180006</v>
      </c>
      <c r="D218" s="131">
        <v>4680115881822</v>
      </c>
      <c r="E218" s="131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474</v>
      </c>
      <c r="L218" s="38">
        <v>730</v>
      </c>
      <c r="M218" s="267" t="s">
        <v>480</v>
      </c>
      <c r="N218" s="133"/>
      <c r="O218" s="133"/>
      <c r="P218" s="133"/>
      <c r="Q218" s="134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</row>
    <row r="219" spans="1:25" ht="27" customHeight="1" x14ac:dyDescent="0.25">
      <c r="A219" s="64" t="s">
        <v>481</v>
      </c>
      <c r="B219" s="64" t="s">
        <v>482</v>
      </c>
      <c r="C219" s="37">
        <v>4301180001</v>
      </c>
      <c r="D219" s="131">
        <v>4680115880016</v>
      </c>
      <c r="E219" s="131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474</v>
      </c>
      <c r="L219" s="38">
        <v>730</v>
      </c>
      <c r="M219" s="268" t="s">
        <v>483</v>
      </c>
      <c r="N219" s="133"/>
      <c r="O219" s="133"/>
      <c r="P219" s="133"/>
      <c r="Q219" s="134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x14ac:dyDescent="0.2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5" t="s">
        <v>43</v>
      </c>
      <c r="N220" s="136"/>
      <c r="O220" s="136"/>
      <c r="P220" s="136"/>
      <c r="Q220" s="136"/>
      <c r="R220" s="136"/>
      <c r="S220" s="137"/>
      <c r="T220" s="43" t="s">
        <v>42</v>
      </c>
      <c r="U220" s="44">
        <f>IFERROR(U216/H216,"0")+IFERROR(U217/H217,"0")+IFERROR(U218/H218,"0")+IFERROR(U219/H219,"0")</f>
        <v>0</v>
      </c>
      <c r="V220" s="44">
        <f>IFERROR(V216/H216,"0")+IFERROR(V217/H217,"0")+IFERROR(V218/H218,"0")+IFERROR(V219/H219,"0")</f>
        <v>0</v>
      </c>
      <c r="W220" s="44">
        <f>IFERROR(IF(W216="",0,W216),"0")+IFERROR(IF(W217="",0,W217),"0")+IFERROR(IF(W218="",0,W218),"0")+IFERROR(IF(W219="",0,W219),"0")</f>
        <v>0</v>
      </c>
      <c r="X220" s="68"/>
      <c r="Y220" s="68"/>
    </row>
    <row r="221" spans="1:25" x14ac:dyDescent="0.2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5" t="s">
        <v>43</v>
      </c>
      <c r="N221" s="136"/>
      <c r="O221" s="136"/>
      <c r="P221" s="136"/>
      <c r="Q221" s="136"/>
      <c r="R221" s="136"/>
      <c r="S221" s="137"/>
      <c r="T221" s="43" t="s">
        <v>0</v>
      </c>
      <c r="U221" s="44">
        <f>IFERROR(SUM(U216:U219),"0")</f>
        <v>0</v>
      </c>
      <c r="V221" s="44">
        <f>IFERROR(SUM(V216:V219),"0")</f>
        <v>0</v>
      </c>
      <c r="W221" s="43"/>
      <c r="X221" s="68"/>
      <c r="Y221" s="68"/>
    </row>
    <row r="222" spans="1:25" ht="16.5" customHeight="1" x14ac:dyDescent="0.25">
      <c r="A222" s="129" t="s">
        <v>484</v>
      </c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66"/>
      <c r="Y222" s="66"/>
    </row>
    <row r="223" spans="1:25" ht="14.25" customHeight="1" x14ac:dyDescent="0.25">
      <c r="A223" s="130" t="s">
        <v>126</v>
      </c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67"/>
      <c r="Y223" s="67"/>
    </row>
    <row r="224" spans="1:25" ht="27" customHeight="1" x14ac:dyDescent="0.25">
      <c r="A224" s="64" t="s">
        <v>485</v>
      </c>
      <c r="B224" s="64" t="s">
        <v>486</v>
      </c>
      <c r="C224" s="37">
        <v>4301011315</v>
      </c>
      <c r="D224" s="131">
        <v>4607091387421</v>
      </c>
      <c r="E224" s="131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9" t="s">
        <v>124</v>
      </c>
      <c r="L224" s="38">
        <v>55</v>
      </c>
      <c r="M224" s="269" t="s">
        <v>487</v>
      </c>
      <c r="N224" s="133"/>
      <c r="O224" s="133"/>
      <c r="P224" s="133"/>
      <c r="Q224" s="134"/>
      <c r="R224" s="40" t="s">
        <v>48</v>
      </c>
      <c r="S224" s="40" t="s">
        <v>48</v>
      </c>
      <c r="T224" s="41" t="s">
        <v>0</v>
      </c>
      <c r="U224" s="59">
        <v>620</v>
      </c>
      <c r="V224" s="56">
        <f t="shared" ref="V224:V230" si="11">IFERROR(IF(U224="",0,CEILING((U224/$H224),1)*$H224),"")</f>
        <v>626.40000000000009</v>
      </c>
      <c r="W224" s="42">
        <f>IFERROR(IF(V224=0,"",ROUNDUP(V224/H224,0)*0.02175),"")</f>
        <v>1.2614999999999998</v>
      </c>
      <c r="X224" s="69" t="s">
        <v>48</v>
      </c>
      <c r="Y224" s="70" t="s">
        <v>48</v>
      </c>
    </row>
    <row r="225" spans="1:25" ht="27" customHeight="1" x14ac:dyDescent="0.25">
      <c r="A225" s="64" t="s">
        <v>485</v>
      </c>
      <c r="B225" s="64" t="s">
        <v>488</v>
      </c>
      <c r="C225" s="37">
        <v>4301011121</v>
      </c>
      <c r="D225" s="131">
        <v>4607091387421</v>
      </c>
      <c r="E225" s="131"/>
      <c r="F225" s="63">
        <v>1.35</v>
      </c>
      <c r="G225" s="38">
        <v>8</v>
      </c>
      <c r="H225" s="63">
        <v>10.8</v>
      </c>
      <c r="I225" s="63">
        <v>11.28</v>
      </c>
      <c r="J225" s="38">
        <v>48</v>
      </c>
      <c r="K225" s="39" t="s">
        <v>295</v>
      </c>
      <c r="L225" s="38">
        <v>55</v>
      </c>
      <c r="M225" s="270" t="s">
        <v>487</v>
      </c>
      <c r="N225" s="133"/>
      <c r="O225" s="133"/>
      <c r="P225" s="133"/>
      <c r="Q225" s="134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1"/>
        <v>0</v>
      </c>
      <c r="W225" s="42" t="str">
        <f>IFERROR(IF(V225=0,"",ROUNDUP(V225/H225,0)*0.02039),"")</f>
        <v/>
      </c>
      <c r="X225" s="69" t="s">
        <v>48</v>
      </c>
      <c r="Y225" s="70" t="s">
        <v>48</v>
      </c>
    </row>
    <row r="226" spans="1:25" ht="27" customHeight="1" x14ac:dyDescent="0.25">
      <c r="A226" s="64" t="s">
        <v>489</v>
      </c>
      <c r="B226" s="64" t="s">
        <v>490</v>
      </c>
      <c r="C226" s="37">
        <v>4301011322</v>
      </c>
      <c r="D226" s="131">
        <v>4607091387452</v>
      </c>
      <c r="E226" s="131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9" t="s">
        <v>158</v>
      </c>
      <c r="L226" s="38">
        <v>55</v>
      </c>
      <c r="M226" s="271" t="s">
        <v>491</v>
      </c>
      <c r="N226" s="133"/>
      <c r="O226" s="133"/>
      <c r="P226" s="133"/>
      <c r="Q226" s="13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1"/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</row>
    <row r="227" spans="1:25" ht="27" customHeight="1" x14ac:dyDescent="0.25">
      <c r="A227" s="64" t="s">
        <v>489</v>
      </c>
      <c r="B227" s="64" t="s">
        <v>492</v>
      </c>
      <c r="C227" s="37">
        <v>4301011396</v>
      </c>
      <c r="D227" s="131">
        <v>4607091387452</v>
      </c>
      <c r="E227" s="131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9" t="s">
        <v>295</v>
      </c>
      <c r="L227" s="38">
        <v>55</v>
      </c>
      <c r="M227" s="272" t="s">
        <v>491</v>
      </c>
      <c r="N227" s="133"/>
      <c r="O227" s="133"/>
      <c r="P227" s="133"/>
      <c r="Q227" s="13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1"/>
        <v>0</v>
      </c>
      <c r="W227" s="42" t="str">
        <f>IFERROR(IF(V227=0,"",ROUNDUP(V227/H227,0)*0.02039),"")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493</v>
      </c>
      <c r="B228" s="64" t="s">
        <v>494</v>
      </c>
      <c r="C228" s="37">
        <v>4301011313</v>
      </c>
      <c r="D228" s="131">
        <v>4607091385984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124</v>
      </c>
      <c r="L228" s="38">
        <v>55</v>
      </c>
      <c r="M228" s="273" t="s">
        <v>495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1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496</v>
      </c>
      <c r="B229" s="64" t="s">
        <v>497</v>
      </c>
      <c r="C229" s="37">
        <v>4301011316</v>
      </c>
      <c r="D229" s="131">
        <v>4607091387438</v>
      </c>
      <c r="E229" s="131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9" t="s">
        <v>124</v>
      </c>
      <c r="L229" s="38">
        <v>55</v>
      </c>
      <c r="M229" s="274" t="s">
        <v>498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100</v>
      </c>
      <c r="V229" s="56">
        <f t="shared" si="11"/>
        <v>100</v>
      </c>
      <c r="W229" s="42">
        <f>IFERROR(IF(V229=0,"",ROUNDUP(V229/H229,0)*0.00937),"")</f>
        <v>0.18740000000000001</v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4301011318</v>
      </c>
      <c r="D230" s="131">
        <v>4607091387469</v>
      </c>
      <c r="E230" s="131"/>
      <c r="F230" s="63">
        <v>0.5</v>
      </c>
      <c r="G230" s="38">
        <v>10</v>
      </c>
      <c r="H230" s="63">
        <v>5</v>
      </c>
      <c r="I230" s="63">
        <v>5.21</v>
      </c>
      <c r="J230" s="38">
        <v>120</v>
      </c>
      <c r="K230" s="39" t="s">
        <v>80</v>
      </c>
      <c r="L230" s="38">
        <v>55</v>
      </c>
      <c r="M230" s="275" t="s">
        <v>501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1"/>
        <v>0</v>
      </c>
      <c r="W230" s="42" t="str">
        <f>IFERROR(IF(V230=0,"",ROUNDUP(V230/H230,0)*0.00937),"")</f>
        <v/>
      </c>
      <c r="X230" s="69" t="s">
        <v>48</v>
      </c>
      <c r="Y230" s="70" t="s">
        <v>48</v>
      </c>
    </row>
    <row r="231" spans="1:25" x14ac:dyDescent="0.2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5" t="s">
        <v>43</v>
      </c>
      <c r="N231" s="136"/>
      <c r="O231" s="136"/>
      <c r="P231" s="136"/>
      <c r="Q231" s="136"/>
      <c r="R231" s="136"/>
      <c r="S231" s="137"/>
      <c r="T231" s="43" t="s">
        <v>42</v>
      </c>
      <c r="U231" s="44">
        <f>IFERROR(U224/H224,"0")+IFERROR(U225/H225,"0")+IFERROR(U226/H226,"0")+IFERROR(U227/H227,"0")+IFERROR(U228/H228,"0")+IFERROR(U229/H229,"0")+IFERROR(U230/H230,"0")</f>
        <v>77.407407407407405</v>
      </c>
      <c r="V231" s="44">
        <f>IFERROR(V224/H224,"0")+IFERROR(V225/H225,"0")+IFERROR(V226/H226,"0")+IFERROR(V227/H227,"0")+IFERROR(V228/H228,"0")+IFERROR(V229/H229,"0")+IFERROR(V230/H230,"0")</f>
        <v>78</v>
      </c>
      <c r="W231" s="44">
        <f>IFERROR(IF(W224="",0,W224),"0")+IFERROR(IF(W225="",0,W225),"0")+IFERROR(IF(W226="",0,W226),"0")+IFERROR(IF(W227="",0,W227),"0")+IFERROR(IF(W228="",0,W228),"0")+IFERROR(IF(W229="",0,W229),"0")+IFERROR(IF(W230="",0,W230),"0")</f>
        <v>1.4488999999999999</v>
      </c>
      <c r="X231" s="68"/>
      <c r="Y231" s="68"/>
    </row>
    <row r="232" spans="1:25" x14ac:dyDescent="0.2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5" t="s">
        <v>43</v>
      </c>
      <c r="N232" s="136"/>
      <c r="O232" s="136"/>
      <c r="P232" s="136"/>
      <c r="Q232" s="136"/>
      <c r="R232" s="136"/>
      <c r="S232" s="137"/>
      <c r="T232" s="43" t="s">
        <v>0</v>
      </c>
      <c r="U232" s="44">
        <f>IFERROR(SUM(U224:U230),"0")</f>
        <v>720</v>
      </c>
      <c r="V232" s="44">
        <f>IFERROR(SUM(V224:V230),"0")</f>
        <v>726.40000000000009</v>
      </c>
      <c r="W232" s="43"/>
      <c r="X232" s="68"/>
      <c r="Y232" s="68"/>
    </row>
    <row r="233" spans="1:25" ht="14.25" customHeight="1" x14ac:dyDescent="0.25">
      <c r="A233" s="130" t="s">
        <v>76</v>
      </c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67"/>
      <c r="Y233" s="67"/>
    </row>
    <row r="234" spans="1:25" ht="27" customHeight="1" x14ac:dyDescent="0.25">
      <c r="A234" s="64" t="s">
        <v>502</v>
      </c>
      <c r="B234" s="64" t="s">
        <v>503</v>
      </c>
      <c r="C234" s="37">
        <v>4301031154</v>
      </c>
      <c r="D234" s="131">
        <v>4607091387292</v>
      </c>
      <c r="E234" s="131"/>
      <c r="F234" s="63">
        <v>0.63</v>
      </c>
      <c r="G234" s="38">
        <v>6</v>
      </c>
      <c r="H234" s="63">
        <v>3.78</v>
      </c>
      <c r="I234" s="63">
        <v>4.04</v>
      </c>
      <c r="J234" s="38">
        <v>156</v>
      </c>
      <c r="K234" s="39" t="s">
        <v>80</v>
      </c>
      <c r="L234" s="38">
        <v>45</v>
      </c>
      <c r="M234" s="276" t="s">
        <v>504</v>
      </c>
      <c r="N234" s="133"/>
      <c r="O234" s="133"/>
      <c r="P234" s="133"/>
      <c r="Q234" s="13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</row>
    <row r="235" spans="1:25" ht="27" customHeight="1" x14ac:dyDescent="0.25">
      <c r="A235" s="64" t="s">
        <v>505</v>
      </c>
      <c r="B235" s="64" t="s">
        <v>506</v>
      </c>
      <c r="C235" s="37">
        <v>4301031155</v>
      </c>
      <c r="D235" s="131">
        <v>4607091387315</v>
      </c>
      <c r="E235" s="131"/>
      <c r="F235" s="63">
        <v>0.7</v>
      </c>
      <c r="G235" s="38">
        <v>4</v>
      </c>
      <c r="H235" s="63">
        <v>2.8</v>
      </c>
      <c r="I235" s="63">
        <v>3.048</v>
      </c>
      <c r="J235" s="38">
        <v>156</v>
      </c>
      <c r="K235" s="39" t="s">
        <v>80</v>
      </c>
      <c r="L235" s="38">
        <v>45</v>
      </c>
      <c r="M235" s="277" t="s">
        <v>507</v>
      </c>
      <c r="N235" s="133"/>
      <c r="O235" s="133"/>
      <c r="P235" s="133"/>
      <c r="Q235" s="13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42</v>
      </c>
      <c r="U236" s="44">
        <f>IFERROR(U234/H234,"0")+IFERROR(U235/H235,"0")</f>
        <v>0</v>
      </c>
      <c r="V236" s="44">
        <f>IFERROR(V234/H234,"0")+IFERROR(V235/H235,"0")</f>
        <v>0</v>
      </c>
      <c r="W236" s="44">
        <f>IFERROR(IF(W234="",0,W234),"0")+IFERROR(IF(W235="",0,W235),"0")</f>
        <v>0</v>
      </c>
      <c r="X236" s="68"/>
      <c r="Y236" s="68"/>
    </row>
    <row r="237" spans="1:25" x14ac:dyDescent="0.2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5" t="s">
        <v>43</v>
      </c>
      <c r="N237" s="136"/>
      <c r="O237" s="136"/>
      <c r="P237" s="136"/>
      <c r="Q237" s="136"/>
      <c r="R237" s="136"/>
      <c r="S237" s="137"/>
      <c r="T237" s="43" t="s">
        <v>0</v>
      </c>
      <c r="U237" s="44">
        <f>IFERROR(SUM(U234:U235),"0")</f>
        <v>0</v>
      </c>
      <c r="V237" s="44">
        <f>IFERROR(SUM(V234:V235),"0")</f>
        <v>0</v>
      </c>
      <c r="W237" s="43"/>
      <c r="X237" s="68"/>
      <c r="Y237" s="68"/>
    </row>
    <row r="238" spans="1:25" ht="16.5" customHeight="1" x14ac:dyDescent="0.25">
      <c r="A238" s="129" t="s">
        <v>508</v>
      </c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66"/>
      <c r="Y238" s="66"/>
    </row>
    <row r="239" spans="1:25" ht="14.25" customHeight="1" x14ac:dyDescent="0.25">
      <c r="A239" s="130" t="s">
        <v>76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67"/>
      <c r="Y239" s="67"/>
    </row>
    <row r="240" spans="1:25" ht="37.5" customHeight="1" x14ac:dyDescent="0.25">
      <c r="A240" s="64" t="s">
        <v>509</v>
      </c>
      <c r="B240" s="64" t="s">
        <v>510</v>
      </c>
      <c r="C240" s="37">
        <v>4301030368</v>
      </c>
      <c r="D240" s="131">
        <v>4607091383232</v>
      </c>
      <c r="E240" s="131"/>
      <c r="F240" s="63">
        <v>0.28000000000000003</v>
      </c>
      <c r="G240" s="38">
        <v>6</v>
      </c>
      <c r="H240" s="63">
        <v>1.68</v>
      </c>
      <c r="I240" s="63">
        <v>2.6</v>
      </c>
      <c r="J240" s="38">
        <v>156</v>
      </c>
      <c r="K240" s="39" t="s">
        <v>80</v>
      </c>
      <c r="L240" s="38">
        <v>35</v>
      </c>
      <c r="M240" s="278" t="s">
        <v>511</v>
      </c>
      <c r="N240" s="133"/>
      <c r="O240" s="133"/>
      <c r="P240" s="133"/>
      <c r="Q240" s="134"/>
      <c r="R240" s="40" t="s">
        <v>48</v>
      </c>
      <c r="S240" s="40" t="s">
        <v>48</v>
      </c>
      <c r="T240" s="41" t="s">
        <v>0</v>
      </c>
      <c r="U240" s="59">
        <v>107</v>
      </c>
      <c r="V240" s="56">
        <f>IFERROR(IF(U240="",0,CEILING((U240/$H240),1)*$H240),"")</f>
        <v>107.52</v>
      </c>
      <c r="W240" s="42">
        <f>IFERROR(IF(V240=0,"",ROUNDUP(V240/H240,0)*0.00753),"")</f>
        <v>0.48192000000000002</v>
      </c>
      <c r="X240" s="69" t="s">
        <v>48</v>
      </c>
      <c r="Y240" s="70" t="s">
        <v>48</v>
      </c>
    </row>
    <row r="241" spans="1:25" ht="27" customHeight="1" x14ac:dyDescent="0.25">
      <c r="A241" s="64" t="s">
        <v>512</v>
      </c>
      <c r="B241" s="64" t="s">
        <v>513</v>
      </c>
      <c r="C241" s="37">
        <v>4301031066</v>
      </c>
      <c r="D241" s="131">
        <v>4607091383836</v>
      </c>
      <c r="E241" s="131"/>
      <c r="F241" s="63">
        <v>0.3</v>
      </c>
      <c r="G241" s="38">
        <v>6</v>
      </c>
      <c r="H241" s="63">
        <v>1.8</v>
      </c>
      <c r="I241" s="63">
        <v>2.048</v>
      </c>
      <c r="J241" s="38">
        <v>156</v>
      </c>
      <c r="K241" s="39" t="s">
        <v>80</v>
      </c>
      <c r="L241" s="38">
        <v>40</v>
      </c>
      <c r="M241" s="279" t="s">
        <v>514</v>
      </c>
      <c r="N241" s="133"/>
      <c r="O241" s="133"/>
      <c r="P241" s="133"/>
      <c r="Q241" s="13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</row>
    <row r="242" spans="1:25" x14ac:dyDescent="0.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5" t="s">
        <v>43</v>
      </c>
      <c r="N242" s="136"/>
      <c r="O242" s="136"/>
      <c r="P242" s="136"/>
      <c r="Q242" s="136"/>
      <c r="R242" s="136"/>
      <c r="S242" s="137"/>
      <c r="T242" s="43" t="s">
        <v>42</v>
      </c>
      <c r="U242" s="44">
        <f>IFERROR(U240/H240,"0")+IFERROR(U241/H241,"0")</f>
        <v>63.69047619047619</v>
      </c>
      <c r="V242" s="44">
        <f>IFERROR(V240/H240,"0")+IFERROR(V241/H241,"0")</f>
        <v>64</v>
      </c>
      <c r="W242" s="44">
        <f>IFERROR(IF(W240="",0,W240),"0")+IFERROR(IF(W241="",0,W241),"0")</f>
        <v>0.48192000000000002</v>
      </c>
      <c r="X242" s="68"/>
      <c r="Y242" s="68"/>
    </row>
    <row r="243" spans="1:25" x14ac:dyDescent="0.2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5" t="s">
        <v>43</v>
      </c>
      <c r="N243" s="136"/>
      <c r="O243" s="136"/>
      <c r="P243" s="136"/>
      <c r="Q243" s="136"/>
      <c r="R243" s="136"/>
      <c r="S243" s="137"/>
      <c r="T243" s="43" t="s">
        <v>0</v>
      </c>
      <c r="U243" s="44">
        <f>IFERROR(SUM(U240:U241),"0")</f>
        <v>107</v>
      </c>
      <c r="V243" s="44">
        <f>IFERROR(SUM(V240:V241),"0")</f>
        <v>107.52</v>
      </c>
      <c r="W243" s="43"/>
      <c r="X243" s="68"/>
      <c r="Y243" s="68"/>
    </row>
    <row r="244" spans="1:25" ht="14.25" customHeight="1" x14ac:dyDescent="0.25">
      <c r="A244" s="130" t="s">
        <v>81</v>
      </c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67"/>
      <c r="Y244" s="67"/>
    </row>
    <row r="245" spans="1:25" ht="27" customHeight="1" x14ac:dyDescent="0.25">
      <c r="A245" s="64" t="s">
        <v>515</v>
      </c>
      <c r="B245" s="64" t="s">
        <v>516</v>
      </c>
      <c r="C245" s="37">
        <v>4301051142</v>
      </c>
      <c r="D245" s="131">
        <v>4607091387919</v>
      </c>
      <c r="E245" s="131"/>
      <c r="F245" s="63">
        <v>1.35</v>
      </c>
      <c r="G245" s="38">
        <v>6</v>
      </c>
      <c r="H245" s="63">
        <v>8.1</v>
      </c>
      <c r="I245" s="63">
        <v>8.6639999999999997</v>
      </c>
      <c r="J245" s="38">
        <v>56</v>
      </c>
      <c r="K245" s="39" t="s">
        <v>80</v>
      </c>
      <c r="L245" s="38">
        <v>45</v>
      </c>
      <c r="M245" s="280" t="s">
        <v>517</v>
      </c>
      <c r="N245" s="133"/>
      <c r="O245" s="133"/>
      <c r="P245" s="133"/>
      <c r="Q245" s="134"/>
      <c r="R245" s="40" t="s">
        <v>48</v>
      </c>
      <c r="S245" s="40" t="s">
        <v>48</v>
      </c>
      <c r="T245" s="41" t="s">
        <v>0</v>
      </c>
      <c r="U245" s="59">
        <v>208</v>
      </c>
      <c r="V245" s="56">
        <f>IFERROR(IF(U245="",0,CEILING((U245/$H245),1)*$H245),"")</f>
        <v>210.6</v>
      </c>
      <c r="W245" s="42">
        <f>IFERROR(IF(V245=0,"",ROUNDUP(V245/H245,0)*0.02175),"")</f>
        <v>0.5655</v>
      </c>
      <c r="X245" s="69" t="s">
        <v>48</v>
      </c>
      <c r="Y245" s="70" t="s">
        <v>48</v>
      </c>
    </row>
    <row r="246" spans="1:25" ht="27" customHeight="1" x14ac:dyDescent="0.25">
      <c r="A246" s="64" t="s">
        <v>518</v>
      </c>
      <c r="B246" s="64" t="s">
        <v>519</v>
      </c>
      <c r="C246" s="37">
        <v>4301051109</v>
      </c>
      <c r="D246" s="131">
        <v>4607091383942</v>
      </c>
      <c r="E246" s="131"/>
      <c r="F246" s="63">
        <v>0.42</v>
      </c>
      <c r="G246" s="38">
        <v>6</v>
      </c>
      <c r="H246" s="63">
        <v>2.52</v>
      </c>
      <c r="I246" s="63">
        <v>2.7919999999999998</v>
      </c>
      <c r="J246" s="38">
        <v>156</v>
      </c>
      <c r="K246" s="39" t="s">
        <v>158</v>
      </c>
      <c r="L246" s="38">
        <v>45</v>
      </c>
      <c r="M246" s="281" t="s">
        <v>520</v>
      </c>
      <c r="N246" s="133"/>
      <c r="O246" s="133"/>
      <c r="P246" s="133"/>
      <c r="Q246" s="134"/>
      <c r="R246" s="40" t="s">
        <v>48</v>
      </c>
      <c r="S246" s="40" t="s">
        <v>48</v>
      </c>
      <c r="T246" s="41" t="s">
        <v>0</v>
      </c>
      <c r="U246" s="59">
        <v>559</v>
      </c>
      <c r="V246" s="56">
        <f>IFERROR(IF(U246="",0,CEILING((U246/$H246),1)*$H246),"")</f>
        <v>559.44000000000005</v>
      </c>
      <c r="W246" s="42">
        <f>IFERROR(IF(V246=0,"",ROUNDUP(V246/H246,0)*0.00753),"")</f>
        <v>1.6716600000000001</v>
      </c>
      <c r="X246" s="69" t="s">
        <v>48</v>
      </c>
      <c r="Y246" s="70" t="s">
        <v>48</v>
      </c>
    </row>
    <row r="247" spans="1:25" ht="27" customHeight="1" x14ac:dyDescent="0.25">
      <c r="A247" s="64" t="s">
        <v>521</v>
      </c>
      <c r="B247" s="64" t="s">
        <v>522</v>
      </c>
      <c r="C247" s="37">
        <v>4301051300</v>
      </c>
      <c r="D247" s="131">
        <v>4607091383959</v>
      </c>
      <c r="E247" s="131"/>
      <c r="F247" s="63">
        <v>0.42</v>
      </c>
      <c r="G247" s="38">
        <v>6</v>
      </c>
      <c r="H247" s="63">
        <v>2.52</v>
      </c>
      <c r="I247" s="63">
        <v>2.78</v>
      </c>
      <c r="J247" s="38">
        <v>156</v>
      </c>
      <c r="K247" s="39" t="s">
        <v>80</v>
      </c>
      <c r="L247" s="38">
        <v>35</v>
      </c>
      <c r="M247" s="282" t="s">
        <v>523</v>
      </c>
      <c r="N247" s="133"/>
      <c r="O247" s="133"/>
      <c r="P247" s="133"/>
      <c r="Q247" s="134"/>
      <c r="R247" s="40" t="s">
        <v>48</v>
      </c>
      <c r="S247" s="40" t="s">
        <v>48</v>
      </c>
      <c r="T247" s="41" t="s">
        <v>0</v>
      </c>
      <c r="U247" s="59">
        <v>380</v>
      </c>
      <c r="V247" s="56">
        <f>IFERROR(IF(U247="",0,CEILING((U247/$H247),1)*$H247),"")</f>
        <v>380.52</v>
      </c>
      <c r="W247" s="42">
        <f>IFERROR(IF(V247=0,"",ROUNDUP(V247/H247,0)*0.00753),"")</f>
        <v>1.13703</v>
      </c>
      <c r="X247" s="69" t="s">
        <v>48</v>
      </c>
      <c r="Y247" s="70" t="s">
        <v>48</v>
      </c>
    </row>
    <row r="248" spans="1:25" x14ac:dyDescent="0.2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5" t="s">
        <v>43</v>
      </c>
      <c r="N248" s="136"/>
      <c r="O248" s="136"/>
      <c r="P248" s="136"/>
      <c r="Q248" s="136"/>
      <c r="R248" s="136"/>
      <c r="S248" s="137"/>
      <c r="T248" s="43" t="s">
        <v>42</v>
      </c>
      <c r="U248" s="44">
        <f>IFERROR(U245/H245,"0")+IFERROR(U246/H246,"0")+IFERROR(U247/H247,"0")</f>
        <v>398.29805996472663</v>
      </c>
      <c r="V248" s="44">
        <f>IFERROR(V245/H245,"0")+IFERROR(V246/H246,"0")+IFERROR(V247/H247,"0")</f>
        <v>399</v>
      </c>
      <c r="W248" s="44">
        <f>IFERROR(IF(W245="",0,W245),"0")+IFERROR(IF(W246="",0,W246),"0")+IFERROR(IF(W247="",0,W247),"0")</f>
        <v>3.3741900000000005</v>
      </c>
      <c r="X248" s="68"/>
      <c r="Y248" s="68"/>
    </row>
    <row r="249" spans="1:25" x14ac:dyDescent="0.2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5" t="s">
        <v>43</v>
      </c>
      <c r="N249" s="136"/>
      <c r="O249" s="136"/>
      <c r="P249" s="136"/>
      <c r="Q249" s="136"/>
      <c r="R249" s="136"/>
      <c r="S249" s="137"/>
      <c r="T249" s="43" t="s">
        <v>0</v>
      </c>
      <c r="U249" s="44">
        <f>IFERROR(SUM(U245:U247),"0")</f>
        <v>1147</v>
      </c>
      <c r="V249" s="44">
        <f>IFERROR(SUM(V245:V247),"0")</f>
        <v>1150.56</v>
      </c>
      <c r="W249" s="43"/>
      <c r="X249" s="68"/>
      <c r="Y249" s="68"/>
    </row>
    <row r="250" spans="1:25" ht="14.25" customHeight="1" x14ac:dyDescent="0.25">
      <c r="A250" s="130" t="s">
        <v>246</v>
      </c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67"/>
      <c r="Y250" s="67"/>
    </row>
    <row r="251" spans="1:25" ht="27" customHeight="1" x14ac:dyDescent="0.25">
      <c r="A251" s="64" t="s">
        <v>524</v>
      </c>
      <c r="B251" s="64" t="s">
        <v>525</v>
      </c>
      <c r="C251" s="37">
        <v>4301060324</v>
      </c>
      <c r="D251" s="131">
        <v>4607091388831</v>
      </c>
      <c r="E251" s="131"/>
      <c r="F251" s="63">
        <v>0.38</v>
      </c>
      <c r="G251" s="38">
        <v>6</v>
      </c>
      <c r="H251" s="63">
        <v>2.2799999999999998</v>
      </c>
      <c r="I251" s="63">
        <v>2.552</v>
      </c>
      <c r="J251" s="38">
        <v>156</v>
      </c>
      <c r="K251" s="39" t="s">
        <v>80</v>
      </c>
      <c r="L251" s="38">
        <v>40</v>
      </c>
      <c r="M251" s="283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1" s="133"/>
      <c r="O251" s="133"/>
      <c r="P251" s="133"/>
      <c r="Q251" s="134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5" t="s">
        <v>43</v>
      </c>
      <c r="N252" s="136"/>
      <c r="O252" s="136"/>
      <c r="P252" s="136"/>
      <c r="Q252" s="136"/>
      <c r="R252" s="136"/>
      <c r="S252" s="137"/>
      <c r="T252" s="43" t="s">
        <v>42</v>
      </c>
      <c r="U252" s="44">
        <f>IFERROR(U251/H251,"0")</f>
        <v>0</v>
      </c>
      <c r="V252" s="44">
        <f>IFERROR(V251/H251,"0")</f>
        <v>0</v>
      </c>
      <c r="W252" s="44">
        <f>IFERROR(IF(W251="",0,W251),"0")</f>
        <v>0</v>
      </c>
      <c r="X252" s="68"/>
      <c r="Y252" s="68"/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0</v>
      </c>
      <c r="U253" s="44">
        <f>IFERROR(SUM(U251:U251),"0")</f>
        <v>0</v>
      </c>
      <c r="V253" s="44">
        <f>IFERROR(SUM(V251:V251),"0")</f>
        <v>0</v>
      </c>
      <c r="W253" s="43"/>
      <c r="X253" s="68"/>
      <c r="Y253" s="68"/>
    </row>
    <row r="254" spans="1:25" ht="14.25" customHeight="1" x14ac:dyDescent="0.25">
      <c r="A254" s="130" t="s">
        <v>100</v>
      </c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67"/>
      <c r="Y254" s="67"/>
    </row>
    <row r="255" spans="1:25" ht="27" customHeight="1" x14ac:dyDescent="0.25">
      <c r="A255" s="64" t="s">
        <v>526</v>
      </c>
      <c r="B255" s="64" t="s">
        <v>527</v>
      </c>
      <c r="C255" s="37">
        <v>4301032015</v>
      </c>
      <c r="D255" s="131">
        <v>4607091383102</v>
      </c>
      <c r="E255" s="131"/>
      <c r="F255" s="63">
        <v>0.17</v>
      </c>
      <c r="G255" s="38">
        <v>15</v>
      </c>
      <c r="H255" s="63">
        <v>2.5499999999999998</v>
      </c>
      <c r="I255" s="63">
        <v>2.9750000000000001</v>
      </c>
      <c r="J255" s="38">
        <v>156</v>
      </c>
      <c r="K255" s="39" t="s">
        <v>104</v>
      </c>
      <c r="L255" s="38">
        <v>180</v>
      </c>
      <c r="M255" s="284" t="s">
        <v>528</v>
      </c>
      <c r="N255" s="133"/>
      <c r="O255" s="133"/>
      <c r="P255" s="133"/>
      <c r="Q255" s="134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5" t="s">
        <v>43</v>
      </c>
      <c r="N256" s="136"/>
      <c r="O256" s="136"/>
      <c r="P256" s="136"/>
      <c r="Q256" s="136"/>
      <c r="R256" s="136"/>
      <c r="S256" s="137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130" t="s">
        <v>114</v>
      </c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67"/>
      <c r="Y258" s="67"/>
    </row>
    <row r="259" spans="1:25" ht="27" customHeight="1" x14ac:dyDescent="0.25">
      <c r="A259" s="64" t="s">
        <v>529</v>
      </c>
      <c r="B259" s="64" t="s">
        <v>530</v>
      </c>
      <c r="C259" s="37">
        <v>4301032026</v>
      </c>
      <c r="D259" s="131">
        <v>4607091389142</v>
      </c>
      <c r="E259" s="131"/>
      <c r="F259" s="63">
        <v>0.15</v>
      </c>
      <c r="G259" s="38">
        <v>10</v>
      </c>
      <c r="H259" s="63">
        <v>1.5</v>
      </c>
      <c r="I259" s="63">
        <v>1.76</v>
      </c>
      <c r="J259" s="38">
        <v>200</v>
      </c>
      <c r="K259" s="39" t="s">
        <v>532</v>
      </c>
      <c r="L259" s="38">
        <v>150</v>
      </c>
      <c r="M259" s="285" t="s">
        <v>531</v>
      </c>
      <c r="N259" s="133"/>
      <c r="O259" s="133"/>
      <c r="P259" s="133"/>
      <c r="Q259" s="134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IFERROR(IF(V259=0,"",ROUNDUP(V259/H259,0)*0.00673),"")</f>
        <v/>
      </c>
      <c r="X259" s="69" t="s">
        <v>48</v>
      </c>
      <c r="Y259" s="70" t="s">
        <v>48</v>
      </c>
    </row>
    <row r="260" spans="1:25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5" t="s">
        <v>43</v>
      </c>
      <c r="N260" s="136"/>
      <c r="O260" s="136"/>
      <c r="P260" s="136"/>
      <c r="Q260" s="136"/>
      <c r="R260" s="136"/>
      <c r="S260" s="137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27.75" customHeight="1" x14ac:dyDescent="0.2">
      <c r="A262" s="128" t="s">
        <v>533</v>
      </c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55"/>
      <c r="Y262" s="55"/>
    </row>
    <row r="263" spans="1:25" ht="16.5" customHeight="1" x14ac:dyDescent="0.25">
      <c r="A263" s="129" t="s">
        <v>534</v>
      </c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66"/>
      <c r="Y263" s="66"/>
    </row>
    <row r="264" spans="1:25" ht="14.25" customHeight="1" x14ac:dyDescent="0.25">
      <c r="A264" s="130" t="s">
        <v>126</v>
      </c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67"/>
      <c r="Y264" s="67"/>
    </row>
    <row r="265" spans="1:25" ht="27" customHeight="1" x14ac:dyDescent="0.25">
      <c r="A265" s="64" t="s">
        <v>535</v>
      </c>
      <c r="B265" s="64" t="s">
        <v>536</v>
      </c>
      <c r="C265" s="37">
        <v>4301011339</v>
      </c>
      <c r="D265" s="131">
        <v>4607091383997</v>
      </c>
      <c r="E265" s="131"/>
      <c r="F265" s="63">
        <v>2.5</v>
      </c>
      <c r="G265" s="38">
        <v>6</v>
      </c>
      <c r="H265" s="63">
        <v>15</v>
      </c>
      <c r="I265" s="63">
        <v>15.48</v>
      </c>
      <c r="J265" s="38">
        <v>48</v>
      </c>
      <c r="K265" s="39" t="s">
        <v>80</v>
      </c>
      <c r="L265" s="38">
        <v>60</v>
      </c>
      <c r="M265" s="286" t="s">
        <v>537</v>
      </c>
      <c r="N265" s="133"/>
      <c r="O265" s="133"/>
      <c r="P265" s="133"/>
      <c r="Q265" s="134"/>
      <c r="R265" s="40" t="s">
        <v>48</v>
      </c>
      <c r="S265" s="40" t="s">
        <v>48</v>
      </c>
      <c r="T265" s="41" t="s">
        <v>0</v>
      </c>
      <c r="U265" s="59">
        <v>585</v>
      </c>
      <c r="V265" s="56">
        <f t="shared" ref="V265:V272" si="12">IFERROR(IF(U265="",0,CEILING((U265/$H265),1)*$H265),"")</f>
        <v>585</v>
      </c>
      <c r="W265" s="42">
        <f>IFERROR(IF(V265=0,"",ROUNDUP(V265/H265,0)*0.02175),"")</f>
        <v>0.84824999999999995</v>
      </c>
      <c r="X265" s="69" t="s">
        <v>48</v>
      </c>
      <c r="Y265" s="70" t="s">
        <v>48</v>
      </c>
    </row>
    <row r="266" spans="1:25" ht="27" customHeight="1" x14ac:dyDescent="0.25">
      <c r="A266" s="64" t="s">
        <v>535</v>
      </c>
      <c r="B266" s="64" t="s">
        <v>538</v>
      </c>
      <c r="C266" s="37">
        <v>4301011239</v>
      </c>
      <c r="D266" s="131">
        <v>4607091383997</v>
      </c>
      <c r="E266" s="131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295</v>
      </c>
      <c r="L266" s="38">
        <v>60</v>
      </c>
      <c r="M266" s="287" t="s">
        <v>537</v>
      </c>
      <c r="N266" s="133"/>
      <c r="O266" s="133"/>
      <c r="P266" s="133"/>
      <c r="Q266" s="134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si="12"/>
        <v>0</v>
      </c>
      <c r="W266" s="42" t="str">
        <f>IFERROR(IF(V266=0,"",ROUNDUP(V266/H266,0)*0.02039),"")</f>
        <v/>
      </c>
      <c r="X266" s="69" t="s">
        <v>48</v>
      </c>
      <c r="Y266" s="70" t="s">
        <v>48</v>
      </c>
    </row>
    <row r="267" spans="1:25" ht="27" customHeight="1" x14ac:dyDescent="0.25">
      <c r="A267" s="64" t="s">
        <v>539</v>
      </c>
      <c r="B267" s="64" t="s">
        <v>540</v>
      </c>
      <c r="C267" s="37">
        <v>4301011240</v>
      </c>
      <c r="D267" s="131">
        <v>4607091384130</v>
      </c>
      <c r="E267" s="131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295</v>
      </c>
      <c r="L267" s="38">
        <v>60</v>
      </c>
      <c r="M267" s="288" t="s">
        <v>541</v>
      </c>
      <c r="N267" s="133"/>
      <c r="O267" s="133"/>
      <c r="P267" s="133"/>
      <c r="Q267" s="134"/>
      <c r="R267" s="40" t="s">
        <v>48</v>
      </c>
      <c r="S267" s="40" t="s">
        <v>48</v>
      </c>
      <c r="T267" s="41" t="s">
        <v>0</v>
      </c>
      <c r="U267" s="59">
        <v>1090</v>
      </c>
      <c r="V267" s="56">
        <f t="shared" si="12"/>
        <v>1095</v>
      </c>
      <c r="W267" s="42">
        <f>IFERROR(IF(V267=0,"",ROUNDUP(V267/H267,0)*0.02039),"")</f>
        <v>1.48847</v>
      </c>
      <c r="X267" s="69" t="s">
        <v>48</v>
      </c>
      <c r="Y267" s="70" t="s">
        <v>48</v>
      </c>
    </row>
    <row r="268" spans="1:25" ht="27" customHeight="1" x14ac:dyDescent="0.25">
      <c r="A268" s="64" t="s">
        <v>539</v>
      </c>
      <c r="B268" s="64" t="s">
        <v>542</v>
      </c>
      <c r="C268" s="37">
        <v>4301011326</v>
      </c>
      <c r="D268" s="131">
        <v>4607091384130</v>
      </c>
      <c r="E268" s="131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80</v>
      </c>
      <c r="L268" s="38">
        <v>60</v>
      </c>
      <c r="M268" s="289" t="s">
        <v>541</v>
      </c>
      <c r="N268" s="133"/>
      <c r="O268" s="133"/>
      <c r="P268" s="133"/>
      <c r="Q268" s="134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2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</row>
    <row r="269" spans="1:25" ht="16.5" customHeight="1" x14ac:dyDescent="0.25">
      <c r="A269" s="64" t="s">
        <v>543</v>
      </c>
      <c r="B269" s="64" t="s">
        <v>544</v>
      </c>
      <c r="C269" s="37">
        <v>4301011238</v>
      </c>
      <c r="D269" s="131">
        <v>4607091384147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295</v>
      </c>
      <c r="L269" s="38">
        <v>60</v>
      </c>
      <c r="M269" s="290" t="s">
        <v>545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1200</v>
      </c>
      <c r="V269" s="56">
        <f t="shared" si="12"/>
        <v>1200</v>
      </c>
      <c r="W269" s="42">
        <f>IFERROR(IF(V269=0,"",ROUNDUP(V269/H269,0)*0.02039),"")</f>
        <v>1.6311999999999998</v>
      </c>
      <c r="X269" s="69" t="s">
        <v>48</v>
      </c>
      <c r="Y269" s="70" t="s">
        <v>48</v>
      </c>
    </row>
    <row r="270" spans="1:25" ht="16.5" customHeight="1" x14ac:dyDescent="0.25">
      <c r="A270" s="64" t="s">
        <v>543</v>
      </c>
      <c r="B270" s="64" t="s">
        <v>546</v>
      </c>
      <c r="C270" s="37">
        <v>4301011330</v>
      </c>
      <c r="D270" s="131">
        <v>4607091384147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80</v>
      </c>
      <c r="L270" s="38">
        <v>60</v>
      </c>
      <c r="M270" s="291" t="s">
        <v>545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2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547</v>
      </c>
      <c r="B271" s="64" t="s">
        <v>548</v>
      </c>
      <c r="C271" s="37">
        <v>4301011327</v>
      </c>
      <c r="D271" s="131">
        <v>4607091384154</v>
      </c>
      <c r="E271" s="131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9" t="s">
        <v>80</v>
      </c>
      <c r="L271" s="38">
        <v>60</v>
      </c>
      <c r="M271" s="292" t="s">
        <v>549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75</v>
      </c>
      <c r="V271" s="56">
        <f t="shared" si="12"/>
        <v>75</v>
      </c>
      <c r="W271" s="42">
        <f>IFERROR(IF(V271=0,"",ROUNDUP(V271/H271,0)*0.00937),"")</f>
        <v>0.14055000000000001</v>
      </c>
      <c r="X271" s="69" t="s">
        <v>48</v>
      </c>
      <c r="Y271" s="70" t="s">
        <v>48</v>
      </c>
    </row>
    <row r="272" spans="1:25" ht="27" customHeight="1" x14ac:dyDescent="0.25">
      <c r="A272" s="64" t="s">
        <v>550</v>
      </c>
      <c r="B272" s="64" t="s">
        <v>551</v>
      </c>
      <c r="C272" s="37">
        <v>4301011332</v>
      </c>
      <c r="D272" s="131">
        <v>4607091384161</v>
      </c>
      <c r="E272" s="131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80</v>
      </c>
      <c r="L272" s="38">
        <v>60</v>
      </c>
      <c r="M272" s="293" t="s">
        <v>552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2"/>
        <v>0</v>
      </c>
      <c r="W272" s="42" t="str">
        <f>IFERROR(IF(V272=0,"",ROUNDUP(V272/H272,0)*0.00937),"")</f>
        <v/>
      </c>
      <c r="X272" s="69" t="s">
        <v>48</v>
      </c>
      <c r="Y272" s="70" t="s">
        <v>48</v>
      </c>
    </row>
    <row r="273" spans="1:25" x14ac:dyDescent="0.2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5" t="s">
        <v>43</v>
      </c>
      <c r="N273" s="136"/>
      <c r="O273" s="136"/>
      <c r="P273" s="136"/>
      <c r="Q273" s="136"/>
      <c r="R273" s="136"/>
      <c r="S273" s="137"/>
      <c r="T273" s="43" t="s">
        <v>42</v>
      </c>
      <c r="U273" s="44">
        <f>IFERROR(U265/H265,"0")+IFERROR(U266/H266,"0")+IFERROR(U267/H267,"0")+IFERROR(U268/H268,"0")+IFERROR(U269/H269,"0")+IFERROR(U270/H270,"0")+IFERROR(U271/H271,"0")+IFERROR(U272/H272,"0")</f>
        <v>206.66666666666669</v>
      </c>
      <c r="V273" s="44">
        <f>IFERROR(V265/H265,"0")+IFERROR(V266/H266,"0")+IFERROR(V267/H267,"0")+IFERROR(V268/H268,"0")+IFERROR(V269/H269,"0")+IFERROR(V270/H270,"0")+IFERROR(V271/H271,"0")+IFERROR(V272/H272,"0")</f>
        <v>207</v>
      </c>
      <c r="W273" s="44">
        <f>IFERROR(IF(W265="",0,W265),"0")+IFERROR(IF(W266="",0,W266),"0")+IFERROR(IF(W267="",0,W267),"0")+IFERROR(IF(W268="",0,W268),"0")+IFERROR(IF(W269="",0,W269),"0")+IFERROR(IF(W270="",0,W270),"0")+IFERROR(IF(W271="",0,W271),"0")+IFERROR(IF(W272="",0,W272),"0")</f>
        <v>4.1084699999999996</v>
      </c>
      <c r="X273" s="68"/>
      <c r="Y273" s="68"/>
    </row>
    <row r="274" spans="1:25" x14ac:dyDescent="0.2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5" t="s">
        <v>43</v>
      </c>
      <c r="N274" s="136"/>
      <c r="O274" s="136"/>
      <c r="P274" s="136"/>
      <c r="Q274" s="136"/>
      <c r="R274" s="136"/>
      <c r="S274" s="137"/>
      <c r="T274" s="43" t="s">
        <v>0</v>
      </c>
      <c r="U274" s="44">
        <f>IFERROR(SUM(U265:U272),"0")</f>
        <v>2950</v>
      </c>
      <c r="V274" s="44">
        <f>IFERROR(SUM(V265:V272),"0")</f>
        <v>2955</v>
      </c>
      <c r="W274" s="43"/>
      <c r="X274" s="68"/>
      <c r="Y274" s="68"/>
    </row>
    <row r="275" spans="1:25" ht="14.25" customHeight="1" x14ac:dyDescent="0.25">
      <c r="A275" s="130" t="s">
        <v>120</v>
      </c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67"/>
      <c r="Y275" s="67"/>
    </row>
    <row r="276" spans="1:25" ht="27" customHeight="1" x14ac:dyDescent="0.25">
      <c r="A276" s="64" t="s">
        <v>553</v>
      </c>
      <c r="B276" s="64" t="s">
        <v>554</v>
      </c>
      <c r="C276" s="37">
        <v>4301020178</v>
      </c>
      <c r="D276" s="131">
        <v>4607091383980</v>
      </c>
      <c r="E276" s="131"/>
      <c r="F276" s="63">
        <v>2.5</v>
      </c>
      <c r="G276" s="38">
        <v>6</v>
      </c>
      <c r="H276" s="63">
        <v>15</v>
      </c>
      <c r="I276" s="63">
        <v>15.48</v>
      </c>
      <c r="J276" s="38">
        <v>48</v>
      </c>
      <c r="K276" s="39" t="s">
        <v>124</v>
      </c>
      <c r="L276" s="38">
        <v>50</v>
      </c>
      <c r="M276" s="294" t="s">
        <v>555</v>
      </c>
      <c r="N276" s="133"/>
      <c r="O276" s="133"/>
      <c r="P276" s="133"/>
      <c r="Q276" s="134"/>
      <c r="R276" s="40" t="s">
        <v>48</v>
      </c>
      <c r="S276" s="40" t="s">
        <v>48</v>
      </c>
      <c r="T276" s="41" t="s">
        <v>0</v>
      </c>
      <c r="U276" s="59">
        <v>240</v>
      </c>
      <c r="V276" s="56">
        <f>IFERROR(IF(U276="",0,CEILING((U276/$H276),1)*$H276),"")</f>
        <v>240</v>
      </c>
      <c r="W276" s="42">
        <f>IFERROR(IF(V276=0,"",ROUNDUP(V276/H276,0)*0.02175),"")</f>
        <v>0.34799999999999998</v>
      </c>
      <c r="X276" s="69" t="s">
        <v>48</v>
      </c>
      <c r="Y276" s="70" t="s">
        <v>48</v>
      </c>
    </row>
    <row r="277" spans="1:25" ht="27" customHeight="1" x14ac:dyDescent="0.25">
      <c r="A277" s="64" t="s">
        <v>556</v>
      </c>
      <c r="B277" s="64" t="s">
        <v>557</v>
      </c>
      <c r="C277" s="37">
        <v>4301020179</v>
      </c>
      <c r="D277" s="131">
        <v>4607091384178</v>
      </c>
      <c r="E277" s="131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9" t="s">
        <v>124</v>
      </c>
      <c r="L277" s="38">
        <v>50</v>
      </c>
      <c r="M277" s="295" t="s">
        <v>558</v>
      </c>
      <c r="N277" s="133"/>
      <c r="O277" s="133"/>
      <c r="P277" s="133"/>
      <c r="Q277" s="13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IFERROR(IF(V277=0,"",ROUNDUP(V277/H277,0)*0.00937),"")</f>
        <v/>
      </c>
      <c r="X277" s="69" t="s">
        <v>48</v>
      </c>
      <c r="Y277" s="70" t="s">
        <v>48</v>
      </c>
    </row>
    <row r="278" spans="1:25" x14ac:dyDescent="0.2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5" t="s">
        <v>43</v>
      </c>
      <c r="N278" s="136"/>
      <c r="O278" s="136"/>
      <c r="P278" s="136"/>
      <c r="Q278" s="136"/>
      <c r="R278" s="136"/>
      <c r="S278" s="137"/>
      <c r="T278" s="43" t="s">
        <v>42</v>
      </c>
      <c r="U278" s="44">
        <f>IFERROR(U276/H276,"0")+IFERROR(U277/H277,"0")</f>
        <v>16</v>
      </c>
      <c r="V278" s="44">
        <f>IFERROR(V276/H276,"0")+IFERROR(V277/H277,"0")</f>
        <v>16</v>
      </c>
      <c r="W278" s="44">
        <f>IFERROR(IF(W276="",0,W276),"0")+IFERROR(IF(W277="",0,W277),"0")</f>
        <v>0.34799999999999998</v>
      </c>
      <c r="X278" s="68"/>
      <c r="Y278" s="68"/>
    </row>
    <row r="279" spans="1:25" x14ac:dyDescent="0.2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5" t="s">
        <v>43</v>
      </c>
      <c r="N279" s="136"/>
      <c r="O279" s="136"/>
      <c r="P279" s="136"/>
      <c r="Q279" s="136"/>
      <c r="R279" s="136"/>
      <c r="S279" s="137"/>
      <c r="T279" s="43" t="s">
        <v>0</v>
      </c>
      <c r="U279" s="44">
        <f>IFERROR(SUM(U276:U277),"0")</f>
        <v>240</v>
      </c>
      <c r="V279" s="44">
        <f>IFERROR(SUM(V276:V277),"0")</f>
        <v>240</v>
      </c>
      <c r="W279" s="43"/>
      <c r="X279" s="68"/>
      <c r="Y279" s="68"/>
    </row>
    <row r="280" spans="1:25" ht="14.25" customHeight="1" x14ac:dyDescent="0.25">
      <c r="A280" s="130" t="s">
        <v>76</v>
      </c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67"/>
      <c r="Y280" s="67"/>
    </row>
    <row r="281" spans="1:25" ht="27" customHeight="1" x14ac:dyDescent="0.25">
      <c r="A281" s="64" t="s">
        <v>559</v>
      </c>
      <c r="B281" s="64" t="s">
        <v>560</v>
      </c>
      <c r="C281" s="37">
        <v>4301031141</v>
      </c>
      <c r="D281" s="131">
        <v>4607091384833</v>
      </c>
      <c r="E281" s="131"/>
      <c r="F281" s="63">
        <v>0.73</v>
      </c>
      <c r="G281" s="38">
        <v>6</v>
      </c>
      <c r="H281" s="63">
        <v>4.38</v>
      </c>
      <c r="I281" s="63">
        <v>4.58</v>
      </c>
      <c r="J281" s="38">
        <v>156</v>
      </c>
      <c r="K281" s="39" t="s">
        <v>80</v>
      </c>
      <c r="L281" s="38">
        <v>35</v>
      </c>
      <c r="M281" s="296" t="s">
        <v>561</v>
      </c>
      <c r="N281" s="133"/>
      <c r="O281" s="133"/>
      <c r="P281" s="133"/>
      <c r="Q281" s="134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IFERROR(IF(V281=0,"",ROUNDUP(V281/H281,0)*0.00753),"")</f>
        <v/>
      </c>
      <c r="X281" s="69" t="s">
        <v>48</v>
      </c>
      <c r="Y281" s="70" t="s">
        <v>48</v>
      </c>
    </row>
    <row r="282" spans="1:25" ht="27" customHeight="1" x14ac:dyDescent="0.25">
      <c r="A282" s="64" t="s">
        <v>562</v>
      </c>
      <c r="B282" s="64" t="s">
        <v>563</v>
      </c>
      <c r="C282" s="37">
        <v>4301031137</v>
      </c>
      <c r="D282" s="131">
        <v>4607091384857</v>
      </c>
      <c r="E282" s="131"/>
      <c r="F282" s="63">
        <v>0.73</v>
      </c>
      <c r="G282" s="38">
        <v>6</v>
      </c>
      <c r="H282" s="63">
        <v>4.38</v>
      </c>
      <c r="I282" s="63">
        <v>4.58</v>
      </c>
      <c r="J282" s="38">
        <v>156</v>
      </c>
      <c r="K282" s="39" t="s">
        <v>80</v>
      </c>
      <c r="L282" s="38">
        <v>35</v>
      </c>
      <c r="M282" s="297" t="s">
        <v>564</v>
      </c>
      <c r="N282" s="133"/>
      <c r="O282" s="133"/>
      <c r="P282" s="133"/>
      <c r="Q282" s="134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</row>
    <row r="283" spans="1:25" x14ac:dyDescent="0.2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5" t="s">
        <v>43</v>
      </c>
      <c r="N283" s="136"/>
      <c r="O283" s="136"/>
      <c r="P283" s="136"/>
      <c r="Q283" s="136"/>
      <c r="R283" s="136"/>
      <c r="S283" s="137"/>
      <c r="T283" s="43" t="s">
        <v>42</v>
      </c>
      <c r="U283" s="44">
        <f>IFERROR(U281/H281,"0")+IFERROR(U282/H282,"0")</f>
        <v>0</v>
      </c>
      <c r="V283" s="44">
        <f>IFERROR(V281/H281,"0")+IFERROR(V282/H282,"0")</f>
        <v>0</v>
      </c>
      <c r="W283" s="44">
        <f>IFERROR(IF(W281="",0,W281),"0")+IFERROR(IF(W282="",0,W282),"0")</f>
        <v>0</v>
      </c>
      <c r="X283" s="68"/>
      <c r="Y283" s="68"/>
    </row>
    <row r="284" spans="1:25" x14ac:dyDescent="0.2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5" t="s">
        <v>43</v>
      </c>
      <c r="N284" s="136"/>
      <c r="O284" s="136"/>
      <c r="P284" s="136"/>
      <c r="Q284" s="136"/>
      <c r="R284" s="136"/>
      <c r="S284" s="137"/>
      <c r="T284" s="43" t="s">
        <v>0</v>
      </c>
      <c r="U284" s="44">
        <f>IFERROR(SUM(U281:U282),"0")</f>
        <v>0</v>
      </c>
      <c r="V284" s="44">
        <f>IFERROR(SUM(V281:V282),"0")</f>
        <v>0</v>
      </c>
      <c r="W284" s="43"/>
      <c r="X284" s="68"/>
      <c r="Y284" s="68"/>
    </row>
    <row r="285" spans="1:25" ht="14.25" customHeight="1" x14ac:dyDescent="0.25">
      <c r="A285" s="130" t="s">
        <v>81</v>
      </c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67"/>
      <c r="Y285" s="67"/>
    </row>
    <row r="286" spans="1:25" ht="27" customHeight="1" x14ac:dyDescent="0.25">
      <c r="A286" s="64" t="s">
        <v>565</v>
      </c>
      <c r="B286" s="64" t="s">
        <v>566</v>
      </c>
      <c r="C286" s="37">
        <v>4301051298</v>
      </c>
      <c r="D286" s="131">
        <v>4607091384260</v>
      </c>
      <c r="E286" s="131"/>
      <c r="F286" s="63">
        <v>1.3</v>
      </c>
      <c r="G286" s="38">
        <v>6</v>
      </c>
      <c r="H286" s="63">
        <v>7.8</v>
      </c>
      <c r="I286" s="63">
        <v>8.3640000000000008</v>
      </c>
      <c r="J286" s="38">
        <v>56</v>
      </c>
      <c r="K286" s="39" t="s">
        <v>80</v>
      </c>
      <c r="L286" s="38">
        <v>35</v>
      </c>
      <c r="M286" s="298" t="s">
        <v>567</v>
      </c>
      <c r="N286" s="133"/>
      <c r="O286" s="133"/>
      <c r="P286" s="133"/>
      <c r="Q286" s="134"/>
      <c r="R286" s="40" t="s">
        <v>48</v>
      </c>
      <c r="S286" s="40" t="s">
        <v>48</v>
      </c>
      <c r="T286" s="41" t="s">
        <v>0</v>
      </c>
      <c r="U286" s="59">
        <v>54</v>
      </c>
      <c r="V286" s="56">
        <f>IFERROR(IF(U286="",0,CEILING((U286/$H286),1)*$H286),"")</f>
        <v>54.6</v>
      </c>
      <c r="W286" s="42">
        <f>IFERROR(IF(V286=0,"",ROUNDUP(V286/H286,0)*0.02175),"")</f>
        <v>0.15225</v>
      </c>
      <c r="X286" s="69" t="s">
        <v>48</v>
      </c>
      <c r="Y286" s="70" t="s">
        <v>48</v>
      </c>
    </row>
    <row r="287" spans="1:25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5" t="s">
        <v>43</v>
      </c>
      <c r="N287" s="136"/>
      <c r="O287" s="136"/>
      <c r="P287" s="136"/>
      <c r="Q287" s="136"/>
      <c r="R287" s="136"/>
      <c r="S287" s="137"/>
      <c r="T287" s="43" t="s">
        <v>42</v>
      </c>
      <c r="U287" s="44">
        <f>IFERROR(U286/H286,"0")</f>
        <v>6.9230769230769234</v>
      </c>
      <c r="V287" s="44">
        <f>IFERROR(V286/H286,"0")</f>
        <v>7</v>
      </c>
      <c r="W287" s="44">
        <f>IFERROR(IF(W286="",0,W286),"0")</f>
        <v>0.15225</v>
      </c>
      <c r="X287" s="68"/>
      <c r="Y287" s="68"/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0</v>
      </c>
      <c r="U288" s="44">
        <f>IFERROR(SUM(U286:U286),"0")</f>
        <v>54</v>
      </c>
      <c r="V288" s="44">
        <f>IFERROR(SUM(V286:V286),"0")</f>
        <v>54.6</v>
      </c>
      <c r="W288" s="43"/>
      <c r="X288" s="68"/>
      <c r="Y288" s="68"/>
    </row>
    <row r="289" spans="1:25" ht="14.25" customHeight="1" x14ac:dyDescent="0.25">
      <c r="A289" s="130" t="s">
        <v>246</v>
      </c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67"/>
      <c r="Y289" s="67"/>
    </row>
    <row r="290" spans="1:25" ht="16.5" customHeight="1" x14ac:dyDescent="0.25">
      <c r="A290" s="64" t="s">
        <v>568</v>
      </c>
      <c r="B290" s="64" t="s">
        <v>569</v>
      </c>
      <c r="C290" s="37">
        <v>4301060314</v>
      </c>
      <c r="D290" s="131">
        <v>4607091384673</v>
      </c>
      <c r="E290" s="131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80</v>
      </c>
      <c r="L290" s="38">
        <v>30</v>
      </c>
      <c r="M290" s="299" t="s">
        <v>570</v>
      </c>
      <c r="N290" s="133"/>
      <c r="O290" s="133"/>
      <c r="P290" s="133"/>
      <c r="Q290" s="134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5" t="s">
        <v>43</v>
      </c>
      <c r="N291" s="136"/>
      <c r="O291" s="136"/>
      <c r="P291" s="136"/>
      <c r="Q291" s="136"/>
      <c r="R291" s="136"/>
      <c r="S291" s="137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6.5" customHeight="1" x14ac:dyDescent="0.25">
      <c r="A293" s="129" t="s">
        <v>571</v>
      </c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66"/>
      <c r="Y293" s="66"/>
    </row>
    <row r="294" spans="1:25" ht="14.25" customHeight="1" x14ac:dyDescent="0.25">
      <c r="A294" s="130" t="s">
        <v>126</v>
      </c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67"/>
      <c r="Y294" s="67"/>
    </row>
    <row r="295" spans="1:25" ht="27" customHeight="1" x14ac:dyDescent="0.25">
      <c r="A295" s="64" t="s">
        <v>572</v>
      </c>
      <c r="B295" s="64" t="s">
        <v>573</v>
      </c>
      <c r="C295" s="37">
        <v>4301011483</v>
      </c>
      <c r="D295" s="131">
        <v>4680115881907</v>
      </c>
      <c r="E295" s="13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80</v>
      </c>
      <c r="L295" s="38">
        <v>60</v>
      </c>
      <c r="M295" s="300" t="s">
        <v>574</v>
      </c>
      <c r="N295" s="133"/>
      <c r="O295" s="133"/>
      <c r="P295" s="133"/>
      <c r="Q295" s="134"/>
      <c r="R295" s="40" t="s">
        <v>284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288</v>
      </c>
    </row>
    <row r="296" spans="1:25" ht="27" customHeight="1" x14ac:dyDescent="0.25">
      <c r="A296" s="64" t="s">
        <v>575</v>
      </c>
      <c r="B296" s="64" t="s">
        <v>576</v>
      </c>
      <c r="C296" s="37">
        <v>4301011324</v>
      </c>
      <c r="D296" s="131">
        <v>4607091384185</v>
      </c>
      <c r="E296" s="131"/>
      <c r="F296" s="63">
        <v>0.8</v>
      </c>
      <c r="G296" s="38">
        <v>15</v>
      </c>
      <c r="H296" s="63">
        <v>12</v>
      </c>
      <c r="I296" s="63">
        <v>12.48</v>
      </c>
      <c r="J296" s="38">
        <v>56</v>
      </c>
      <c r="K296" s="39" t="s">
        <v>80</v>
      </c>
      <c r="L296" s="38">
        <v>60</v>
      </c>
      <c r="M296" s="301" t="s">
        <v>577</v>
      </c>
      <c r="N296" s="133"/>
      <c r="O296" s="133"/>
      <c r="P296" s="133"/>
      <c r="Q296" s="134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</row>
    <row r="297" spans="1:25" ht="27" customHeight="1" x14ac:dyDescent="0.25">
      <c r="A297" s="64" t="s">
        <v>578</v>
      </c>
      <c r="B297" s="64" t="s">
        <v>579</v>
      </c>
      <c r="C297" s="37">
        <v>4301011312</v>
      </c>
      <c r="D297" s="131">
        <v>4607091384192</v>
      </c>
      <c r="E297" s="131"/>
      <c r="F297" s="63">
        <v>1.8</v>
      </c>
      <c r="G297" s="38">
        <v>6</v>
      </c>
      <c r="H297" s="63">
        <v>10.8</v>
      </c>
      <c r="I297" s="63">
        <v>11.28</v>
      </c>
      <c r="J297" s="38">
        <v>56</v>
      </c>
      <c r="K297" s="39" t="s">
        <v>124</v>
      </c>
      <c r="L297" s="38">
        <v>60</v>
      </c>
      <c r="M297" s="302" t="s">
        <v>580</v>
      </c>
      <c r="N297" s="133"/>
      <c r="O297" s="133"/>
      <c r="P297" s="133"/>
      <c r="Q297" s="134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</row>
    <row r="298" spans="1:25" ht="27" customHeight="1" x14ac:dyDescent="0.25">
      <c r="A298" s="64" t="s">
        <v>581</v>
      </c>
      <c r="B298" s="64" t="s">
        <v>582</v>
      </c>
      <c r="C298" s="37">
        <v>4301011303</v>
      </c>
      <c r="D298" s="131">
        <v>4607091384680</v>
      </c>
      <c r="E298" s="131"/>
      <c r="F298" s="63">
        <v>0.4</v>
      </c>
      <c r="G298" s="38">
        <v>10</v>
      </c>
      <c r="H298" s="63">
        <v>4</v>
      </c>
      <c r="I298" s="63">
        <v>4.21</v>
      </c>
      <c r="J298" s="38">
        <v>120</v>
      </c>
      <c r="K298" s="39" t="s">
        <v>80</v>
      </c>
      <c r="L298" s="38">
        <v>60</v>
      </c>
      <c r="M298" s="303" t="s">
        <v>583</v>
      </c>
      <c r="N298" s="133"/>
      <c r="O298" s="133"/>
      <c r="P298" s="133"/>
      <c r="Q298" s="134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</row>
    <row r="299" spans="1:25" x14ac:dyDescent="0.2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5" t="s">
        <v>43</v>
      </c>
      <c r="N299" s="136"/>
      <c r="O299" s="136"/>
      <c r="P299" s="136"/>
      <c r="Q299" s="136"/>
      <c r="R299" s="136"/>
      <c r="S299" s="137"/>
      <c r="T299" s="43" t="s">
        <v>42</v>
      </c>
      <c r="U299" s="44">
        <f>IFERROR(U295/H295,"0")+IFERROR(U296/H296,"0")+IFERROR(U297/H297,"0")+IFERROR(U298/H298,"0")</f>
        <v>0</v>
      </c>
      <c r="V299" s="44">
        <f>IFERROR(V295/H295,"0")+IFERROR(V296/H296,"0")+IFERROR(V297/H297,"0")+IFERROR(V298/H298,"0")</f>
        <v>0</v>
      </c>
      <c r="W299" s="44">
        <f>IFERROR(IF(W295="",0,W295),"0")+IFERROR(IF(W296="",0,W296),"0")+IFERROR(IF(W297="",0,W297),"0")+IFERROR(IF(W298="",0,W298),"0")</f>
        <v>0</v>
      </c>
      <c r="X299" s="68"/>
      <c r="Y299" s="68"/>
    </row>
    <row r="300" spans="1:25" x14ac:dyDescent="0.2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5" t="s">
        <v>43</v>
      </c>
      <c r="N300" s="136"/>
      <c r="O300" s="136"/>
      <c r="P300" s="136"/>
      <c r="Q300" s="136"/>
      <c r="R300" s="136"/>
      <c r="S300" s="137"/>
      <c r="T300" s="43" t="s">
        <v>0</v>
      </c>
      <c r="U300" s="44">
        <f>IFERROR(SUM(U295:U298),"0")</f>
        <v>0</v>
      </c>
      <c r="V300" s="44">
        <f>IFERROR(SUM(V295:V298),"0")</f>
        <v>0</v>
      </c>
      <c r="W300" s="43"/>
      <c r="X300" s="68"/>
      <c r="Y300" s="68"/>
    </row>
    <row r="301" spans="1:25" ht="14.25" customHeight="1" x14ac:dyDescent="0.25">
      <c r="A301" s="130" t="s">
        <v>76</v>
      </c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67"/>
      <c r="Y301" s="67"/>
    </row>
    <row r="302" spans="1:25" ht="27" customHeight="1" x14ac:dyDescent="0.25">
      <c r="A302" s="64" t="s">
        <v>584</v>
      </c>
      <c r="B302" s="64" t="s">
        <v>585</v>
      </c>
      <c r="C302" s="37">
        <v>4301031139</v>
      </c>
      <c r="D302" s="131">
        <v>4607091384802</v>
      </c>
      <c r="E302" s="131"/>
      <c r="F302" s="63">
        <v>0.73</v>
      </c>
      <c r="G302" s="38">
        <v>6</v>
      </c>
      <c r="H302" s="63">
        <v>4.38</v>
      </c>
      <c r="I302" s="63">
        <v>4.58</v>
      </c>
      <c r="J302" s="38">
        <v>156</v>
      </c>
      <c r="K302" s="39" t="s">
        <v>80</v>
      </c>
      <c r="L302" s="38">
        <v>35</v>
      </c>
      <c r="M302" s="304" t="s">
        <v>586</v>
      </c>
      <c r="N302" s="133"/>
      <c r="O302" s="133"/>
      <c r="P302" s="133"/>
      <c r="Q302" s="13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IFERROR(IF(V302=0,"",ROUNDUP(V302/H302,0)*0.00753),"")</f>
        <v/>
      </c>
      <c r="X302" s="69" t="s">
        <v>48</v>
      </c>
      <c r="Y302" s="70" t="s">
        <v>48</v>
      </c>
    </row>
    <row r="303" spans="1:25" ht="27" customHeight="1" x14ac:dyDescent="0.25">
      <c r="A303" s="64" t="s">
        <v>587</v>
      </c>
      <c r="B303" s="64" t="s">
        <v>588</v>
      </c>
      <c r="C303" s="37">
        <v>4301031140</v>
      </c>
      <c r="D303" s="131">
        <v>4607091384826</v>
      </c>
      <c r="E303" s="131"/>
      <c r="F303" s="63">
        <v>0.35</v>
      </c>
      <c r="G303" s="38">
        <v>8</v>
      </c>
      <c r="H303" s="63">
        <v>2.8</v>
      </c>
      <c r="I303" s="63">
        <v>2.9</v>
      </c>
      <c r="J303" s="38">
        <v>234</v>
      </c>
      <c r="K303" s="39" t="s">
        <v>80</v>
      </c>
      <c r="L303" s="38">
        <v>35</v>
      </c>
      <c r="M303" s="305" t="s">
        <v>589</v>
      </c>
      <c r="N303" s="133"/>
      <c r="O303" s="133"/>
      <c r="P303" s="133"/>
      <c r="Q303" s="13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IFERROR(IF(V303=0,"",ROUNDUP(V303/H303,0)*0.00502),"")</f>
        <v/>
      </c>
      <c r="X303" s="69" t="s">
        <v>48</v>
      </c>
      <c r="Y303" s="70" t="s">
        <v>48</v>
      </c>
    </row>
    <row r="304" spans="1:25" x14ac:dyDescent="0.2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5" t="s">
        <v>43</v>
      </c>
      <c r="N304" s="136"/>
      <c r="O304" s="136"/>
      <c r="P304" s="136"/>
      <c r="Q304" s="136"/>
      <c r="R304" s="136"/>
      <c r="S304" s="137"/>
      <c r="T304" s="43" t="s">
        <v>42</v>
      </c>
      <c r="U304" s="44">
        <f>IFERROR(U302/H302,"0")+IFERROR(U303/H303,"0")</f>
        <v>0</v>
      </c>
      <c r="V304" s="44">
        <f>IFERROR(V302/H302,"0")+IFERROR(V303/H303,"0")</f>
        <v>0</v>
      </c>
      <c r="W304" s="44">
        <f>IFERROR(IF(W302="",0,W302),"0")+IFERROR(IF(W303="",0,W303),"0")</f>
        <v>0</v>
      </c>
      <c r="X304" s="68"/>
      <c r="Y304" s="68"/>
    </row>
    <row r="305" spans="1:25" x14ac:dyDescent="0.2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5" t="s">
        <v>43</v>
      </c>
      <c r="N305" s="136"/>
      <c r="O305" s="136"/>
      <c r="P305" s="136"/>
      <c r="Q305" s="136"/>
      <c r="R305" s="136"/>
      <c r="S305" s="137"/>
      <c r="T305" s="43" t="s">
        <v>0</v>
      </c>
      <c r="U305" s="44">
        <f>IFERROR(SUM(U302:U303),"0")</f>
        <v>0</v>
      </c>
      <c r="V305" s="44">
        <f>IFERROR(SUM(V302:V303),"0")</f>
        <v>0</v>
      </c>
      <c r="W305" s="43"/>
      <c r="X305" s="68"/>
      <c r="Y305" s="68"/>
    </row>
    <row r="306" spans="1:25" ht="14.25" customHeight="1" x14ac:dyDescent="0.25">
      <c r="A306" s="130" t="s">
        <v>81</v>
      </c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67"/>
      <c r="Y306" s="67"/>
    </row>
    <row r="307" spans="1:25" ht="27" customHeight="1" x14ac:dyDescent="0.25">
      <c r="A307" s="64" t="s">
        <v>590</v>
      </c>
      <c r="B307" s="64" t="s">
        <v>591</v>
      </c>
      <c r="C307" s="37">
        <v>4301051445</v>
      </c>
      <c r="D307" s="131">
        <v>4680115881976</v>
      </c>
      <c r="E307" s="131"/>
      <c r="F307" s="63">
        <v>1.3</v>
      </c>
      <c r="G307" s="38">
        <v>6</v>
      </c>
      <c r="H307" s="63">
        <v>7.8</v>
      </c>
      <c r="I307" s="63">
        <v>8.2799999999999994</v>
      </c>
      <c r="J307" s="38">
        <v>56</v>
      </c>
      <c r="K307" s="39" t="s">
        <v>80</v>
      </c>
      <c r="L307" s="38">
        <v>40</v>
      </c>
      <c r="M307" s="306" t="s">
        <v>592</v>
      </c>
      <c r="N307" s="133"/>
      <c r="O307" s="133"/>
      <c r="P307" s="133"/>
      <c r="Q307" s="134"/>
      <c r="R307" s="40" t="s">
        <v>284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IFERROR(IF(V307=0,"",ROUNDUP(V307/H307,0)*0.02175),"")</f>
        <v/>
      </c>
      <c r="X307" s="69" t="s">
        <v>48</v>
      </c>
      <c r="Y307" s="70" t="s">
        <v>288</v>
      </c>
    </row>
    <row r="308" spans="1:25" ht="27" customHeight="1" x14ac:dyDescent="0.25">
      <c r="A308" s="64" t="s">
        <v>593</v>
      </c>
      <c r="B308" s="64" t="s">
        <v>594</v>
      </c>
      <c r="C308" s="37">
        <v>4301051444</v>
      </c>
      <c r="D308" s="131">
        <v>4680115881969</v>
      </c>
      <c r="E308" s="131"/>
      <c r="F308" s="63">
        <v>0.4</v>
      </c>
      <c r="G308" s="38">
        <v>6</v>
      </c>
      <c r="H308" s="63">
        <v>2.4</v>
      </c>
      <c r="I308" s="63">
        <v>2.6</v>
      </c>
      <c r="J308" s="38">
        <v>156</v>
      </c>
      <c r="K308" s="39" t="s">
        <v>80</v>
      </c>
      <c r="L308" s="38">
        <v>40</v>
      </c>
      <c r="M308" s="307" t="s">
        <v>595</v>
      </c>
      <c r="N308" s="133"/>
      <c r="O308" s="133"/>
      <c r="P308" s="133"/>
      <c r="Q308" s="134"/>
      <c r="R308" s="40" t="s">
        <v>284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IFERROR(IF(V308=0,"",ROUNDUP(V308/H308,0)*0.00753),"")</f>
        <v/>
      </c>
      <c r="X308" s="69" t="s">
        <v>48</v>
      </c>
      <c r="Y308" s="70" t="s">
        <v>288</v>
      </c>
    </row>
    <row r="309" spans="1:25" ht="27" customHeight="1" x14ac:dyDescent="0.25">
      <c r="A309" s="64" t="s">
        <v>596</v>
      </c>
      <c r="B309" s="64" t="s">
        <v>597</v>
      </c>
      <c r="C309" s="37">
        <v>4301051303</v>
      </c>
      <c r="D309" s="131">
        <v>4607091384246</v>
      </c>
      <c r="E309" s="131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80</v>
      </c>
      <c r="L309" s="38">
        <v>40</v>
      </c>
      <c r="M309" s="308" t="s">
        <v>598</v>
      </c>
      <c r="N309" s="133"/>
      <c r="O309" s="133"/>
      <c r="P309" s="133"/>
      <c r="Q309" s="134"/>
      <c r="R309" s="40" t="s">
        <v>48</v>
      </c>
      <c r="S309" s="40" t="s">
        <v>48</v>
      </c>
      <c r="T309" s="41" t="s">
        <v>0</v>
      </c>
      <c r="U309" s="59">
        <v>39</v>
      </c>
      <c r="V309" s="56">
        <f>IFERROR(IF(U309="",0,CEILING((U309/$H309),1)*$H309),"")</f>
        <v>39</v>
      </c>
      <c r="W309" s="42">
        <f>IFERROR(IF(V309=0,"",ROUNDUP(V309/H309,0)*0.02175),"")</f>
        <v>0.10874999999999999</v>
      </c>
      <c r="X309" s="69" t="s">
        <v>48</v>
      </c>
      <c r="Y309" s="70" t="s">
        <v>48</v>
      </c>
    </row>
    <row r="310" spans="1:25" ht="27" customHeight="1" x14ac:dyDescent="0.25">
      <c r="A310" s="64" t="s">
        <v>599</v>
      </c>
      <c r="B310" s="64" t="s">
        <v>600</v>
      </c>
      <c r="C310" s="37">
        <v>4301051297</v>
      </c>
      <c r="D310" s="131">
        <v>4607091384253</v>
      </c>
      <c r="E310" s="131"/>
      <c r="F310" s="63">
        <v>0.4</v>
      </c>
      <c r="G310" s="38">
        <v>6</v>
      </c>
      <c r="H310" s="63">
        <v>2.4</v>
      </c>
      <c r="I310" s="63">
        <v>2.6840000000000002</v>
      </c>
      <c r="J310" s="38">
        <v>156</v>
      </c>
      <c r="K310" s="39" t="s">
        <v>80</v>
      </c>
      <c r="L310" s="38">
        <v>40</v>
      </c>
      <c r="M310" s="309" t="s">
        <v>601</v>
      </c>
      <c r="N310" s="133"/>
      <c r="O310" s="133"/>
      <c r="P310" s="133"/>
      <c r="Q310" s="13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IFERROR(IF(V310=0,"",ROUNDUP(V310/H310,0)*0.00753),"")</f>
        <v/>
      </c>
      <c r="X310" s="69" t="s">
        <v>48</v>
      </c>
      <c r="Y310" s="70" t="s">
        <v>48</v>
      </c>
    </row>
    <row r="311" spans="1:25" x14ac:dyDescent="0.2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5" t="s">
        <v>43</v>
      </c>
      <c r="N311" s="136"/>
      <c r="O311" s="136"/>
      <c r="P311" s="136"/>
      <c r="Q311" s="136"/>
      <c r="R311" s="136"/>
      <c r="S311" s="137"/>
      <c r="T311" s="43" t="s">
        <v>42</v>
      </c>
      <c r="U311" s="44">
        <f>IFERROR(U307/H307,"0")+IFERROR(U308/H308,"0")+IFERROR(U309/H309,"0")+IFERROR(U310/H310,"0")</f>
        <v>5</v>
      </c>
      <c r="V311" s="44">
        <f>IFERROR(V307/H307,"0")+IFERROR(V308/H308,"0")+IFERROR(V309/H309,"0")+IFERROR(V310/H310,"0")</f>
        <v>5</v>
      </c>
      <c r="W311" s="44">
        <f>IFERROR(IF(W307="",0,W307),"0")+IFERROR(IF(W308="",0,W308),"0")+IFERROR(IF(W309="",0,W309),"0")+IFERROR(IF(W310="",0,W310),"0")</f>
        <v>0.10874999999999999</v>
      </c>
      <c r="X311" s="68"/>
      <c r="Y311" s="68"/>
    </row>
    <row r="312" spans="1:25" x14ac:dyDescent="0.2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5" t="s">
        <v>43</v>
      </c>
      <c r="N312" s="136"/>
      <c r="O312" s="136"/>
      <c r="P312" s="136"/>
      <c r="Q312" s="136"/>
      <c r="R312" s="136"/>
      <c r="S312" s="137"/>
      <c r="T312" s="43" t="s">
        <v>0</v>
      </c>
      <c r="U312" s="44">
        <f>IFERROR(SUM(U307:U310),"0")</f>
        <v>39</v>
      </c>
      <c r="V312" s="44">
        <f>IFERROR(SUM(V307:V310),"0")</f>
        <v>39</v>
      </c>
      <c r="W312" s="43"/>
      <c r="X312" s="68"/>
      <c r="Y312" s="68"/>
    </row>
    <row r="313" spans="1:25" ht="14.25" customHeight="1" x14ac:dyDescent="0.25">
      <c r="A313" s="130" t="s">
        <v>246</v>
      </c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67"/>
      <c r="Y313" s="67"/>
    </row>
    <row r="314" spans="1:25" ht="27" customHeight="1" x14ac:dyDescent="0.25">
      <c r="A314" s="64" t="s">
        <v>602</v>
      </c>
      <c r="B314" s="64" t="s">
        <v>603</v>
      </c>
      <c r="C314" s="37">
        <v>4301060323</v>
      </c>
      <c r="D314" s="131">
        <v>4607091389357</v>
      </c>
      <c r="E314" s="131"/>
      <c r="F314" s="63">
        <v>1.3</v>
      </c>
      <c r="G314" s="38">
        <v>6</v>
      </c>
      <c r="H314" s="63">
        <v>7.8</v>
      </c>
      <c r="I314" s="63">
        <v>8.2799999999999994</v>
      </c>
      <c r="J314" s="38">
        <v>56</v>
      </c>
      <c r="K314" s="39" t="s">
        <v>80</v>
      </c>
      <c r="L314" s="38">
        <v>30</v>
      </c>
      <c r="M314" s="310" t="s">
        <v>604</v>
      </c>
      <c r="N314" s="133"/>
      <c r="O314" s="133"/>
      <c r="P314" s="133"/>
      <c r="Q314" s="134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</row>
    <row r="315" spans="1:25" ht="27" customHeight="1" x14ac:dyDescent="0.25">
      <c r="A315" s="64" t="s">
        <v>602</v>
      </c>
      <c r="B315" s="64" t="s">
        <v>605</v>
      </c>
      <c r="C315" s="37">
        <v>4301060322</v>
      </c>
      <c r="D315" s="131">
        <v>4607091389357</v>
      </c>
      <c r="E315" s="131"/>
      <c r="F315" s="63">
        <v>1.3</v>
      </c>
      <c r="G315" s="38">
        <v>6</v>
      </c>
      <c r="H315" s="63">
        <v>7.8</v>
      </c>
      <c r="I315" s="63">
        <v>8.2799999999999994</v>
      </c>
      <c r="J315" s="38">
        <v>56</v>
      </c>
      <c r="K315" s="39" t="s">
        <v>80</v>
      </c>
      <c r="L315" s="38">
        <v>40</v>
      </c>
      <c r="M315" s="311" t="s">
        <v>604</v>
      </c>
      <c r="N315" s="133"/>
      <c r="O315" s="133"/>
      <c r="P315" s="133"/>
      <c r="Q315" s="13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</row>
    <row r="316" spans="1:25" x14ac:dyDescent="0.2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5" t="s">
        <v>43</v>
      </c>
      <c r="N316" s="136"/>
      <c r="O316" s="136"/>
      <c r="P316" s="136"/>
      <c r="Q316" s="136"/>
      <c r="R316" s="136"/>
      <c r="S316" s="137"/>
      <c r="T316" s="43" t="s">
        <v>42</v>
      </c>
      <c r="U316" s="44">
        <f>IFERROR(U314/H314,"0")+IFERROR(U315/H315,"0")</f>
        <v>0</v>
      </c>
      <c r="V316" s="44">
        <f>IFERROR(V314/H314,"0")+IFERROR(V315/H315,"0")</f>
        <v>0</v>
      </c>
      <c r="W316" s="44">
        <f>IFERROR(IF(W314="",0,W314),"0")+IFERROR(IF(W315="",0,W315),"0")</f>
        <v>0</v>
      </c>
      <c r="X316" s="68"/>
      <c r="Y316" s="68"/>
    </row>
    <row r="317" spans="1:25" x14ac:dyDescent="0.2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5" t="s">
        <v>43</v>
      </c>
      <c r="N317" s="136"/>
      <c r="O317" s="136"/>
      <c r="P317" s="136"/>
      <c r="Q317" s="136"/>
      <c r="R317" s="136"/>
      <c r="S317" s="137"/>
      <c r="T317" s="43" t="s">
        <v>0</v>
      </c>
      <c r="U317" s="44">
        <f>IFERROR(SUM(U314:U315),"0")</f>
        <v>0</v>
      </c>
      <c r="V317" s="44">
        <f>IFERROR(SUM(V314:V315),"0")</f>
        <v>0</v>
      </c>
      <c r="W317" s="43"/>
      <c r="X317" s="68"/>
      <c r="Y317" s="68"/>
    </row>
    <row r="318" spans="1:25" ht="27.75" customHeight="1" x14ac:dyDescent="0.2">
      <c r="A318" s="128" t="s">
        <v>606</v>
      </c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55"/>
      <c r="Y318" s="55"/>
    </row>
    <row r="319" spans="1:25" ht="16.5" customHeight="1" x14ac:dyDescent="0.25">
      <c r="A319" s="129" t="s">
        <v>607</v>
      </c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66"/>
      <c r="Y319" s="66"/>
    </row>
    <row r="320" spans="1:25" ht="14.25" customHeight="1" x14ac:dyDescent="0.25">
      <c r="A320" s="130" t="s">
        <v>126</v>
      </c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67"/>
      <c r="Y320" s="67"/>
    </row>
    <row r="321" spans="1:25" ht="27" customHeight="1" x14ac:dyDescent="0.25">
      <c r="A321" s="64" t="s">
        <v>608</v>
      </c>
      <c r="B321" s="64" t="s">
        <v>609</v>
      </c>
      <c r="C321" s="37">
        <v>4301011428</v>
      </c>
      <c r="D321" s="131">
        <v>4607091389708</v>
      </c>
      <c r="E321" s="131"/>
      <c r="F321" s="63">
        <v>0.45</v>
      </c>
      <c r="G321" s="38">
        <v>6</v>
      </c>
      <c r="H321" s="63">
        <v>2.7</v>
      </c>
      <c r="I321" s="63">
        <v>2.9</v>
      </c>
      <c r="J321" s="38">
        <v>156</v>
      </c>
      <c r="K321" s="39" t="s">
        <v>124</v>
      </c>
      <c r="L321" s="38">
        <v>50</v>
      </c>
      <c r="M321" s="312" t="s">
        <v>610</v>
      </c>
      <c r="N321" s="133"/>
      <c r="O321" s="133"/>
      <c r="P321" s="133"/>
      <c r="Q321" s="13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IFERROR(IF(V321=0,"",ROUNDUP(V321/H321,0)*0.00753),"")</f>
        <v/>
      </c>
      <c r="X321" s="69" t="s">
        <v>48</v>
      </c>
      <c r="Y321" s="70" t="s">
        <v>48</v>
      </c>
    </row>
    <row r="322" spans="1:25" ht="27" customHeight="1" x14ac:dyDescent="0.25">
      <c r="A322" s="64" t="s">
        <v>611</v>
      </c>
      <c r="B322" s="64" t="s">
        <v>612</v>
      </c>
      <c r="C322" s="37">
        <v>4301011427</v>
      </c>
      <c r="D322" s="131">
        <v>4607091389692</v>
      </c>
      <c r="E322" s="131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124</v>
      </c>
      <c r="L322" s="38">
        <v>50</v>
      </c>
      <c r="M322" s="313" t="s">
        <v>613</v>
      </c>
      <c r="N322" s="133"/>
      <c r="O322" s="133"/>
      <c r="P322" s="133"/>
      <c r="Q322" s="13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</row>
    <row r="323" spans="1:25" x14ac:dyDescent="0.2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5" t="s">
        <v>43</v>
      </c>
      <c r="N323" s="136"/>
      <c r="O323" s="136"/>
      <c r="P323" s="136"/>
      <c r="Q323" s="136"/>
      <c r="R323" s="136"/>
      <c r="S323" s="137"/>
      <c r="T323" s="43" t="s">
        <v>42</v>
      </c>
      <c r="U323" s="44">
        <f>IFERROR(U321/H321,"0")+IFERROR(U322/H322,"0")</f>
        <v>0</v>
      </c>
      <c r="V323" s="44">
        <f>IFERROR(V321/H321,"0")+IFERROR(V322/H322,"0")</f>
        <v>0</v>
      </c>
      <c r="W323" s="44">
        <f>IFERROR(IF(W321="",0,W321),"0")+IFERROR(IF(W322="",0,W322),"0")</f>
        <v>0</v>
      </c>
      <c r="X323" s="68"/>
      <c r="Y323" s="68"/>
    </row>
    <row r="324" spans="1:25" x14ac:dyDescent="0.2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5" t="s">
        <v>43</v>
      </c>
      <c r="N324" s="136"/>
      <c r="O324" s="136"/>
      <c r="P324" s="136"/>
      <c r="Q324" s="136"/>
      <c r="R324" s="136"/>
      <c r="S324" s="137"/>
      <c r="T324" s="43" t="s">
        <v>0</v>
      </c>
      <c r="U324" s="44">
        <f>IFERROR(SUM(U321:U322),"0")</f>
        <v>0</v>
      </c>
      <c r="V324" s="44">
        <f>IFERROR(SUM(V321:V322),"0")</f>
        <v>0</v>
      </c>
      <c r="W324" s="43"/>
      <c r="X324" s="68"/>
      <c r="Y324" s="68"/>
    </row>
    <row r="325" spans="1:25" ht="14.25" customHeight="1" x14ac:dyDescent="0.25">
      <c r="A325" s="130" t="s">
        <v>76</v>
      </c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67"/>
      <c r="Y325" s="67"/>
    </row>
    <row r="326" spans="1:25" ht="27" customHeight="1" x14ac:dyDescent="0.25">
      <c r="A326" s="64" t="s">
        <v>614</v>
      </c>
      <c r="B326" s="64" t="s">
        <v>615</v>
      </c>
      <c r="C326" s="37">
        <v>4301031177</v>
      </c>
      <c r="D326" s="131">
        <v>4607091389753</v>
      </c>
      <c r="E326" s="131"/>
      <c r="F326" s="63">
        <v>0.7</v>
      </c>
      <c r="G326" s="38">
        <v>6</v>
      </c>
      <c r="H326" s="63">
        <v>4.2</v>
      </c>
      <c r="I326" s="63">
        <v>4.43</v>
      </c>
      <c r="J326" s="38">
        <v>156</v>
      </c>
      <c r="K326" s="39" t="s">
        <v>80</v>
      </c>
      <c r="L326" s="38">
        <v>45</v>
      </c>
      <c r="M326" s="314" t="s">
        <v>616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220</v>
      </c>
      <c r="V326" s="56">
        <f t="shared" ref="V326:V332" si="13">IFERROR(IF(U326="",0,CEILING((U326/$H326),1)*$H326),"")</f>
        <v>222.60000000000002</v>
      </c>
      <c r="W326" s="42">
        <f>IFERROR(IF(V326=0,"",ROUNDUP(V326/H326,0)*0.00753),"")</f>
        <v>0.39909</v>
      </c>
      <c r="X326" s="69" t="s">
        <v>48</v>
      </c>
      <c r="Y326" s="70" t="s">
        <v>48</v>
      </c>
    </row>
    <row r="327" spans="1:25" ht="27" customHeight="1" x14ac:dyDescent="0.25">
      <c r="A327" s="64" t="s">
        <v>617</v>
      </c>
      <c r="B327" s="64" t="s">
        <v>618</v>
      </c>
      <c r="C327" s="37">
        <v>4301031174</v>
      </c>
      <c r="D327" s="131">
        <v>4607091389760</v>
      </c>
      <c r="E327" s="131"/>
      <c r="F327" s="63">
        <v>0.7</v>
      </c>
      <c r="G327" s="38">
        <v>6</v>
      </c>
      <c r="H327" s="63">
        <v>4.2</v>
      </c>
      <c r="I327" s="63">
        <v>4.43</v>
      </c>
      <c r="J327" s="38">
        <v>156</v>
      </c>
      <c r="K327" s="39" t="s">
        <v>80</v>
      </c>
      <c r="L327" s="38">
        <v>45</v>
      </c>
      <c r="M327" s="315" t="s">
        <v>619</v>
      </c>
      <c r="N327" s="133"/>
      <c r="O327" s="133"/>
      <c r="P327" s="133"/>
      <c r="Q327" s="134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3"/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</row>
    <row r="328" spans="1:25" ht="27" customHeight="1" x14ac:dyDescent="0.25">
      <c r="A328" s="64" t="s">
        <v>620</v>
      </c>
      <c r="B328" s="64" t="s">
        <v>621</v>
      </c>
      <c r="C328" s="37">
        <v>4301031175</v>
      </c>
      <c r="D328" s="131">
        <v>4607091389746</v>
      </c>
      <c r="E328" s="131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80</v>
      </c>
      <c r="L328" s="38">
        <v>45</v>
      </c>
      <c r="M328" s="316" t="s">
        <v>622</v>
      </c>
      <c r="N328" s="133"/>
      <c r="O328" s="133"/>
      <c r="P328" s="133"/>
      <c r="Q328" s="134"/>
      <c r="R328" s="40" t="s">
        <v>48</v>
      </c>
      <c r="S328" s="40" t="s">
        <v>48</v>
      </c>
      <c r="T328" s="41" t="s">
        <v>0</v>
      </c>
      <c r="U328" s="59">
        <v>42</v>
      </c>
      <c r="V328" s="56">
        <f t="shared" si="13"/>
        <v>42</v>
      </c>
      <c r="W328" s="42">
        <f>IFERROR(IF(V328=0,"",ROUNDUP(V328/H328,0)*0.00753),"")</f>
        <v>7.5300000000000006E-2</v>
      </c>
      <c r="X328" s="69" t="s">
        <v>48</v>
      </c>
      <c r="Y328" s="70" t="s">
        <v>48</v>
      </c>
    </row>
    <row r="329" spans="1:25" ht="27" customHeight="1" x14ac:dyDescent="0.25">
      <c r="A329" s="64" t="s">
        <v>623</v>
      </c>
      <c r="B329" s="64" t="s">
        <v>624</v>
      </c>
      <c r="C329" s="37">
        <v>4301031178</v>
      </c>
      <c r="D329" s="131">
        <v>4607091384338</v>
      </c>
      <c r="E329" s="131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80</v>
      </c>
      <c r="L329" s="38">
        <v>45</v>
      </c>
      <c r="M329" s="317" t="s">
        <v>625</v>
      </c>
      <c r="N329" s="133"/>
      <c r="O329" s="133"/>
      <c r="P329" s="133"/>
      <c r="Q329" s="134"/>
      <c r="R329" s="40" t="s">
        <v>48</v>
      </c>
      <c r="S329" s="40" t="s">
        <v>48</v>
      </c>
      <c r="T329" s="41" t="s">
        <v>0</v>
      </c>
      <c r="U329" s="59">
        <v>14</v>
      </c>
      <c r="V329" s="56">
        <f t="shared" si="13"/>
        <v>14.700000000000001</v>
      </c>
      <c r="W329" s="42">
        <f>IFERROR(IF(V329=0,"",ROUNDUP(V329/H329,0)*0.00502),"")</f>
        <v>3.5140000000000005E-2</v>
      </c>
      <c r="X329" s="69" t="s">
        <v>48</v>
      </c>
      <c r="Y329" s="70" t="s">
        <v>48</v>
      </c>
    </row>
    <row r="330" spans="1:25" ht="37.5" customHeight="1" x14ac:dyDescent="0.25">
      <c r="A330" s="64" t="s">
        <v>626</v>
      </c>
      <c r="B330" s="64" t="s">
        <v>627</v>
      </c>
      <c r="C330" s="37">
        <v>4301031171</v>
      </c>
      <c r="D330" s="131">
        <v>4607091389524</v>
      </c>
      <c r="E330" s="131"/>
      <c r="F330" s="63">
        <v>0.35</v>
      </c>
      <c r="G330" s="38">
        <v>6</v>
      </c>
      <c r="H330" s="63">
        <v>2.1</v>
      </c>
      <c r="I330" s="63">
        <v>2.23</v>
      </c>
      <c r="J330" s="38">
        <v>234</v>
      </c>
      <c r="K330" s="39" t="s">
        <v>80</v>
      </c>
      <c r="L330" s="38">
        <v>45</v>
      </c>
      <c r="M330" s="318" t="s">
        <v>628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3"/>
        <v>0</v>
      </c>
      <c r="W330" s="42" t="str">
        <f>IFERROR(IF(V330=0,"",ROUNDUP(V330/H330,0)*0.00502),"")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629</v>
      </c>
      <c r="B331" s="64" t="s">
        <v>630</v>
      </c>
      <c r="C331" s="37">
        <v>4301031170</v>
      </c>
      <c r="D331" s="131">
        <v>4607091384345</v>
      </c>
      <c r="E331" s="131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80</v>
      </c>
      <c r="L331" s="38">
        <v>45</v>
      </c>
      <c r="M331" s="319" t="s">
        <v>631</v>
      </c>
      <c r="N331" s="133"/>
      <c r="O331" s="133"/>
      <c r="P331" s="133"/>
      <c r="Q331" s="134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3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632</v>
      </c>
      <c r="B332" s="64" t="s">
        <v>633</v>
      </c>
      <c r="C332" s="37">
        <v>4301031172</v>
      </c>
      <c r="D332" s="131">
        <v>4607091389531</v>
      </c>
      <c r="E332" s="131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80</v>
      </c>
      <c r="L332" s="38">
        <v>45</v>
      </c>
      <c r="M332" s="320" t="s">
        <v>634</v>
      </c>
      <c r="N332" s="133"/>
      <c r="O332" s="133"/>
      <c r="P332" s="133"/>
      <c r="Q332" s="134"/>
      <c r="R332" s="40" t="s">
        <v>48</v>
      </c>
      <c r="S332" s="40" t="s">
        <v>48</v>
      </c>
      <c r="T332" s="41" t="s">
        <v>0</v>
      </c>
      <c r="U332" s="59">
        <v>21</v>
      </c>
      <c r="V332" s="56">
        <f t="shared" si="13"/>
        <v>21</v>
      </c>
      <c r="W332" s="42">
        <f>IFERROR(IF(V332=0,"",ROUNDUP(V332/H332,0)*0.00502),"")</f>
        <v>5.0200000000000002E-2</v>
      </c>
      <c r="X332" s="69" t="s">
        <v>48</v>
      </c>
      <c r="Y332" s="70" t="s">
        <v>48</v>
      </c>
    </row>
    <row r="333" spans="1:25" x14ac:dyDescent="0.2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5" t="s">
        <v>43</v>
      </c>
      <c r="N333" s="136"/>
      <c r="O333" s="136"/>
      <c r="P333" s="136"/>
      <c r="Q333" s="136"/>
      <c r="R333" s="136"/>
      <c r="S333" s="137"/>
      <c r="T333" s="43" t="s">
        <v>42</v>
      </c>
      <c r="U333" s="44">
        <f>IFERROR(U326/H326,"0")+IFERROR(U327/H327,"0")+IFERROR(U328/H328,"0")+IFERROR(U329/H329,"0")+IFERROR(U330/H330,"0")+IFERROR(U331/H331,"0")+IFERROR(U332/H332,"0")</f>
        <v>79.047619047619051</v>
      </c>
      <c r="V333" s="44">
        <f>IFERROR(V326/H326,"0")+IFERROR(V327/H327,"0")+IFERROR(V328/H328,"0")+IFERROR(V329/H329,"0")+IFERROR(V330/H330,"0")+IFERROR(V331/H331,"0")+IFERROR(V332/H332,"0")</f>
        <v>80</v>
      </c>
      <c r="W333" s="44">
        <f>IFERROR(IF(W326="",0,W326),"0")+IFERROR(IF(W327="",0,W327),"0")+IFERROR(IF(W328="",0,W328),"0")+IFERROR(IF(W329="",0,W329),"0")+IFERROR(IF(W330="",0,W330),"0")+IFERROR(IF(W331="",0,W331),"0")+IFERROR(IF(W332="",0,W332),"0")</f>
        <v>0.55973000000000006</v>
      </c>
      <c r="X333" s="68"/>
      <c r="Y333" s="68"/>
    </row>
    <row r="334" spans="1:25" x14ac:dyDescent="0.2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5" t="s">
        <v>43</v>
      </c>
      <c r="N334" s="136"/>
      <c r="O334" s="136"/>
      <c r="P334" s="136"/>
      <c r="Q334" s="136"/>
      <c r="R334" s="136"/>
      <c r="S334" s="137"/>
      <c r="T334" s="43" t="s">
        <v>0</v>
      </c>
      <c r="U334" s="44">
        <f>IFERROR(SUM(U326:U332),"0")</f>
        <v>297</v>
      </c>
      <c r="V334" s="44">
        <f>IFERROR(SUM(V326:V332),"0")</f>
        <v>300.3</v>
      </c>
      <c r="W334" s="43"/>
      <c r="X334" s="68"/>
      <c r="Y334" s="68"/>
    </row>
    <row r="335" spans="1:25" ht="14.25" customHeight="1" x14ac:dyDescent="0.25">
      <c r="A335" s="130" t="s">
        <v>81</v>
      </c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67"/>
      <c r="Y335" s="67"/>
    </row>
    <row r="336" spans="1:25" ht="27" customHeight="1" x14ac:dyDescent="0.25">
      <c r="A336" s="64" t="s">
        <v>635</v>
      </c>
      <c r="B336" s="64" t="s">
        <v>636</v>
      </c>
      <c r="C336" s="37">
        <v>4301051258</v>
      </c>
      <c r="D336" s="131">
        <v>4607091389685</v>
      </c>
      <c r="E336" s="131"/>
      <c r="F336" s="63">
        <v>1.3</v>
      </c>
      <c r="G336" s="38">
        <v>6</v>
      </c>
      <c r="H336" s="63">
        <v>7.8</v>
      </c>
      <c r="I336" s="63">
        <v>8.3460000000000001</v>
      </c>
      <c r="J336" s="38">
        <v>56</v>
      </c>
      <c r="K336" s="39" t="s">
        <v>158</v>
      </c>
      <c r="L336" s="38">
        <v>45</v>
      </c>
      <c r="M336" s="321" t="s">
        <v>637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</row>
    <row r="337" spans="1:25" ht="27" customHeight="1" x14ac:dyDescent="0.25">
      <c r="A337" s="64" t="s">
        <v>638</v>
      </c>
      <c r="B337" s="64" t="s">
        <v>639</v>
      </c>
      <c r="C337" s="37">
        <v>4301051431</v>
      </c>
      <c r="D337" s="131">
        <v>4607091389654</v>
      </c>
      <c r="E337" s="131"/>
      <c r="F337" s="63">
        <v>0.33</v>
      </c>
      <c r="G337" s="38">
        <v>6</v>
      </c>
      <c r="H337" s="63">
        <v>1.98</v>
      </c>
      <c r="I337" s="63">
        <v>2.258</v>
      </c>
      <c r="J337" s="38">
        <v>156</v>
      </c>
      <c r="K337" s="39" t="s">
        <v>158</v>
      </c>
      <c r="L337" s="38">
        <v>45</v>
      </c>
      <c r="M337" s="322" t="s">
        <v>640</v>
      </c>
      <c r="N337" s="133"/>
      <c r="O337" s="133"/>
      <c r="P337" s="133"/>
      <c r="Q337" s="134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IFERROR(IF(V337=0,"",ROUNDUP(V337/H337,0)*0.00753),"")</f>
        <v/>
      </c>
      <c r="X337" s="69" t="s">
        <v>48</v>
      </c>
      <c r="Y337" s="70" t="s">
        <v>48</v>
      </c>
    </row>
    <row r="338" spans="1:25" ht="27" customHeight="1" x14ac:dyDescent="0.25">
      <c r="A338" s="64" t="s">
        <v>641</v>
      </c>
      <c r="B338" s="64" t="s">
        <v>642</v>
      </c>
      <c r="C338" s="37">
        <v>4301051284</v>
      </c>
      <c r="D338" s="131">
        <v>4607091384352</v>
      </c>
      <c r="E338" s="131"/>
      <c r="F338" s="63">
        <v>0.6</v>
      </c>
      <c r="G338" s="38">
        <v>4</v>
      </c>
      <c r="H338" s="63">
        <v>2.4</v>
      </c>
      <c r="I338" s="63">
        <v>2.6459999999999999</v>
      </c>
      <c r="J338" s="38">
        <v>120</v>
      </c>
      <c r="K338" s="39" t="s">
        <v>158</v>
      </c>
      <c r="L338" s="38">
        <v>45</v>
      </c>
      <c r="M338" s="323" t="s">
        <v>643</v>
      </c>
      <c r="N338" s="133"/>
      <c r="O338" s="133"/>
      <c r="P338" s="133"/>
      <c r="Q338" s="134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IFERROR(IF(V338=0,"",ROUNDUP(V338/H338,0)*0.00937),"")</f>
        <v/>
      </c>
      <c r="X338" s="69" t="s">
        <v>48</v>
      </c>
      <c r="Y338" s="70" t="s">
        <v>48</v>
      </c>
    </row>
    <row r="339" spans="1:25" ht="27" customHeight="1" x14ac:dyDescent="0.25">
      <c r="A339" s="64" t="s">
        <v>644</v>
      </c>
      <c r="B339" s="64" t="s">
        <v>645</v>
      </c>
      <c r="C339" s="37">
        <v>4301051257</v>
      </c>
      <c r="D339" s="131">
        <v>4607091389661</v>
      </c>
      <c r="E339" s="131"/>
      <c r="F339" s="63">
        <v>0.55000000000000004</v>
      </c>
      <c r="G339" s="38">
        <v>4</v>
      </c>
      <c r="H339" s="63">
        <v>2.2000000000000002</v>
      </c>
      <c r="I339" s="63">
        <v>2.492</v>
      </c>
      <c r="J339" s="38">
        <v>120</v>
      </c>
      <c r="K339" s="39" t="s">
        <v>158</v>
      </c>
      <c r="L339" s="38">
        <v>45</v>
      </c>
      <c r="M339" s="324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9" s="133"/>
      <c r="O339" s="133"/>
      <c r="P339" s="133"/>
      <c r="Q339" s="134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IFERROR(IF(V339=0,"",ROUNDUP(V339/H339,0)*0.00937),"")</f>
        <v/>
      </c>
      <c r="X339" s="69" t="s">
        <v>48</v>
      </c>
      <c r="Y339" s="70" t="s">
        <v>48</v>
      </c>
    </row>
    <row r="340" spans="1:25" x14ac:dyDescent="0.2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5" t="s">
        <v>43</v>
      </c>
      <c r="N340" s="136"/>
      <c r="O340" s="136"/>
      <c r="P340" s="136"/>
      <c r="Q340" s="136"/>
      <c r="R340" s="136"/>
      <c r="S340" s="137"/>
      <c r="T340" s="43" t="s">
        <v>42</v>
      </c>
      <c r="U340" s="44">
        <f>IFERROR(U336/H336,"0")+IFERROR(U337/H337,"0")+IFERROR(U338/H338,"0")+IFERROR(U339/H339,"0")</f>
        <v>0</v>
      </c>
      <c r="V340" s="44">
        <f>IFERROR(V336/H336,"0")+IFERROR(V337/H337,"0")+IFERROR(V338/H338,"0")+IFERROR(V339/H339,"0")</f>
        <v>0</v>
      </c>
      <c r="W340" s="44">
        <f>IFERROR(IF(W336="",0,W336),"0")+IFERROR(IF(W337="",0,W337),"0")+IFERROR(IF(W338="",0,W338),"0")+IFERROR(IF(W339="",0,W339),"0")</f>
        <v>0</v>
      </c>
      <c r="X340" s="68"/>
      <c r="Y340" s="68"/>
    </row>
    <row r="341" spans="1:25" x14ac:dyDescent="0.2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5" t="s">
        <v>43</v>
      </c>
      <c r="N341" s="136"/>
      <c r="O341" s="136"/>
      <c r="P341" s="136"/>
      <c r="Q341" s="136"/>
      <c r="R341" s="136"/>
      <c r="S341" s="137"/>
      <c r="T341" s="43" t="s">
        <v>0</v>
      </c>
      <c r="U341" s="44">
        <f>IFERROR(SUM(U336:U339),"0")</f>
        <v>0</v>
      </c>
      <c r="V341" s="44">
        <f>IFERROR(SUM(V336:V339),"0")</f>
        <v>0</v>
      </c>
      <c r="W341" s="43"/>
      <c r="X341" s="68"/>
      <c r="Y341" s="68"/>
    </row>
    <row r="342" spans="1:25" ht="14.25" customHeight="1" x14ac:dyDescent="0.25">
      <c r="A342" s="130" t="s">
        <v>246</v>
      </c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67"/>
      <c r="Y342" s="67"/>
    </row>
    <row r="343" spans="1:25" ht="27" customHeight="1" x14ac:dyDescent="0.25">
      <c r="A343" s="64" t="s">
        <v>646</v>
      </c>
      <c r="B343" s="64" t="s">
        <v>647</v>
      </c>
      <c r="C343" s="37">
        <v>4301060352</v>
      </c>
      <c r="D343" s="131">
        <v>4680115881648</v>
      </c>
      <c r="E343" s="131"/>
      <c r="F343" s="63">
        <v>1</v>
      </c>
      <c r="G343" s="38">
        <v>4</v>
      </c>
      <c r="H343" s="63">
        <v>4</v>
      </c>
      <c r="I343" s="63">
        <v>4.4039999999999999</v>
      </c>
      <c r="J343" s="38">
        <v>104</v>
      </c>
      <c r="K343" s="39" t="s">
        <v>80</v>
      </c>
      <c r="L343" s="38">
        <v>35</v>
      </c>
      <c r="M343" s="325" t="s">
        <v>648</v>
      </c>
      <c r="N343" s="133"/>
      <c r="O343" s="133"/>
      <c r="P343" s="133"/>
      <c r="Q343" s="134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IFERROR(IF(V343=0,"",ROUNDUP(V343/H343,0)*0.01196),"")</f>
        <v/>
      </c>
      <c r="X343" s="69" t="s">
        <v>48</v>
      </c>
      <c r="Y343" s="70" t="s">
        <v>48</v>
      </c>
    </row>
    <row r="344" spans="1:25" x14ac:dyDescent="0.2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5" t="s">
        <v>43</v>
      </c>
      <c r="N344" s="136"/>
      <c r="O344" s="136"/>
      <c r="P344" s="136"/>
      <c r="Q344" s="136"/>
      <c r="R344" s="136"/>
      <c r="S344" s="137"/>
      <c r="T344" s="43" t="s">
        <v>42</v>
      </c>
      <c r="U344" s="44">
        <f>IFERROR(U343/H343,"0")</f>
        <v>0</v>
      </c>
      <c r="V344" s="44">
        <f>IFERROR(V343/H343,"0")</f>
        <v>0</v>
      </c>
      <c r="W344" s="44">
        <f>IFERROR(IF(W343="",0,W343),"0")</f>
        <v>0</v>
      </c>
      <c r="X344" s="68"/>
      <c r="Y344" s="68"/>
    </row>
    <row r="345" spans="1:25" x14ac:dyDescent="0.2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5" t="s">
        <v>43</v>
      </c>
      <c r="N345" s="136"/>
      <c r="O345" s="136"/>
      <c r="P345" s="136"/>
      <c r="Q345" s="136"/>
      <c r="R345" s="136"/>
      <c r="S345" s="137"/>
      <c r="T345" s="43" t="s">
        <v>0</v>
      </c>
      <c r="U345" s="44">
        <f>IFERROR(SUM(U343:U343),"0")</f>
        <v>0</v>
      </c>
      <c r="V345" s="44">
        <f>IFERROR(SUM(V343:V343),"0")</f>
        <v>0</v>
      </c>
      <c r="W345" s="43"/>
      <c r="X345" s="68"/>
      <c r="Y345" s="68"/>
    </row>
    <row r="346" spans="1:25" ht="16.5" customHeight="1" x14ac:dyDescent="0.25">
      <c r="A346" s="129" t="s">
        <v>649</v>
      </c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66"/>
      <c r="Y346" s="66"/>
    </row>
    <row r="347" spans="1:25" ht="14.25" customHeight="1" x14ac:dyDescent="0.25">
      <c r="A347" s="130" t="s">
        <v>120</v>
      </c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67"/>
      <c r="Y347" s="67"/>
    </row>
    <row r="348" spans="1:25" ht="27" customHeight="1" x14ac:dyDescent="0.25">
      <c r="A348" s="64" t="s">
        <v>650</v>
      </c>
      <c r="B348" s="64" t="s">
        <v>651</v>
      </c>
      <c r="C348" s="37">
        <v>4301020196</v>
      </c>
      <c r="D348" s="131">
        <v>4607091389388</v>
      </c>
      <c r="E348" s="131"/>
      <c r="F348" s="63">
        <v>1.3</v>
      </c>
      <c r="G348" s="38">
        <v>4</v>
      </c>
      <c r="H348" s="63">
        <v>5.2</v>
      </c>
      <c r="I348" s="63">
        <v>5.6079999999999997</v>
      </c>
      <c r="J348" s="38">
        <v>104</v>
      </c>
      <c r="K348" s="39" t="s">
        <v>158</v>
      </c>
      <c r="L348" s="38">
        <v>35</v>
      </c>
      <c r="M348" s="326" t="s">
        <v>652</v>
      </c>
      <c r="N348" s="133"/>
      <c r="O348" s="133"/>
      <c r="P348" s="133"/>
      <c r="Q348" s="134"/>
      <c r="R348" s="40" t="s">
        <v>48</v>
      </c>
      <c r="S348" s="40" t="s">
        <v>48</v>
      </c>
      <c r="T348" s="41" t="s">
        <v>0</v>
      </c>
      <c r="U348" s="59">
        <v>0</v>
      </c>
      <c r="V348" s="56">
        <f>IFERROR(IF(U348="",0,CEILING((U348/$H348),1)*$H348),"")</f>
        <v>0</v>
      </c>
      <c r="W348" s="42" t="str">
        <f>IFERROR(IF(V348=0,"",ROUNDUP(V348/H348,0)*0.01196),"")</f>
        <v/>
      </c>
      <c r="X348" s="69" t="s">
        <v>48</v>
      </c>
      <c r="Y348" s="70" t="s">
        <v>48</v>
      </c>
    </row>
    <row r="349" spans="1:25" ht="27" customHeight="1" x14ac:dyDescent="0.25">
      <c r="A349" s="64" t="s">
        <v>653</v>
      </c>
      <c r="B349" s="64" t="s">
        <v>654</v>
      </c>
      <c r="C349" s="37">
        <v>4301020185</v>
      </c>
      <c r="D349" s="131">
        <v>4607091389364</v>
      </c>
      <c r="E349" s="131"/>
      <c r="F349" s="63">
        <v>0.42</v>
      </c>
      <c r="G349" s="38">
        <v>6</v>
      </c>
      <c r="H349" s="63">
        <v>2.52</v>
      </c>
      <c r="I349" s="63">
        <v>2.75</v>
      </c>
      <c r="J349" s="38">
        <v>156</v>
      </c>
      <c r="K349" s="39" t="s">
        <v>158</v>
      </c>
      <c r="L349" s="38">
        <v>35</v>
      </c>
      <c r="M349" s="327" t="s">
        <v>655</v>
      </c>
      <c r="N349" s="133"/>
      <c r="O349" s="133"/>
      <c r="P349" s="133"/>
      <c r="Q349" s="134"/>
      <c r="R349" s="40" t="s">
        <v>48</v>
      </c>
      <c r="S349" s="40" t="s">
        <v>48</v>
      </c>
      <c r="T349" s="41" t="s">
        <v>0</v>
      </c>
      <c r="U349" s="59">
        <v>0</v>
      </c>
      <c r="V349" s="56">
        <f>IFERROR(IF(U349="",0,CEILING((U349/$H349),1)*$H349),"")</f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</row>
    <row r="350" spans="1:25" x14ac:dyDescent="0.2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5" t="s">
        <v>43</v>
      </c>
      <c r="N350" s="136"/>
      <c r="O350" s="136"/>
      <c r="P350" s="136"/>
      <c r="Q350" s="136"/>
      <c r="R350" s="136"/>
      <c r="S350" s="137"/>
      <c r="T350" s="43" t="s">
        <v>42</v>
      </c>
      <c r="U350" s="44">
        <f>IFERROR(U348/H348,"0")+IFERROR(U349/H349,"0")</f>
        <v>0</v>
      </c>
      <c r="V350" s="44">
        <f>IFERROR(V348/H348,"0")+IFERROR(V349/H349,"0")</f>
        <v>0</v>
      </c>
      <c r="W350" s="44">
        <f>IFERROR(IF(W348="",0,W348),"0")+IFERROR(IF(W349="",0,W349),"0")</f>
        <v>0</v>
      </c>
      <c r="X350" s="68"/>
      <c r="Y350" s="68"/>
    </row>
    <row r="351" spans="1:25" x14ac:dyDescent="0.2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5" t="s">
        <v>43</v>
      </c>
      <c r="N351" s="136"/>
      <c r="O351" s="136"/>
      <c r="P351" s="136"/>
      <c r="Q351" s="136"/>
      <c r="R351" s="136"/>
      <c r="S351" s="137"/>
      <c r="T351" s="43" t="s">
        <v>0</v>
      </c>
      <c r="U351" s="44">
        <f>IFERROR(SUM(U348:U349),"0")</f>
        <v>0</v>
      </c>
      <c r="V351" s="44">
        <f>IFERROR(SUM(V348:V349),"0")</f>
        <v>0</v>
      </c>
      <c r="W351" s="43"/>
      <c r="X351" s="68"/>
      <c r="Y351" s="68"/>
    </row>
    <row r="352" spans="1:25" ht="14.25" customHeight="1" x14ac:dyDescent="0.25">
      <c r="A352" s="130" t="s">
        <v>76</v>
      </c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67"/>
      <c r="Y352" s="67"/>
    </row>
    <row r="353" spans="1:25" ht="27" customHeight="1" x14ac:dyDescent="0.25">
      <c r="A353" s="64" t="s">
        <v>656</v>
      </c>
      <c r="B353" s="64" t="s">
        <v>657</v>
      </c>
      <c r="C353" s="37">
        <v>4301031195</v>
      </c>
      <c r="D353" s="131">
        <v>4607091389739</v>
      </c>
      <c r="E353" s="131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9" t="s">
        <v>80</v>
      </c>
      <c r="L353" s="38">
        <v>45</v>
      </c>
      <c r="M353" s="328" t="s">
        <v>658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21</v>
      </c>
      <c r="V353" s="56">
        <f>IFERROR(IF(U353="",0,CEILING((U353/$H353),1)*$H353),"")</f>
        <v>21</v>
      </c>
      <c r="W353" s="42">
        <f>IFERROR(IF(V353=0,"",ROUNDUP(V353/H353,0)*0.00753),"")</f>
        <v>3.7650000000000003E-2</v>
      </c>
      <c r="X353" s="69" t="s">
        <v>48</v>
      </c>
      <c r="Y353" s="70" t="s">
        <v>48</v>
      </c>
    </row>
    <row r="354" spans="1:25" ht="27" customHeight="1" x14ac:dyDescent="0.25">
      <c r="A354" s="64" t="s">
        <v>659</v>
      </c>
      <c r="B354" s="64" t="s">
        <v>660</v>
      </c>
      <c r="C354" s="37">
        <v>4301031176</v>
      </c>
      <c r="D354" s="131">
        <v>4607091389425</v>
      </c>
      <c r="E354" s="13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80</v>
      </c>
      <c r="L354" s="38">
        <v>45</v>
      </c>
      <c r="M354" s="329" t="s">
        <v>661</v>
      </c>
      <c r="N354" s="133"/>
      <c r="O354" s="133"/>
      <c r="P354" s="133"/>
      <c r="Q354" s="13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</row>
    <row r="355" spans="1:25" ht="27" customHeight="1" x14ac:dyDescent="0.25">
      <c r="A355" s="64" t="s">
        <v>662</v>
      </c>
      <c r="B355" s="64" t="s">
        <v>663</v>
      </c>
      <c r="C355" s="37">
        <v>4301031167</v>
      </c>
      <c r="D355" s="131">
        <v>4680115880771</v>
      </c>
      <c r="E355" s="13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80</v>
      </c>
      <c r="L355" s="38">
        <v>45</v>
      </c>
      <c r="M355" s="330" t="s">
        <v>664</v>
      </c>
      <c r="N355" s="133"/>
      <c r="O355" s="133"/>
      <c r="P355" s="133"/>
      <c r="Q355" s="13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IFERROR(IF(V355=0,"",ROUNDUP(V355/H355,0)*0.00502),"")</f>
        <v/>
      </c>
      <c r="X355" s="69" t="s">
        <v>48</v>
      </c>
      <c r="Y355" s="70" t="s">
        <v>48</v>
      </c>
    </row>
    <row r="356" spans="1:25" ht="27" customHeight="1" x14ac:dyDescent="0.25">
      <c r="A356" s="64" t="s">
        <v>665</v>
      </c>
      <c r="B356" s="64" t="s">
        <v>666</v>
      </c>
      <c r="C356" s="37">
        <v>4301031173</v>
      </c>
      <c r="D356" s="131">
        <v>4607091389500</v>
      </c>
      <c r="E356" s="13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80</v>
      </c>
      <c r="L356" s="38">
        <v>45</v>
      </c>
      <c r="M356" s="331" t="s">
        <v>667</v>
      </c>
      <c r="N356" s="133"/>
      <c r="O356" s="133"/>
      <c r="P356" s="133"/>
      <c r="Q356" s="13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</row>
    <row r="357" spans="1:25" ht="27" customHeight="1" x14ac:dyDescent="0.25">
      <c r="A357" s="64" t="s">
        <v>668</v>
      </c>
      <c r="B357" s="64" t="s">
        <v>669</v>
      </c>
      <c r="C357" s="37">
        <v>4301031103</v>
      </c>
      <c r="D357" s="131">
        <v>4680115881983</v>
      </c>
      <c r="E357" s="131"/>
      <c r="F357" s="63">
        <v>0.28000000000000003</v>
      </c>
      <c r="G357" s="38">
        <v>4</v>
      </c>
      <c r="H357" s="63">
        <v>1.1200000000000001</v>
      </c>
      <c r="I357" s="63">
        <v>1.252</v>
      </c>
      <c r="J357" s="38">
        <v>234</v>
      </c>
      <c r="K357" s="39" t="s">
        <v>80</v>
      </c>
      <c r="L357" s="38">
        <v>40</v>
      </c>
      <c r="M357" s="332" t="s">
        <v>670</v>
      </c>
      <c r="N357" s="133"/>
      <c r="O357" s="133"/>
      <c r="P357" s="133"/>
      <c r="Q357" s="13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</row>
    <row r="358" spans="1:25" x14ac:dyDescent="0.2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5" t="s">
        <v>43</v>
      </c>
      <c r="N358" s="136"/>
      <c r="O358" s="136"/>
      <c r="P358" s="136"/>
      <c r="Q358" s="136"/>
      <c r="R358" s="136"/>
      <c r="S358" s="137"/>
      <c r="T358" s="43" t="s">
        <v>42</v>
      </c>
      <c r="U358" s="44">
        <f>IFERROR(U353/H353,"0")+IFERROR(U354/H354,"0")+IFERROR(U355/H355,"0")+IFERROR(U356/H356,"0")+IFERROR(U357/H357,"0")</f>
        <v>5</v>
      </c>
      <c r="V358" s="44">
        <f>IFERROR(V353/H353,"0")+IFERROR(V354/H354,"0")+IFERROR(V355/H355,"0")+IFERROR(V356/H356,"0")+IFERROR(V357/H357,"0")</f>
        <v>5</v>
      </c>
      <c r="W358" s="44">
        <f>IFERROR(IF(W353="",0,W353),"0")+IFERROR(IF(W354="",0,W354),"0")+IFERROR(IF(W355="",0,W355),"0")+IFERROR(IF(W356="",0,W356),"0")+IFERROR(IF(W357="",0,W357),"0")</f>
        <v>3.7650000000000003E-2</v>
      </c>
      <c r="X358" s="68"/>
      <c r="Y358" s="68"/>
    </row>
    <row r="359" spans="1:25" x14ac:dyDescent="0.2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5" t="s">
        <v>43</v>
      </c>
      <c r="N359" s="136"/>
      <c r="O359" s="136"/>
      <c r="P359" s="136"/>
      <c r="Q359" s="136"/>
      <c r="R359" s="136"/>
      <c r="S359" s="137"/>
      <c r="T359" s="43" t="s">
        <v>0</v>
      </c>
      <c r="U359" s="44">
        <f>IFERROR(SUM(U353:U357),"0")</f>
        <v>21</v>
      </c>
      <c r="V359" s="44">
        <f>IFERROR(SUM(V353:V357),"0")</f>
        <v>21</v>
      </c>
      <c r="W359" s="43"/>
      <c r="X359" s="68"/>
      <c r="Y359" s="68"/>
    </row>
    <row r="360" spans="1:25" ht="27.75" customHeight="1" x14ac:dyDescent="0.2">
      <c r="A360" s="128" t="s">
        <v>671</v>
      </c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55"/>
      <c r="Y360" s="55"/>
    </row>
    <row r="361" spans="1:25" ht="16.5" customHeight="1" x14ac:dyDescent="0.25">
      <c r="A361" s="129" t="s">
        <v>671</v>
      </c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66"/>
      <c r="Y361" s="66"/>
    </row>
    <row r="362" spans="1:25" ht="14.25" customHeight="1" x14ac:dyDescent="0.25">
      <c r="A362" s="130" t="s">
        <v>126</v>
      </c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67"/>
      <c r="Y362" s="67"/>
    </row>
    <row r="363" spans="1:25" ht="27" customHeight="1" x14ac:dyDescent="0.25">
      <c r="A363" s="64" t="s">
        <v>672</v>
      </c>
      <c r="B363" s="64" t="s">
        <v>673</v>
      </c>
      <c r="C363" s="37">
        <v>4301011372</v>
      </c>
      <c r="D363" s="131">
        <v>4680115882782</v>
      </c>
      <c r="E363" s="131"/>
      <c r="F363" s="63">
        <v>0.6</v>
      </c>
      <c r="G363" s="38">
        <v>6</v>
      </c>
      <c r="H363" s="63">
        <v>3.6</v>
      </c>
      <c r="I363" s="63">
        <v>3.84</v>
      </c>
      <c r="J363" s="38">
        <v>120</v>
      </c>
      <c r="K363" s="39" t="s">
        <v>124</v>
      </c>
      <c r="L363" s="38">
        <v>50</v>
      </c>
      <c r="M363" s="333" t="s">
        <v>674</v>
      </c>
      <c r="N363" s="133"/>
      <c r="O363" s="133"/>
      <c r="P363" s="133"/>
      <c r="Q363" s="134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ref="V363:V372" si="14"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288</v>
      </c>
    </row>
    <row r="364" spans="1:25" ht="27" customHeight="1" x14ac:dyDescent="0.25">
      <c r="A364" s="64" t="s">
        <v>675</v>
      </c>
      <c r="B364" s="64" t="s">
        <v>676</v>
      </c>
      <c r="C364" s="37">
        <v>4301011371</v>
      </c>
      <c r="D364" s="131">
        <v>4607091389067</v>
      </c>
      <c r="E364" s="131"/>
      <c r="F364" s="63">
        <v>0.88</v>
      </c>
      <c r="G364" s="38">
        <v>6</v>
      </c>
      <c r="H364" s="63">
        <v>5.28</v>
      </c>
      <c r="I364" s="63">
        <v>5.64</v>
      </c>
      <c r="J364" s="38">
        <v>104</v>
      </c>
      <c r="K364" s="39" t="s">
        <v>158</v>
      </c>
      <c r="L364" s="38">
        <v>55</v>
      </c>
      <c r="M364" s="334" t="s">
        <v>677</v>
      </c>
      <c r="N364" s="133"/>
      <c r="O364" s="133"/>
      <c r="P364" s="133"/>
      <c r="Q364" s="134"/>
      <c r="R364" s="40" t="s">
        <v>48</v>
      </c>
      <c r="S364" s="40" t="s">
        <v>48</v>
      </c>
      <c r="T364" s="41" t="s">
        <v>0</v>
      </c>
      <c r="U364" s="59">
        <v>0</v>
      </c>
      <c r="V364" s="56">
        <f t="shared" si="14"/>
        <v>0</v>
      </c>
      <c r="W364" s="42" t="str">
        <f>IFERROR(IF(V364=0,"",ROUNDUP(V364/H364,0)*0.01196),"")</f>
        <v/>
      </c>
      <c r="X364" s="69" t="s">
        <v>48</v>
      </c>
      <c r="Y364" s="70" t="s">
        <v>48</v>
      </c>
    </row>
    <row r="365" spans="1:25" ht="27" customHeight="1" x14ac:dyDescent="0.25">
      <c r="A365" s="64" t="s">
        <v>678</v>
      </c>
      <c r="B365" s="64" t="s">
        <v>679</v>
      </c>
      <c r="C365" s="37">
        <v>4301011363</v>
      </c>
      <c r="D365" s="131">
        <v>4607091383522</v>
      </c>
      <c r="E365" s="131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124</v>
      </c>
      <c r="L365" s="38">
        <v>55</v>
      </c>
      <c r="M365" s="335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5" s="133"/>
      <c r="O365" s="133"/>
      <c r="P365" s="133"/>
      <c r="Q365" s="134"/>
      <c r="R365" s="40" t="s">
        <v>48</v>
      </c>
      <c r="S365" s="40" t="s">
        <v>48</v>
      </c>
      <c r="T365" s="41" t="s">
        <v>0</v>
      </c>
      <c r="U365" s="59">
        <v>580</v>
      </c>
      <c r="V365" s="56">
        <f t="shared" si="14"/>
        <v>580.80000000000007</v>
      </c>
      <c r="W365" s="42">
        <f>IFERROR(IF(V365=0,"",ROUNDUP(V365/H365,0)*0.01196),"")</f>
        <v>1.3156000000000001</v>
      </c>
      <c r="X365" s="69" t="s">
        <v>48</v>
      </c>
      <c r="Y365" s="70" t="s">
        <v>48</v>
      </c>
    </row>
    <row r="366" spans="1:25" ht="27" customHeight="1" x14ac:dyDescent="0.25">
      <c r="A366" s="64" t="s">
        <v>680</v>
      </c>
      <c r="B366" s="64" t="s">
        <v>681</v>
      </c>
      <c r="C366" s="37">
        <v>4301011431</v>
      </c>
      <c r="D366" s="131">
        <v>4607091384437</v>
      </c>
      <c r="E366" s="131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124</v>
      </c>
      <c r="L366" s="38">
        <v>50</v>
      </c>
      <c r="M366" s="336" t="s">
        <v>682</v>
      </c>
      <c r="N366" s="133"/>
      <c r="O366" s="133"/>
      <c r="P366" s="133"/>
      <c r="Q366" s="134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4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</row>
    <row r="367" spans="1:25" ht="27" customHeight="1" x14ac:dyDescent="0.25">
      <c r="A367" s="64" t="s">
        <v>683</v>
      </c>
      <c r="B367" s="64" t="s">
        <v>684</v>
      </c>
      <c r="C367" s="37">
        <v>4301011365</v>
      </c>
      <c r="D367" s="131">
        <v>4607091389104</v>
      </c>
      <c r="E367" s="131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124</v>
      </c>
      <c r="L367" s="38">
        <v>55</v>
      </c>
      <c r="M367" s="337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7" s="133"/>
      <c r="O367" s="133"/>
      <c r="P367" s="133"/>
      <c r="Q367" s="134"/>
      <c r="R367" s="40" t="s">
        <v>48</v>
      </c>
      <c r="S367" s="40" t="s">
        <v>48</v>
      </c>
      <c r="T367" s="41" t="s">
        <v>0</v>
      </c>
      <c r="U367" s="59">
        <v>550</v>
      </c>
      <c r="V367" s="56">
        <f t="shared" si="14"/>
        <v>554.4</v>
      </c>
      <c r="W367" s="42">
        <f>IFERROR(IF(V367=0,"",ROUNDUP(V367/H367,0)*0.01196),"")</f>
        <v>1.2558</v>
      </c>
      <c r="X367" s="69" t="s">
        <v>48</v>
      </c>
      <c r="Y367" s="70" t="s">
        <v>48</v>
      </c>
    </row>
    <row r="368" spans="1:25" ht="27" customHeight="1" x14ac:dyDescent="0.25">
      <c r="A368" s="64" t="s">
        <v>685</v>
      </c>
      <c r="B368" s="64" t="s">
        <v>686</v>
      </c>
      <c r="C368" s="37">
        <v>4301011142</v>
      </c>
      <c r="D368" s="131">
        <v>4607091389036</v>
      </c>
      <c r="E368" s="131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9" t="s">
        <v>158</v>
      </c>
      <c r="L368" s="38">
        <v>50</v>
      </c>
      <c r="M368" s="338" t="s">
        <v>687</v>
      </c>
      <c r="N368" s="133"/>
      <c r="O368" s="133"/>
      <c r="P368" s="133"/>
      <c r="Q368" s="134"/>
      <c r="R368" s="40" t="s">
        <v>48</v>
      </c>
      <c r="S368" s="40" t="s">
        <v>48</v>
      </c>
      <c r="T368" s="41" t="s">
        <v>0</v>
      </c>
      <c r="U368" s="59">
        <v>16</v>
      </c>
      <c r="V368" s="56">
        <f t="shared" si="14"/>
        <v>16.8</v>
      </c>
      <c r="W368" s="42">
        <f>IFERROR(IF(V368=0,"",ROUNDUP(V368/H368,0)*0.00753),"")</f>
        <v>5.271E-2</v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4301011367</v>
      </c>
      <c r="D369" s="131">
        <v>4680115880603</v>
      </c>
      <c r="E369" s="131"/>
      <c r="F369" s="63">
        <v>0.6</v>
      </c>
      <c r="G369" s="38">
        <v>6</v>
      </c>
      <c r="H369" s="63">
        <v>3.6</v>
      </c>
      <c r="I369" s="63">
        <v>3.84</v>
      </c>
      <c r="J369" s="38">
        <v>120</v>
      </c>
      <c r="K369" s="39" t="s">
        <v>124</v>
      </c>
      <c r="L369" s="38">
        <v>55</v>
      </c>
      <c r="M369" s="339" t="s">
        <v>690</v>
      </c>
      <c r="N369" s="133"/>
      <c r="O369" s="133"/>
      <c r="P369" s="133"/>
      <c r="Q369" s="134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4"/>
        <v>0</v>
      </c>
      <c r="W369" s="42" t="str">
        <f>IFERROR(IF(V369=0,"",ROUNDUP(V369/H369,0)*0.00937),"")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691</v>
      </c>
      <c r="B370" s="64" t="s">
        <v>692</v>
      </c>
      <c r="C370" s="37">
        <v>4301011168</v>
      </c>
      <c r="D370" s="131">
        <v>4607091389999</v>
      </c>
      <c r="E370" s="131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124</v>
      </c>
      <c r="L370" s="38">
        <v>55</v>
      </c>
      <c r="M370" s="340" t="s">
        <v>693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4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694</v>
      </c>
      <c r="B371" s="64" t="s">
        <v>695</v>
      </c>
      <c r="C371" s="37">
        <v>4301011190</v>
      </c>
      <c r="D371" s="131">
        <v>4607091389098</v>
      </c>
      <c r="E371" s="131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9" t="s">
        <v>158</v>
      </c>
      <c r="L371" s="38">
        <v>50</v>
      </c>
      <c r="M371" s="341" t="s">
        <v>696</v>
      </c>
      <c r="N371" s="133"/>
      <c r="O371" s="133"/>
      <c r="P371" s="133"/>
      <c r="Q371" s="134"/>
      <c r="R371" s="40" t="s">
        <v>48</v>
      </c>
      <c r="S371" s="40" t="s">
        <v>48</v>
      </c>
      <c r="T371" s="41" t="s">
        <v>0</v>
      </c>
      <c r="U371" s="59">
        <v>7</v>
      </c>
      <c r="V371" s="56">
        <f t="shared" si="14"/>
        <v>7.1999999999999993</v>
      </c>
      <c r="W371" s="42">
        <f>IFERROR(IF(V371=0,"",ROUNDUP(V371/H371,0)*0.00753),"")</f>
        <v>2.2589999999999999E-2</v>
      </c>
      <c r="X371" s="69" t="s">
        <v>48</v>
      </c>
      <c r="Y371" s="70" t="s">
        <v>48</v>
      </c>
    </row>
    <row r="372" spans="1:25" ht="27" customHeight="1" x14ac:dyDescent="0.25">
      <c r="A372" s="64" t="s">
        <v>697</v>
      </c>
      <c r="B372" s="64" t="s">
        <v>698</v>
      </c>
      <c r="C372" s="37">
        <v>4301011366</v>
      </c>
      <c r="D372" s="131">
        <v>4607091389982</v>
      </c>
      <c r="E372" s="131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124</v>
      </c>
      <c r="L372" s="38">
        <v>55</v>
      </c>
      <c r="M372" s="342" t="s">
        <v>699</v>
      </c>
      <c r="N372" s="133"/>
      <c r="O372" s="133"/>
      <c r="P372" s="133"/>
      <c r="Q372" s="134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4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</row>
    <row r="373" spans="1:25" x14ac:dyDescent="0.2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5" t="s">
        <v>43</v>
      </c>
      <c r="N373" s="136"/>
      <c r="O373" s="136"/>
      <c r="P373" s="136"/>
      <c r="Q373" s="136"/>
      <c r="R373" s="136"/>
      <c r="S373" s="137"/>
      <c r="T373" s="43" t="s">
        <v>42</v>
      </c>
      <c r="U373" s="44">
        <f>IFERROR(U363/H363,"0")+IFERROR(U364/H364,"0")+IFERROR(U365/H365,"0")+IFERROR(U366/H366,"0")+IFERROR(U367/H367,"0")+IFERROR(U368/H368,"0")+IFERROR(U369/H369,"0")+IFERROR(U370/H370,"0")+IFERROR(U371/H371,"0")+IFERROR(U372/H372,"0")</f>
        <v>223.59848484848482</v>
      </c>
      <c r="V373" s="44">
        <f>IFERROR(V363/H363,"0")+IFERROR(V364/H364,"0")+IFERROR(V365/H365,"0")+IFERROR(V366/H366,"0")+IFERROR(V367/H367,"0")+IFERROR(V368/H368,"0")+IFERROR(V369/H369,"0")+IFERROR(V370/H370,"0")+IFERROR(V371/H371,"0")+IFERROR(V372/H372,"0")</f>
        <v>225</v>
      </c>
      <c r="W373" s="44">
        <f>IFERROR(IF(W363="",0,W363),"0")+IFERROR(IF(W364="",0,W364),"0")+IFERROR(IF(W365="",0,W365),"0")+IFERROR(IF(W366="",0,W366),"0")+IFERROR(IF(W367="",0,W367),"0")+IFERROR(IF(W368="",0,W368),"0")+IFERROR(IF(W369="",0,W369),"0")+IFERROR(IF(W370="",0,W370),"0")+IFERROR(IF(W371="",0,W371),"0")+IFERROR(IF(W372="",0,W372),"0")</f>
        <v>2.6467000000000001</v>
      </c>
      <c r="X373" s="68"/>
      <c r="Y373" s="68"/>
    </row>
    <row r="374" spans="1:25" x14ac:dyDescent="0.2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5" t="s">
        <v>43</v>
      </c>
      <c r="N374" s="136"/>
      <c r="O374" s="136"/>
      <c r="P374" s="136"/>
      <c r="Q374" s="136"/>
      <c r="R374" s="136"/>
      <c r="S374" s="137"/>
      <c r="T374" s="43" t="s">
        <v>0</v>
      </c>
      <c r="U374" s="44">
        <f>IFERROR(SUM(U363:U372),"0")</f>
        <v>1153</v>
      </c>
      <c r="V374" s="44">
        <f>IFERROR(SUM(V363:V372),"0")</f>
        <v>1159.2</v>
      </c>
      <c r="W374" s="43"/>
      <c r="X374" s="68"/>
      <c r="Y374" s="68"/>
    </row>
    <row r="375" spans="1:25" ht="14.25" customHeight="1" x14ac:dyDescent="0.25">
      <c r="A375" s="130" t="s">
        <v>120</v>
      </c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67"/>
      <c r="Y375" s="67"/>
    </row>
    <row r="376" spans="1:25" ht="16.5" customHeight="1" x14ac:dyDescent="0.25">
      <c r="A376" s="64" t="s">
        <v>700</v>
      </c>
      <c r="B376" s="64" t="s">
        <v>701</v>
      </c>
      <c r="C376" s="37">
        <v>4301020222</v>
      </c>
      <c r="D376" s="131">
        <v>4607091388930</v>
      </c>
      <c r="E376" s="131"/>
      <c r="F376" s="63">
        <v>0.88</v>
      </c>
      <c r="G376" s="38">
        <v>6</v>
      </c>
      <c r="H376" s="63">
        <v>5.28</v>
      </c>
      <c r="I376" s="63">
        <v>5.64</v>
      </c>
      <c r="J376" s="38">
        <v>104</v>
      </c>
      <c r="K376" s="39" t="s">
        <v>124</v>
      </c>
      <c r="L376" s="38">
        <v>55</v>
      </c>
      <c r="M376" s="343" t="s">
        <v>702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570</v>
      </c>
      <c r="V376" s="56">
        <f>IFERROR(IF(U376="",0,CEILING((U376/$H376),1)*$H376),"")</f>
        <v>570.24</v>
      </c>
      <c r="W376" s="42">
        <f>IFERROR(IF(V376=0,"",ROUNDUP(V376/H376,0)*0.01196),"")</f>
        <v>1.2916799999999999</v>
      </c>
      <c r="X376" s="69" t="s">
        <v>48</v>
      </c>
      <c r="Y376" s="70" t="s">
        <v>48</v>
      </c>
    </row>
    <row r="377" spans="1:25" ht="16.5" customHeight="1" x14ac:dyDescent="0.25">
      <c r="A377" s="64" t="s">
        <v>703</v>
      </c>
      <c r="B377" s="64" t="s">
        <v>704</v>
      </c>
      <c r="C377" s="37">
        <v>4301020206</v>
      </c>
      <c r="D377" s="131">
        <v>4680115880054</v>
      </c>
      <c r="E377" s="131"/>
      <c r="F377" s="63">
        <v>0.6</v>
      </c>
      <c r="G377" s="38">
        <v>6</v>
      </c>
      <c r="H377" s="63">
        <v>3.6</v>
      </c>
      <c r="I377" s="63">
        <v>3.84</v>
      </c>
      <c r="J377" s="38">
        <v>120</v>
      </c>
      <c r="K377" s="39" t="s">
        <v>124</v>
      </c>
      <c r="L377" s="38">
        <v>55</v>
      </c>
      <c r="M377" s="344" t="s">
        <v>705</v>
      </c>
      <c r="N377" s="133"/>
      <c r="O377" s="133"/>
      <c r="P377" s="133"/>
      <c r="Q377" s="13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IFERROR(IF(V377=0,"",ROUNDUP(V377/H377,0)*0.00937),"")</f>
        <v/>
      </c>
      <c r="X377" s="69" t="s">
        <v>48</v>
      </c>
      <c r="Y377" s="70" t="s">
        <v>48</v>
      </c>
    </row>
    <row r="378" spans="1:25" x14ac:dyDescent="0.2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9"/>
      <c r="M378" s="135" t="s">
        <v>43</v>
      </c>
      <c r="N378" s="136"/>
      <c r="O378" s="136"/>
      <c r="P378" s="136"/>
      <c r="Q378" s="136"/>
      <c r="R378" s="136"/>
      <c r="S378" s="137"/>
      <c r="T378" s="43" t="s">
        <v>42</v>
      </c>
      <c r="U378" s="44">
        <f>IFERROR(U376/H376,"0")+IFERROR(U377/H377,"0")</f>
        <v>107.95454545454545</v>
      </c>
      <c r="V378" s="44">
        <f>IFERROR(V376/H376,"0")+IFERROR(V377/H377,"0")</f>
        <v>108</v>
      </c>
      <c r="W378" s="44">
        <f>IFERROR(IF(W376="",0,W376),"0")+IFERROR(IF(W377="",0,W377),"0")</f>
        <v>1.2916799999999999</v>
      </c>
      <c r="X378" s="68"/>
      <c r="Y378" s="68"/>
    </row>
    <row r="379" spans="1:25" x14ac:dyDescent="0.2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9"/>
      <c r="M379" s="135" t="s">
        <v>43</v>
      </c>
      <c r="N379" s="136"/>
      <c r="O379" s="136"/>
      <c r="P379" s="136"/>
      <c r="Q379" s="136"/>
      <c r="R379" s="136"/>
      <c r="S379" s="137"/>
      <c r="T379" s="43" t="s">
        <v>0</v>
      </c>
      <c r="U379" s="44">
        <f>IFERROR(SUM(U376:U377),"0")</f>
        <v>570</v>
      </c>
      <c r="V379" s="44">
        <f>IFERROR(SUM(V376:V377),"0")</f>
        <v>570.24</v>
      </c>
      <c r="W379" s="43"/>
      <c r="X379" s="68"/>
      <c r="Y379" s="68"/>
    </row>
    <row r="380" spans="1:25" ht="14.25" customHeight="1" x14ac:dyDescent="0.25">
      <c r="A380" s="130" t="s">
        <v>76</v>
      </c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67"/>
      <c r="Y380" s="67"/>
    </row>
    <row r="381" spans="1:25" ht="27" customHeight="1" x14ac:dyDescent="0.25">
      <c r="A381" s="64" t="s">
        <v>706</v>
      </c>
      <c r="B381" s="64" t="s">
        <v>707</v>
      </c>
      <c r="C381" s="37">
        <v>4301031214</v>
      </c>
      <c r="D381" s="131">
        <v>4680115882072</v>
      </c>
      <c r="E381" s="131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124</v>
      </c>
      <c r="L381" s="38">
        <v>55</v>
      </c>
      <c r="M381" s="345" t="s">
        <v>708</v>
      </c>
      <c r="N381" s="133"/>
      <c r="O381" s="133"/>
      <c r="P381" s="133"/>
      <c r="Q381" s="134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6" si="15"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288</v>
      </c>
    </row>
    <row r="382" spans="1:25" ht="27" customHeight="1" x14ac:dyDescent="0.25">
      <c r="A382" s="64" t="s">
        <v>709</v>
      </c>
      <c r="B382" s="64" t="s">
        <v>710</v>
      </c>
      <c r="C382" s="37">
        <v>4301031217</v>
      </c>
      <c r="D382" s="131">
        <v>4680115882102</v>
      </c>
      <c r="E382" s="131"/>
      <c r="F382" s="63">
        <v>0.6</v>
      </c>
      <c r="G382" s="38">
        <v>6</v>
      </c>
      <c r="H382" s="63">
        <v>3.6</v>
      </c>
      <c r="I382" s="63">
        <v>3.81</v>
      </c>
      <c r="J382" s="38">
        <v>120</v>
      </c>
      <c r="K382" s="39" t="s">
        <v>80</v>
      </c>
      <c r="L382" s="38">
        <v>55</v>
      </c>
      <c r="M382" s="346" t="s">
        <v>711</v>
      </c>
      <c r="N382" s="133"/>
      <c r="O382" s="133"/>
      <c r="P382" s="133"/>
      <c r="Q382" s="13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5"/>
        <v>0</v>
      </c>
      <c r="W382" s="42" t="str">
        <f>IFERROR(IF(V382=0,"",ROUNDUP(V382/H382,0)*0.00937),"")</f>
        <v/>
      </c>
      <c r="X382" s="69" t="s">
        <v>48</v>
      </c>
      <c r="Y382" s="70" t="s">
        <v>288</v>
      </c>
    </row>
    <row r="383" spans="1:25" ht="27" customHeight="1" x14ac:dyDescent="0.25">
      <c r="A383" s="64" t="s">
        <v>712</v>
      </c>
      <c r="B383" s="64" t="s">
        <v>713</v>
      </c>
      <c r="C383" s="37">
        <v>4301031216</v>
      </c>
      <c r="D383" s="131">
        <v>4680115882096</v>
      </c>
      <c r="E383" s="131"/>
      <c r="F383" s="63">
        <v>0.6</v>
      </c>
      <c r="G383" s="38">
        <v>6</v>
      </c>
      <c r="H383" s="63">
        <v>3.6</v>
      </c>
      <c r="I383" s="63">
        <v>3.81</v>
      </c>
      <c r="J383" s="38">
        <v>120</v>
      </c>
      <c r="K383" s="39" t="s">
        <v>80</v>
      </c>
      <c r="L383" s="38">
        <v>55</v>
      </c>
      <c r="M383" s="347" t="s">
        <v>714</v>
      </c>
      <c r="N383" s="133"/>
      <c r="O383" s="133"/>
      <c r="P383" s="133"/>
      <c r="Q383" s="13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5"/>
        <v>0</v>
      </c>
      <c r="W383" s="42" t="str">
        <f>IFERROR(IF(V383=0,"",ROUNDUP(V383/H383,0)*0.00937),"")</f>
        <v/>
      </c>
      <c r="X383" s="69" t="s">
        <v>48</v>
      </c>
      <c r="Y383" s="70" t="s">
        <v>288</v>
      </c>
    </row>
    <row r="384" spans="1:25" ht="27" customHeight="1" x14ac:dyDescent="0.25">
      <c r="A384" s="64" t="s">
        <v>715</v>
      </c>
      <c r="B384" s="64" t="s">
        <v>716</v>
      </c>
      <c r="C384" s="37">
        <v>4301031198</v>
      </c>
      <c r="D384" s="131">
        <v>4607091383348</v>
      </c>
      <c r="E384" s="131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124</v>
      </c>
      <c r="L384" s="38">
        <v>55</v>
      </c>
      <c r="M384" s="34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4" s="133"/>
      <c r="O384" s="133"/>
      <c r="P384" s="133"/>
      <c r="Q384" s="134"/>
      <c r="R384" s="40" t="s">
        <v>48</v>
      </c>
      <c r="S384" s="40" t="s">
        <v>48</v>
      </c>
      <c r="T384" s="41" t="s">
        <v>0</v>
      </c>
      <c r="U384" s="59">
        <v>220</v>
      </c>
      <c r="V384" s="56">
        <f t="shared" si="15"/>
        <v>221.76000000000002</v>
      </c>
      <c r="W384" s="42">
        <f>IFERROR(IF(V384=0,"",ROUNDUP(V384/H384,0)*0.01196),"")</f>
        <v>0.50231999999999999</v>
      </c>
      <c r="X384" s="69" t="s">
        <v>48</v>
      </c>
      <c r="Y384" s="70" t="s">
        <v>48</v>
      </c>
    </row>
    <row r="385" spans="1:25" ht="27" customHeight="1" x14ac:dyDescent="0.25">
      <c r="A385" s="64" t="s">
        <v>717</v>
      </c>
      <c r="B385" s="64" t="s">
        <v>718</v>
      </c>
      <c r="C385" s="37">
        <v>4301031188</v>
      </c>
      <c r="D385" s="131">
        <v>4607091383386</v>
      </c>
      <c r="E385" s="131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80</v>
      </c>
      <c r="L385" s="38">
        <v>55</v>
      </c>
      <c r="M385" s="349" t="s">
        <v>719</v>
      </c>
      <c r="N385" s="133"/>
      <c r="O385" s="133"/>
      <c r="P385" s="133"/>
      <c r="Q385" s="134"/>
      <c r="R385" s="40" t="s">
        <v>48</v>
      </c>
      <c r="S385" s="40" t="s">
        <v>48</v>
      </c>
      <c r="T385" s="41" t="s">
        <v>0</v>
      </c>
      <c r="U385" s="59">
        <v>100</v>
      </c>
      <c r="V385" s="56">
        <f t="shared" si="15"/>
        <v>100.32000000000001</v>
      </c>
      <c r="W385" s="42">
        <f>IFERROR(IF(V385=0,"",ROUNDUP(V385/H385,0)*0.01196),"")</f>
        <v>0.22724</v>
      </c>
      <c r="X385" s="69" t="s">
        <v>48</v>
      </c>
      <c r="Y385" s="70" t="s">
        <v>48</v>
      </c>
    </row>
    <row r="386" spans="1:25" ht="27" customHeight="1" x14ac:dyDescent="0.25">
      <c r="A386" s="64" t="s">
        <v>720</v>
      </c>
      <c r="B386" s="64" t="s">
        <v>721</v>
      </c>
      <c r="C386" s="37">
        <v>4301031189</v>
      </c>
      <c r="D386" s="131">
        <v>4607091383355</v>
      </c>
      <c r="E386" s="131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80</v>
      </c>
      <c r="L386" s="38">
        <v>55</v>
      </c>
      <c r="M386" s="350" t="s">
        <v>722</v>
      </c>
      <c r="N386" s="133"/>
      <c r="O386" s="133"/>
      <c r="P386" s="133"/>
      <c r="Q386" s="134"/>
      <c r="R386" s="40" t="s">
        <v>48</v>
      </c>
      <c r="S386" s="40" t="s">
        <v>48</v>
      </c>
      <c r="T386" s="41" t="s">
        <v>0</v>
      </c>
      <c r="U386" s="59">
        <v>130</v>
      </c>
      <c r="V386" s="56">
        <f t="shared" si="15"/>
        <v>132</v>
      </c>
      <c r="W386" s="42">
        <f>IFERROR(IF(V386=0,"",ROUNDUP(V386/H386,0)*0.01196),"")</f>
        <v>0.29899999999999999</v>
      </c>
      <c r="X386" s="69" t="s">
        <v>48</v>
      </c>
      <c r="Y386" s="70" t="s">
        <v>48</v>
      </c>
    </row>
    <row r="387" spans="1:25" x14ac:dyDescent="0.2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9"/>
      <c r="M387" s="135" t="s">
        <v>43</v>
      </c>
      <c r="N387" s="136"/>
      <c r="O387" s="136"/>
      <c r="P387" s="136"/>
      <c r="Q387" s="136"/>
      <c r="R387" s="136"/>
      <c r="S387" s="137"/>
      <c r="T387" s="43" t="s">
        <v>42</v>
      </c>
      <c r="U387" s="44">
        <f>IFERROR(U381/H381,"0")+IFERROR(U382/H382,"0")+IFERROR(U383/H383,"0")+IFERROR(U384/H384,"0")+IFERROR(U385/H385,"0")+IFERROR(U386/H386,"0")</f>
        <v>85.22727272727272</v>
      </c>
      <c r="V387" s="44">
        <f>IFERROR(V381/H381,"0")+IFERROR(V382/H382,"0")+IFERROR(V383/H383,"0")+IFERROR(V384/H384,"0")+IFERROR(V385/H385,"0")+IFERROR(V386/H386,"0")</f>
        <v>86</v>
      </c>
      <c r="W387" s="44">
        <f>IFERROR(IF(W381="",0,W381),"0")+IFERROR(IF(W382="",0,W382),"0")+IFERROR(IF(W383="",0,W383),"0")+IFERROR(IF(W384="",0,W384),"0")+IFERROR(IF(W385="",0,W385),"0")+IFERROR(IF(W386="",0,W386),"0")</f>
        <v>1.0285599999999999</v>
      </c>
      <c r="X387" s="68"/>
      <c r="Y387" s="68"/>
    </row>
    <row r="388" spans="1:25" x14ac:dyDescent="0.2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9"/>
      <c r="M388" s="135" t="s">
        <v>43</v>
      </c>
      <c r="N388" s="136"/>
      <c r="O388" s="136"/>
      <c r="P388" s="136"/>
      <c r="Q388" s="136"/>
      <c r="R388" s="136"/>
      <c r="S388" s="137"/>
      <c r="T388" s="43" t="s">
        <v>0</v>
      </c>
      <c r="U388" s="44">
        <f>IFERROR(SUM(U381:U386),"0")</f>
        <v>450</v>
      </c>
      <c r="V388" s="44">
        <f>IFERROR(SUM(V381:V386),"0")</f>
        <v>454.08000000000004</v>
      </c>
      <c r="W388" s="43"/>
      <c r="X388" s="68"/>
      <c r="Y388" s="68"/>
    </row>
    <row r="389" spans="1:25" ht="14.25" customHeight="1" x14ac:dyDescent="0.25">
      <c r="A389" s="130" t="s">
        <v>81</v>
      </c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67"/>
      <c r="Y389" s="67"/>
    </row>
    <row r="390" spans="1:25" ht="16.5" customHeight="1" x14ac:dyDescent="0.25">
      <c r="A390" s="64" t="s">
        <v>723</v>
      </c>
      <c r="B390" s="64" t="s">
        <v>724</v>
      </c>
      <c r="C390" s="37">
        <v>4301051230</v>
      </c>
      <c r="D390" s="131">
        <v>4607091383409</v>
      </c>
      <c r="E390" s="131"/>
      <c r="F390" s="63">
        <v>1.3</v>
      </c>
      <c r="G390" s="38">
        <v>6</v>
      </c>
      <c r="H390" s="63">
        <v>7.8</v>
      </c>
      <c r="I390" s="63">
        <v>8.3460000000000001</v>
      </c>
      <c r="J390" s="38">
        <v>56</v>
      </c>
      <c r="K390" s="39" t="s">
        <v>80</v>
      </c>
      <c r="L390" s="38">
        <v>45</v>
      </c>
      <c r="M390" s="351" t="s">
        <v>725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0</v>
      </c>
      <c r="V390" s="56">
        <f>IFERROR(IF(U390="",0,CEILING((U390/$H390),1)*$H390),"")</f>
        <v>0</v>
      </c>
      <c r="W390" s="42" t="str">
        <f>IFERROR(IF(V390=0,"",ROUNDUP(V390/H390,0)*0.02175),"")</f>
        <v/>
      </c>
      <c r="X390" s="69" t="s">
        <v>48</v>
      </c>
      <c r="Y390" s="70" t="s">
        <v>48</v>
      </c>
    </row>
    <row r="391" spans="1:25" ht="16.5" customHeight="1" x14ac:dyDescent="0.25">
      <c r="A391" s="64" t="s">
        <v>726</v>
      </c>
      <c r="B391" s="64" t="s">
        <v>727</v>
      </c>
      <c r="C391" s="37">
        <v>4301051231</v>
      </c>
      <c r="D391" s="131">
        <v>4607091383416</v>
      </c>
      <c r="E391" s="131"/>
      <c r="F391" s="63">
        <v>1.3</v>
      </c>
      <c r="G391" s="38">
        <v>6</v>
      </c>
      <c r="H391" s="63">
        <v>7.8</v>
      </c>
      <c r="I391" s="63">
        <v>8.3460000000000001</v>
      </c>
      <c r="J391" s="38">
        <v>56</v>
      </c>
      <c r="K391" s="39" t="s">
        <v>80</v>
      </c>
      <c r="L391" s="38">
        <v>45</v>
      </c>
      <c r="M391" s="352" t="s">
        <v>728</v>
      </c>
      <c r="N391" s="133"/>
      <c r="O391" s="133"/>
      <c r="P391" s="133"/>
      <c r="Q391" s="13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IFERROR(IF(V391=0,"",ROUNDUP(V391/H391,0)*0.02175),"")</f>
        <v/>
      </c>
      <c r="X391" s="69" t="s">
        <v>48</v>
      </c>
      <c r="Y391" s="70" t="s">
        <v>48</v>
      </c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42</v>
      </c>
      <c r="U392" s="44">
        <f>IFERROR(U390/H390,"0")+IFERROR(U391/H391,"0")</f>
        <v>0</v>
      </c>
      <c r="V392" s="44">
        <f>IFERROR(V390/H390,"0")+IFERROR(V391/H391,"0")</f>
        <v>0</v>
      </c>
      <c r="W392" s="44">
        <f>IFERROR(IF(W390="",0,W390),"0")+IFERROR(IF(W391="",0,W391),"0")</f>
        <v>0</v>
      </c>
      <c r="X392" s="68"/>
      <c r="Y392" s="68"/>
    </row>
    <row r="393" spans="1:25" x14ac:dyDescent="0.2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9"/>
      <c r="M393" s="135" t="s">
        <v>43</v>
      </c>
      <c r="N393" s="136"/>
      <c r="O393" s="136"/>
      <c r="P393" s="136"/>
      <c r="Q393" s="136"/>
      <c r="R393" s="136"/>
      <c r="S393" s="137"/>
      <c r="T393" s="43" t="s">
        <v>0</v>
      </c>
      <c r="U393" s="44">
        <f>IFERROR(SUM(U390:U391),"0")</f>
        <v>0</v>
      </c>
      <c r="V393" s="44">
        <f>IFERROR(SUM(V390:V391),"0")</f>
        <v>0</v>
      </c>
      <c r="W393" s="43"/>
      <c r="X393" s="68"/>
      <c r="Y393" s="68"/>
    </row>
    <row r="394" spans="1:25" ht="27.75" customHeight="1" x14ac:dyDescent="0.2">
      <c r="A394" s="128" t="s">
        <v>729</v>
      </c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55"/>
      <c r="Y394" s="55"/>
    </row>
    <row r="395" spans="1:25" ht="16.5" customHeight="1" x14ac:dyDescent="0.25">
      <c r="A395" s="129" t="s">
        <v>730</v>
      </c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66"/>
      <c r="Y395" s="66"/>
    </row>
    <row r="396" spans="1:25" ht="14.25" customHeight="1" x14ac:dyDescent="0.25">
      <c r="A396" s="130" t="s">
        <v>126</v>
      </c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67"/>
      <c r="Y396" s="67"/>
    </row>
    <row r="397" spans="1:25" ht="27" customHeight="1" x14ac:dyDescent="0.25">
      <c r="A397" s="64" t="s">
        <v>731</v>
      </c>
      <c r="B397" s="64" t="s">
        <v>732</v>
      </c>
      <c r="C397" s="37">
        <v>4301011434</v>
      </c>
      <c r="D397" s="131">
        <v>4680115881099</v>
      </c>
      <c r="E397" s="131"/>
      <c r="F397" s="63">
        <v>1.5</v>
      </c>
      <c r="G397" s="38">
        <v>8</v>
      </c>
      <c r="H397" s="63">
        <v>12</v>
      </c>
      <c r="I397" s="63">
        <v>12.48</v>
      </c>
      <c r="J397" s="38">
        <v>56</v>
      </c>
      <c r="K397" s="39" t="s">
        <v>124</v>
      </c>
      <c r="L397" s="38">
        <v>50</v>
      </c>
      <c r="M397" s="353" t="s">
        <v>733</v>
      </c>
      <c r="N397" s="133"/>
      <c r="O397" s="133"/>
      <c r="P397" s="133"/>
      <c r="Q397" s="134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IFERROR(IF(V397=0,"",ROUNDUP(V397/H397,0)*0.02175),"")</f>
        <v/>
      </c>
      <c r="X397" s="69" t="s">
        <v>48</v>
      </c>
      <c r="Y397" s="70" t="s">
        <v>48</v>
      </c>
    </row>
    <row r="398" spans="1:25" ht="27" customHeight="1" x14ac:dyDescent="0.25">
      <c r="A398" s="64" t="s">
        <v>734</v>
      </c>
      <c r="B398" s="64" t="s">
        <v>735</v>
      </c>
      <c r="C398" s="37">
        <v>4301011435</v>
      </c>
      <c r="D398" s="131">
        <v>4680115881150</v>
      </c>
      <c r="E398" s="131"/>
      <c r="F398" s="63">
        <v>1.5</v>
      </c>
      <c r="G398" s="38">
        <v>8</v>
      </c>
      <c r="H398" s="63">
        <v>12</v>
      </c>
      <c r="I398" s="63">
        <v>12.48</v>
      </c>
      <c r="J398" s="38">
        <v>56</v>
      </c>
      <c r="K398" s="39" t="s">
        <v>124</v>
      </c>
      <c r="L398" s="38">
        <v>50</v>
      </c>
      <c r="M398" s="354" t="s">
        <v>736</v>
      </c>
      <c r="N398" s="133"/>
      <c r="O398" s="133"/>
      <c r="P398" s="133"/>
      <c r="Q398" s="134"/>
      <c r="R398" s="40" t="s">
        <v>48</v>
      </c>
      <c r="S398" s="40" t="s">
        <v>48</v>
      </c>
      <c r="T398" s="41" t="s">
        <v>0</v>
      </c>
      <c r="U398" s="59">
        <v>300</v>
      </c>
      <c r="V398" s="56">
        <f>IFERROR(IF(U398="",0,CEILING((U398/$H398),1)*$H398),"")</f>
        <v>300</v>
      </c>
      <c r="W398" s="42">
        <f>IFERROR(IF(V398=0,"",ROUNDUP(V398/H398,0)*0.02175),"")</f>
        <v>0.54374999999999996</v>
      </c>
      <c r="X398" s="69" t="s">
        <v>48</v>
      </c>
      <c r="Y398" s="70" t="s">
        <v>48</v>
      </c>
    </row>
    <row r="399" spans="1:25" x14ac:dyDescent="0.2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9"/>
      <c r="M399" s="135" t="s">
        <v>43</v>
      </c>
      <c r="N399" s="136"/>
      <c r="O399" s="136"/>
      <c r="P399" s="136"/>
      <c r="Q399" s="136"/>
      <c r="R399" s="136"/>
      <c r="S399" s="137"/>
      <c r="T399" s="43" t="s">
        <v>42</v>
      </c>
      <c r="U399" s="44">
        <f>IFERROR(U397/H397,"0")+IFERROR(U398/H398,"0")</f>
        <v>25</v>
      </c>
      <c r="V399" s="44">
        <f>IFERROR(V397/H397,"0")+IFERROR(V398/H398,"0")</f>
        <v>25</v>
      </c>
      <c r="W399" s="44">
        <f>IFERROR(IF(W397="",0,W397),"0")+IFERROR(IF(W398="",0,W398),"0")</f>
        <v>0.54374999999999996</v>
      </c>
      <c r="X399" s="68"/>
      <c r="Y399" s="68"/>
    </row>
    <row r="400" spans="1:25" x14ac:dyDescent="0.2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9"/>
      <c r="M400" s="135" t="s">
        <v>43</v>
      </c>
      <c r="N400" s="136"/>
      <c r="O400" s="136"/>
      <c r="P400" s="136"/>
      <c r="Q400" s="136"/>
      <c r="R400" s="136"/>
      <c r="S400" s="137"/>
      <c r="T400" s="43" t="s">
        <v>0</v>
      </c>
      <c r="U400" s="44">
        <f>IFERROR(SUM(U397:U398),"0")</f>
        <v>300</v>
      </c>
      <c r="V400" s="44">
        <f>IFERROR(SUM(V397:V398),"0")</f>
        <v>300</v>
      </c>
      <c r="W400" s="43"/>
      <c r="X400" s="68"/>
      <c r="Y400" s="68"/>
    </row>
    <row r="401" spans="1:25" ht="14.25" customHeight="1" x14ac:dyDescent="0.25">
      <c r="A401" s="130" t="s">
        <v>120</v>
      </c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67"/>
      <c r="Y401" s="67"/>
    </row>
    <row r="402" spans="1:25" ht="16.5" customHeight="1" x14ac:dyDescent="0.25">
      <c r="A402" s="64" t="s">
        <v>737</v>
      </c>
      <c r="B402" s="64" t="s">
        <v>738</v>
      </c>
      <c r="C402" s="37">
        <v>4301020230</v>
      </c>
      <c r="D402" s="131">
        <v>4680115881112</v>
      </c>
      <c r="E402" s="131"/>
      <c r="F402" s="63">
        <v>1.35</v>
      </c>
      <c r="G402" s="38">
        <v>8</v>
      </c>
      <c r="H402" s="63">
        <v>10.8</v>
      </c>
      <c r="I402" s="63">
        <v>11.28</v>
      </c>
      <c r="J402" s="38">
        <v>56</v>
      </c>
      <c r="K402" s="39" t="s">
        <v>124</v>
      </c>
      <c r="L402" s="38">
        <v>50</v>
      </c>
      <c r="M402" s="355" t="s">
        <v>739</v>
      </c>
      <c r="N402" s="133"/>
      <c r="O402" s="133"/>
      <c r="P402" s="133"/>
      <c r="Q402" s="13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ht="27" customHeight="1" x14ac:dyDescent="0.25">
      <c r="A403" s="64" t="s">
        <v>740</v>
      </c>
      <c r="B403" s="64" t="s">
        <v>741</v>
      </c>
      <c r="C403" s="37">
        <v>4301020231</v>
      </c>
      <c r="D403" s="131">
        <v>4680115881129</v>
      </c>
      <c r="E403" s="131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9" t="s">
        <v>124</v>
      </c>
      <c r="L403" s="38">
        <v>50</v>
      </c>
      <c r="M403" s="356" t="s">
        <v>742</v>
      </c>
      <c r="N403" s="133"/>
      <c r="O403" s="133"/>
      <c r="P403" s="133"/>
      <c r="Q403" s="134"/>
      <c r="R403" s="40" t="s">
        <v>48</v>
      </c>
      <c r="S403" s="40" t="s">
        <v>48</v>
      </c>
      <c r="T403" s="41" t="s">
        <v>0</v>
      </c>
      <c r="U403" s="59">
        <v>0</v>
      </c>
      <c r="V403" s="56">
        <f>IFERROR(IF(U403="",0,CEILING((U403/$H403),1)*$H403),"")</f>
        <v>0</v>
      </c>
      <c r="W403" s="42" t="str">
        <f>IFERROR(IF(V403=0,"",ROUNDUP(V403/H403,0)*0.02175),"")</f>
        <v/>
      </c>
      <c r="X403" s="69" t="s">
        <v>48</v>
      </c>
      <c r="Y403" s="70" t="s">
        <v>48</v>
      </c>
    </row>
    <row r="404" spans="1:25" x14ac:dyDescent="0.2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9"/>
      <c r="M404" s="135" t="s">
        <v>43</v>
      </c>
      <c r="N404" s="136"/>
      <c r="O404" s="136"/>
      <c r="P404" s="136"/>
      <c r="Q404" s="136"/>
      <c r="R404" s="136"/>
      <c r="S404" s="137"/>
      <c r="T404" s="43" t="s">
        <v>42</v>
      </c>
      <c r="U404" s="44">
        <f>IFERROR(U402/H402,"0")+IFERROR(U403/H403,"0")</f>
        <v>0</v>
      </c>
      <c r="V404" s="44">
        <f>IFERROR(V402/H402,"0")+IFERROR(V403/H403,"0")</f>
        <v>0</v>
      </c>
      <c r="W404" s="44">
        <f>IFERROR(IF(W402="",0,W402),"0")+IFERROR(IF(W403="",0,W403),"0")</f>
        <v>0</v>
      </c>
      <c r="X404" s="68"/>
      <c r="Y404" s="68"/>
    </row>
    <row r="405" spans="1:25" x14ac:dyDescent="0.2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9"/>
      <c r="M405" s="135" t="s">
        <v>43</v>
      </c>
      <c r="N405" s="136"/>
      <c r="O405" s="136"/>
      <c r="P405" s="136"/>
      <c r="Q405" s="136"/>
      <c r="R405" s="136"/>
      <c r="S405" s="137"/>
      <c r="T405" s="43" t="s">
        <v>0</v>
      </c>
      <c r="U405" s="44">
        <f>IFERROR(SUM(U402:U403),"0")</f>
        <v>0</v>
      </c>
      <c r="V405" s="44">
        <f>IFERROR(SUM(V402:V403),"0")</f>
        <v>0</v>
      </c>
      <c r="W405" s="43"/>
      <c r="X405" s="68"/>
      <c r="Y405" s="68"/>
    </row>
    <row r="406" spans="1:25" ht="14.25" customHeight="1" x14ac:dyDescent="0.25">
      <c r="A406" s="130" t="s">
        <v>76</v>
      </c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67"/>
      <c r="Y406" s="67"/>
    </row>
    <row r="407" spans="1:25" ht="27" customHeight="1" x14ac:dyDescent="0.25">
      <c r="A407" s="64" t="s">
        <v>743</v>
      </c>
      <c r="B407" s="64" t="s">
        <v>744</v>
      </c>
      <c r="C407" s="37">
        <v>4301031192</v>
      </c>
      <c r="D407" s="131">
        <v>4680115881167</v>
      </c>
      <c r="E407" s="131"/>
      <c r="F407" s="63">
        <v>0.63</v>
      </c>
      <c r="G407" s="38">
        <v>6</v>
      </c>
      <c r="H407" s="63">
        <v>3.78</v>
      </c>
      <c r="I407" s="63">
        <v>4.04</v>
      </c>
      <c r="J407" s="38">
        <v>156</v>
      </c>
      <c r="K407" s="39" t="s">
        <v>80</v>
      </c>
      <c r="L407" s="38">
        <v>40</v>
      </c>
      <c r="M407" s="357" t="s">
        <v>745</v>
      </c>
      <c r="N407" s="133"/>
      <c r="O407" s="133"/>
      <c r="P407" s="133"/>
      <c r="Q407" s="134"/>
      <c r="R407" s="40" t="s">
        <v>48</v>
      </c>
      <c r="S407" s="40" t="s">
        <v>48</v>
      </c>
      <c r="T407" s="41" t="s">
        <v>0</v>
      </c>
      <c r="U407" s="59">
        <v>75</v>
      </c>
      <c r="V407" s="56">
        <f>IFERROR(IF(U407="",0,CEILING((U407/$H407),1)*$H407),"")</f>
        <v>75.599999999999994</v>
      </c>
      <c r="W407" s="42">
        <f>IFERROR(IF(V407=0,"",ROUNDUP(V407/H407,0)*0.00753),"")</f>
        <v>0.15060000000000001</v>
      </c>
      <c r="X407" s="69" t="s">
        <v>48</v>
      </c>
      <c r="Y407" s="70" t="s">
        <v>48</v>
      </c>
    </row>
    <row r="408" spans="1:25" ht="16.5" customHeight="1" x14ac:dyDescent="0.25">
      <c r="A408" s="64" t="s">
        <v>746</v>
      </c>
      <c r="B408" s="64" t="s">
        <v>747</v>
      </c>
      <c r="C408" s="37">
        <v>4301031193</v>
      </c>
      <c r="D408" s="131">
        <v>4680115881136</v>
      </c>
      <c r="E408" s="131"/>
      <c r="F408" s="63">
        <v>0.63</v>
      </c>
      <c r="G408" s="38">
        <v>6</v>
      </c>
      <c r="H408" s="63">
        <v>3.78</v>
      </c>
      <c r="I408" s="63">
        <v>4.04</v>
      </c>
      <c r="J408" s="38">
        <v>156</v>
      </c>
      <c r="K408" s="39" t="s">
        <v>80</v>
      </c>
      <c r="L408" s="38">
        <v>40</v>
      </c>
      <c r="M408" s="358" t="s">
        <v>748</v>
      </c>
      <c r="N408" s="133"/>
      <c r="O408" s="133"/>
      <c r="P408" s="133"/>
      <c r="Q408" s="134"/>
      <c r="R408" s="40" t="s">
        <v>48</v>
      </c>
      <c r="S408" s="40" t="s">
        <v>48</v>
      </c>
      <c r="T408" s="41" t="s">
        <v>0</v>
      </c>
      <c r="U408" s="59">
        <v>200</v>
      </c>
      <c r="V408" s="56">
        <f>IFERROR(IF(U408="",0,CEILING((U408/$H408),1)*$H408),"")</f>
        <v>200.34</v>
      </c>
      <c r="W408" s="42">
        <f>IFERROR(IF(V408=0,"",ROUNDUP(V408/H408,0)*0.00753),"")</f>
        <v>0.39909</v>
      </c>
      <c r="X408" s="69" t="s">
        <v>48</v>
      </c>
      <c r="Y408" s="70" t="s">
        <v>48</v>
      </c>
    </row>
    <row r="409" spans="1:25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9"/>
      <c r="M409" s="135" t="s">
        <v>43</v>
      </c>
      <c r="N409" s="136"/>
      <c r="O409" s="136"/>
      <c r="P409" s="136"/>
      <c r="Q409" s="136"/>
      <c r="R409" s="136"/>
      <c r="S409" s="137"/>
      <c r="T409" s="43" t="s">
        <v>42</v>
      </c>
      <c r="U409" s="44">
        <f>IFERROR(U407/H407,"0")+IFERROR(U408/H408,"0")</f>
        <v>72.75132275132276</v>
      </c>
      <c r="V409" s="44">
        <f>IFERROR(V407/H407,"0")+IFERROR(V408/H408,"0")</f>
        <v>73</v>
      </c>
      <c r="W409" s="44">
        <f>IFERROR(IF(W407="",0,W407),"0")+IFERROR(IF(W408="",0,W408),"0")</f>
        <v>0.54969000000000001</v>
      </c>
      <c r="X409" s="68"/>
      <c r="Y409" s="68"/>
    </row>
    <row r="410" spans="1:25" x14ac:dyDescent="0.2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9"/>
      <c r="M410" s="135" t="s">
        <v>43</v>
      </c>
      <c r="N410" s="136"/>
      <c r="O410" s="136"/>
      <c r="P410" s="136"/>
      <c r="Q410" s="136"/>
      <c r="R410" s="136"/>
      <c r="S410" s="137"/>
      <c r="T410" s="43" t="s">
        <v>0</v>
      </c>
      <c r="U410" s="44">
        <f>IFERROR(SUM(U407:U408),"0")</f>
        <v>275</v>
      </c>
      <c r="V410" s="44">
        <f>IFERROR(SUM(V407:V408),"0")</f>
        <v>275.94</v>
      </c>
      <c r="W410" s="43"/>
      <c r="X410" s="68"/>
      <c r="Y410" s="68"/>
    </row>
    <row r="411" spans="1:25" ht="14.25" customHeight="1" x14ac:dyDescent="0.25">
      <c r="A411" s="130" t="s">
        <v>81</v>
      </c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67"/>
      <c r="Y411" s="67"/>
    </row>
    <row r="412" spans="1:25" ht="27" customHeight="1" x14ac:dyDescent="0.25">
      <c r="A412" s="64" t="s">
        <v>749</v>
      </c>
      <c r="B412" s="64" t="s">
        <v>750</v>
      </c>
      <c r="C412" s="37">
        <v>4301051383</v>
      </c>
      <c r="D412" s="131">
        <v>4680115881143</v>
      </c>
      <c r="E412" s="131"/>
      <c r="F412" s="63">
        <v>1.3</v>
      </c>
      <c r="G412" s="38">
        <v>6</v>
      </c>
      <c r="H412" s="63">
        <v>7.8</v>
      </c>
      <c r="I412" s="63">
        <v>8.3640000000000008</v>
      </c>
      <c r="J412" s="38">
        <v>56</v>
      </c>
      <c r="K412" s="39" t="s">
        <v>80</v>
      </c>
      <c r="L412" s="38">
        <v>40</v>
      </c>
      <c r="M412" s="359" t="s">
        <v>751</v>
      </c>
      <c r="N412" s="133"/>
      <c r="O412" s="133"/>
      <c r="P412" s="133"/>
      <c r="Q412" s="134"/>
      <c r="R412" s="40" t="s">
        <v>48</v>
      </c>
      <c r="S412" s="40" t="s">
        <v>48</v>
      </c>
      <c r="T412" s="41" t="s">
        <v>0</v>
      </c>
      <c r="U412" s="59">
        <v>450</v>
      </c>
      <c r="V412" s="56">
        <f>IFERROR(IF(U412="",0,CEILING((U412/$H412),1)*$H412),"")</f>
        <v>452.4</v>
      </c>
      <c r="W412" s="42">
        <f>IFERROR(IF(V412=0,"",ROUNDUP(V412/H412,0)*0.02175),"")</f>
        <v>1.2614999999999998</v>
      </c>
      <c r="X412" s="69" t="s">
        <v>48</v>
      </c>
      <c r="Y412" s="70" t="s">
        <v>48</v>
      </c>
    </row>
    <row r="413" spans="1:25" ht="27" customHeight="1" x14ac:dyDescent="0.25">
      <c r="A413" s="64" t="s">
        <v>752</v>
      </c>
      <c r="B413" s="64" t="s">
        <v>753</v>
      </c>
      <c r="C413" s="37">
        <v>4301051381</v>
      </c>
      <c r="D413" s="131">
        <v>4680115881068</v>
      </c>
      <c r="E413" s="131"/>
      <c r="F413" s="63">
        <v>1.3</v>
      </c>
      <c r="G413" s="38">
        <v>6</v>
      </c>
      <c r="H413" s="63">
        <v>7.8</v>
      </c>
      <c r="I413" s="63">
        <v>8.2799999999999994</v>
      </c>
      <c r="J413" s="38">
        <v>56</v>
      </c>
      <c r="K413" s="39" t="s">
        <v>80</v>
      </c>
      <c r="L413" s="38">
        <v>30</v>
      </c>
      <c r="M413" s="360" t="s">
        <v>754</v>
      </c>
      <c r="N413" s="133"/>
      <c r="O413" s="133"/>
      <c r="P413" s="133"/>
      <c r="Q413" s="134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IFERROR(IF(V413=0,"",ROUNDUP(V413/H413,0)*0.02175),"")</f>
        <v/>
      </c>
      <c r="X413" s="69" t="s">
        <v>48</v>
      </c>
      <c r="Y413" s="70" t="s">
        <v>48</v>
      </c>
    </row>
    <row r="414" spans="1:25" ht="27" customHeight="1" x14ac:dyDescent="0.25">
      <c r="A414" s="64" t="s">
        <v>755</v>
      </c>
      <c r="B414" s="64" t="s">
        <v>756</v>
      </c>
      <c r="C414" s="37">
        <v>4301051382</v>
      </c>
      <c r="D414" s="131">
        <v>4680115881075</v>
      </c>
      <c r="E414" s="131"/>
      <c r="F414" s="63">
        <v>0.5</v>
      </c>
      <c r="G414" s="38">
        <v>6</v>
      </c>
      <c r="H414" s="63">
        <v>3</v>
      </c>
      <c r="I414" s="63">
        <v>3.2</v>
      </c>
      <c r="J414" s="38">
        <v>156</v>
      </c>
      <c r="K414" s="39" t="s">
        <v>80</v>
      </c>
      <c r="L414" s="38">
        <v>30</v>
      </c>
      <c r="M414" s="361" t="s">
        <v>757</v>
      </c>
      <c r="N414" s="133"/>
      <c r="O414" s="133"/>
      <c r="P414" s="133"/>
      <c r="Q414" s="13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</row>
    <row r="415" spans="1:25" x14ac:dyDescent="0.2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9"/>
      <c r="M415" s="135" t="s">
        <v>43</v>
      </c>
      <c r="N415" s="136"/>
      <c r="O415" s="136"/>
      <c r="P415" s="136"/>
      <c r="Q415" s="136"/>
      <c r="R415" s="136"/>
      <c r="S415" s="137"/>
      <c r="T415" s="43" t="s">
        <v>42</v>
      </c>
      <c r="U415" s="44">
        <f>IFERROR(U412/H412,"0")+IFERROR(U413/H413,"0")+IFERROR(U414/H414,"0")</f>
        <v>57.692307692307693</v>
      </c>
      <c r="V415" s="44">
        <f>IFERROR(V412/H412,"0")+IFERROR(V413/H413,"0")+IFERROR(V414/H414,"0")</f>
        <v>58</v>
      </c>
      <c r="W415" s="44">
        <f>IFERROR(IF(W412="",0,W412),"0")+IFERROR(IF(W413="",0,W413),"0")+IFERROR(IF(W414="",0,W414),"0")</f>
        <v>1.2614999999999998</v>
      </c>
      <c r="X415" s="68"/>
      <c r="Y415" s="68"/>
    </row>
    <row r="416" spans="1:25" x14ac:dyDescent="0.2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9"/>
      <c r="M416" s="135" t="s">
        <v>43</v>
      </c>
      <c r="N416" s="136"/>
      <c r="O416" s="136"/>
      <c r="P416" s="136"/>
      <c r="Q416" s="136"/>
      <c r="R416" s="136"/>
      <c r="S416" s="137"/>
      <c r="T416" s="43" t="s">
        <v>0</v>
      </c>
      <c r="U416" s="44">
        <f>IFERROR(SUM(U412:U414),"0")</f>
        <v>450</v>
      </c>
      <c r="V416" s="44">
        <f>IFERROR(SUM(V412:V414),"0")</f>
        <v>452.4</v>
      </c>
      <c r="W416" s="43"/>
      <c r="X416" s="68"/>
      <c r="Y416" s="68"/>
    </row>
    <row r="417" spans="1:28" ht="15" customHeight="1" x14ac:dyDescent="0.2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365"/>
      <c r="M417" s="362" t="s">
        <v>36</v>
      </c>
      <c r="N417" s="363"/>
      <c r="O417" s="363"/>
      <c r="P417" s="363"/>
      <c r="Q417" s="363"/>
      <c r="R417" s="363"/>
      <c r="S417" s="364"/>
      <c r="T417" s="43" t="s">
        <v>0</v>
      </c>
      <c r="U417" s="44">
        <f>IFERROR(U24+U33+U38+U42+U46+U52+U59+U77+U86+U98+U108+U115+U123+U131+U149+U153+U172+U199+U208+U214+U221+U232+U237+U243+U249+U253+U257+U261+U274+U279+U284+U288+U292+U300+U305+U312+U317+U324+U334+U341+U345+U351+U359+U374+U379+U388+U393+U400+U405+U410+U416,"0")</f>
        <v>18216</v>
      </c>
      <c r="V417" s="44">
        <f>IFERROR(V24+V33+V38+V42+V46+V52+V59+V77+V86+V98+V108+V115+V123+V131+V149+V153+V172+V199+V208+V214+V221+V232+V237+V243+V249+V253+V257+V261+V274+V279+V284+V288+V292+V300+V305+V312+V317+V324+V334+V341+V345+V351+V359+V374+V379+V388+V393+V400+V405+V410+V416,"0")</f>
        <v>18334.740000000002</v>
      </c>
      <c r="W417" s="43"/>
      <c r="X417" s="68"/>
      <c r="Y417" s="68"/>
    </row>
    <row r="418" spans="1:28" x14ac:dyDescent="0.2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365"/>
      <c r="M418" s="362" t="s">
        <v>37</v>
      </c>
      <c r="N418" s="363"/>
      <c r="O418" s="363"/>
      <c r="P418" s="363"/>
      <c r="Q418" s="363"/>
      <c r="R418" s="363"/>
      <c r="S418" s="364"/>
      <c r="T418" s="43" t="s">
        <v>0</v>
      </c>
      <c r="U418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151*I151/H151,"0")+IFERROR(U155*I155/H155,"0")+IFERROR(U156*I156/H156,"0")+IFERROR(U157*I157/H157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201*I201/H201,"0")+IFERROR(U202*I202/H202,"0")+IFERROR(U203*I203/H203,"0")+IFERROR(U204*I204/H204,"0")+IFERROR(U205*I205/H205,"0")+IFERROR(U206*I206/H206,"0")+IFERROR(U210*I210/H210,"0")+IFERROR(U211*I211/H211,"0")+IFERROR(U212*I212/H212,"0")+IFERROR(U216*I216/H216,"0")+IFERROR(U217*I217/H217,"0")+IFERROR(U218*I218/H218,"0")+IFERROR(U219*I219/H219,"0")+IFERROR(U224*I224/H224,"0")+IFERROR(U225*I225/H225,"0")+IFERROR(U226*I226/H226,"0")+IFERROR(U227*I227/H227,"0")+IFERROR(U228*I228/H228,"0")+IFERROR(U229*I229/H229,"0")+IFERROR(U230*I230/H230,"0")+IFERROR(U234*I234/H234,"0")+IFERROR(U235*I235/H235,"0")+IFERROR(U240*I240/H240,"0")+IFERROR(U241*I241/H241,"0")+IFERROR(U245*I245/H245,"0")+IFERROR(U246*I246/H246,"0")+IFERROR(U247*I247/H247,"0")+IFERROR(U251*I251/H251,"0")+IFERROR(U255*I255/H255,"0")+IFERROR(U259*I259/H259,"0")+IFERROR(U265*I265/H265,"0")+IFERROR(U266*I266/H266,"0")+IFERROR(U267*I267/H267,"0")+IFERROR(U268*I268/H268,"0")+IFERROR(U269*I269/H269,"0")+IFERROR(U270*I270/H270,"0")+IFERROR(U271*I271/H271,"0")+IFERROR(U272*I272/H272,"0")+IFERROR(U276*I276/H276,"0")+IFERROR(U277*I277/H277,"0")+IFERROR(U281*I281/H281,"0")+IFERROR(U282*I282/H282,"0")+IFERROR(U286*I286/H286,"0")+IFERROR(U290*I290/H290,"0")+IFERROR(U295*I295/H295,"0")+IFERROR(U296*I296/H296,"0")+IFERROR(U297*I297/H297,"0")+IFERROR(U298*I298/H298,"0")+IFERROR(U302*I302/H302,"0")+IFERROR(U303*I303/H303,"0")+IFERROR(U307*I307/H307,"0")+IFERROR(U308*I308/H308,"0")+IFERROR(U309*I309/H309,"0")+IFERROR(U310*I310/H310,"0")+IFERROR(U314*I314/H314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336*I336/H336,"0")+IFERROR(U337*I337/H337,"0")+IFERROR(U338*I338/H338,"0")+IFERROR(U339*I339/H339,"0")+IFERROR(U343*I343/H343,"0")+IFERROR(U348*I348/H348,"0")+IFERROR(U349*I349/H349,"0")+IFERROR(U353*I353/H353,"0")+IFERROR(U354*I354/H354,"0")+IFERROR(U355*I355/H355,"0")+IFERROR(U356*I356/H356,"0")+IFERROR(U357*I357/H357,"0")+IFERROR(U363*I363/H363,"0")+IFERROR(U364*I364/H364,"0")+IFERROR(U365*I365/H365,"0")+IFERROR(U366*I366/H366,"0")+IFERROR(U367*I367/H367,"0")+IFERROR(U368*I368/H368,"0")+IFERROR(U369*I369/H369,"0")+IFERROR(U370*I370/H370,"0")+IFERROR(U371*I371/H371,"0")+IFERROR(U372*I372/H372,"0")+IFERROR(U376*I376/H376,"0")+IFERROR(U377*I377/H377,"0")+IFERROR(U381*I381/H381,"0")+IFERROR(U382*I382/H382,"0")+IFERROR(U383*I383/H383,"0")+IFERROR(U384*I384/H384,"0")+IFERROR(U385*I385/H385,"0")+IFERROR(U386*I386/H386,"0")+IFERROR(U390*I390/H390,"0")+IFERROR(U391*I391/H391,"0")+IFERROR(U397*I397/H397,"0")+IFERROR(U398*I398/H398,"0")+IFERROR(U402*I402/H402,"0")+IFERROR(U403*I403/H403,"0")+IFERROR(U407*I407/H407,"0")+IFERROR(U408*I408/H408,"0")+IFERROR(U412*I412/H412,"0")+IFERROR(U413*I413/H413,"0")+IFERROR(U414*I414/H414,"0"),"0")</f>
        <v>19326.28338609538</v>
      </c>
      <c r="V418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151*I151/H151,"0")+IFERROR(V155*I155/H155,"0")+IFERROR(V156*I156/H156,"0")+IFERROR(V157*I157/H157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201*I201/H201,"0")+IFERROR(V202*I202/H202,"0")+IFERROR(V203*I203/H203,"0")+IFERROR(V204*I204/H204,"0")+IFERROR(V205*I205/H205,"0")+IFERROR(V206*I206/H206,"0")+IFERROR(V210*I210/H210,"0")+IFERROR(V211*I211/H211,"0")+IFERROR(V212*I212/H212,"0")+IFERROR(V216*I216/H216,"0")+IFERROR(V217*I217/H217,"0")+IFERROR(V218*I218/H218,"0")+IFERROR(V219*I219/H219,"0")+IFERROR(V224*I224/H224,"0")+IFERROR(V225*I225/H225,"0")+IFERROR(V226*I226/H226,"0")+IFERROR(V227*I227/H227,"0")+IFERROR(V228*I228/H228,"0")+IFERROR(V229*I229/H229,"0")+IFERROR(V230*I230/H230,"0")+IFERROR(V234*I234/H234,"0")+IFERROR(V235*I235/H235,"0")+IFERROR(V240*I240/H240,"0")+IFERROR(V241*I241/H241,"0")+IFERROR(V245*I245/H245,"0")+IFERROR(V246*I246/H246,"0")+IFERROR(V247*I247/H247,"0")+IFERROR(V251*I251/H251,"0")+IFERROR(V255*I255/H255,"0")+IFERROR(V259*I259/H259,"0")+IFERROR(V265*I265/H265,"0")+IFERROR(V266*I266/H266,"0")+IFERROR(V267*I267/H267,"0")+IFERROR(V268*I268/H268,"0")+IFERROR(V269*I269/H269,"0")+IFERROR(V270*I270/H270,"0")+IFERROR(V271*I271/H271,"0")+IFERROR(V272*I272/H272,"0")+IFERROR(V276*I276/H276,"0")+IFERROR(V277*I277/H277,"0")+IFERROR(V281*I281/H281,"0")+IFERROR(V282*I282/H282,"0")+IFERROR(V286*I286/H286,"0")+IFERROR(V290*I290/H290,"0")+IFERROR(V295*I295/H295,"0")+IFERROR(V296*I296/H296,"0")+IFERROR(V297*I297/H297,"0")+IFERROR(V298*I298/H298,"0")+IFERROR(V302*I302/H302,"0")+IFERROR(V303*I303/H303,"0")+IFERROR(V307*I307/H307,"0")+IFERROR(V308*I308/H308,"0")+IFERROR(V309*I309/H309,"0")+IFERROR(V310*I310/H310,"0")+IFERROR(V314*I314/H314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339*I339/H339,"0")+IFERROR(V343*I343/H343,"0")+IFERROR(V348*I348/H348,"0")+IFERROR(V349*I349/H349,"0")+IFERROR(V353*I353/H353,"0")+IFERROR(V354*I354/H354,"0")+IFERROR(V355*I355/H355,"0")+IFERROR(V356*I356/H356,"0")+IFERROR(V357*I357/H357,"0")+IFERROR(V363*I363/H363,"0")+IFERROR(V364*I364/H364,"0")+IFERROR(V365*I365/H365,"0")+IFERROR(V366*I366/H366,"0")+IFERROR(V367*I367/H367,"0")+IFERROR(V368*I368/H368,"0")+IFERROR(V369*I369/H369,"0")+IFERROR(V370*I370/H370,"0")+IFERROR(V371*I371/H371,"0")+IFERROR(V372*I372/H372,"0")+IFERROR(V376*I376/H376,"0")+IFERROR(V377*I377/H377,"0")+IFERROR(V381*I381/H381,"0")+IFERROR(V382*I382/H382,"0")+IFERROR(V383*I383/H383,"0")+IFERROR(V384*I384/H384,"0")+IFERROR(V385*I385/H385,"0")+IFERROR(V386*I386/H386,"0")+IFERROR(V390*I390/H390,"0")+IFERROR(V391*I391/H391,"0")+IFERROR(V397*I397/H397,"0")+IFERROR(V398*I398/H398,"0")+IFERROR(V402*I402/H402,"0")+IFERROR(V403*I403/H403,"0")+IFERROR(V407*I407/H407,"0")+IFERROR(V408*I408/H408,"0")+IFERROR(V412*I412/H412,"0")+IFERROR(V413*I413/H413,"0")+IFERROR(V414*I414/H414,"0"),"0")</f>
        <v>19452.129999999997</v>
      </c>
      <c r="W418" s="43"/>
      <c r="X418" s="68"/>
      <c r="Y418" s="68"/>
    </row>
    <row r="419" spans="1:28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365"/>
      <c r="M419" s="362" t="s">
        <v>38</v>
      </c>
      <c r="N419" s="363"/>
      <c r="O419" s="363"/>
      <c r="P419" s="363"/>
      <c r="Q419" s="363"/>
      <c r="R419" s="363"/>
      <c r="S419" s="364"/>
      <c r="T419" s="43" t="s">
        <v>23</v>
      </c>
      <c r="U419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75*(U62:U75/H62:H75)),"0")+IFERROR(SUMPRODUCT(1/J79:J84*(U79:U84/H79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147*(U134:U147/H134:H147)),"0")+IFERROR(SUMPRODUCT(1/J151:J151*(U151:U151/H151:H151)),"0")+IFERROR(SUMPRODUCT(1/J155:J170*(U155:U170/H155:H170)),"0")+IFERROR(SUMPRODUCT(1/J174:J197*(U174:U197/H174:H197)),"0")+IFERROR(SUMPRODUCT(1/J201:J206*(U201:U206/H201:H206)),"0")+IFERROR(SUMPRODUCT(1/J210:J212*(U210:U212/H210:H212)),"0")+IFERROR(SUMPRODUCT(1/J216:J219*(U216:U219/H216:H219)),"0")+IFERROR(SUMPRODUCT(1/J224:J230*(U224:U230/H224:H230)),"0")+IFERROR(SUMPRODUCT(1/J234:J235*(U234:U235/H234:H235)),"0")+IFERROR(SUMPRODUCT(1/J240:J241*(U240:U241/H240:H241)),"0")+IFERROR(SUMPRODUCT(1/J245:J247*(U245:U247/H245:H247)),"0")+IFERROR(SUMPRODUCT(1/J251:J251*(U251:U251/H251:H251)),"0")+IFERROR(SUMPRODUCT(1/J255:J255*(U255:U255/H255:H255)),"0")+IFERROR(SUMPRODUCT(1/J259:J259*(U259:U259/H259:H259)),"0")+IFERROR(SUMPRODUCT(1/J265:J272*(U265:U272/H265:H272)),"0")+IFERROR(SUMPRODUCT(1/J276:J277*(U276:U277/H276:H277)),"0")+IFERROR(SUMPRODUCT(1/J281:J282*(U281:U282/H281:H282)),"0")+IFERROR(SUMPRODUCT(1/J286:J286*(U286:U286/H286:H286)),"0")+IFERROR(SUMPRODUCT(1/J290:J290*(U290:U290/H290:H290)),"0")+IFERROR(SUMPRODUCT(1/J295:J298*(U295:U298/H295:H298)),"0")+IFERROR(SUMPRODUCT(1/J302:J303*(U302:U303/H302:H303)),"0")+IFERROR(SUMPRODUCT(1/J307:J310*(U307:U310/H307:H310)),"0")+IFERROR(SUMPRODUCT(1/J314:J315*(U314:U315/H314:H315)),"0")+IFERROR(SUMPRODUCT(1/J321:J322*(U321:U322/H321:H322)),"0")+IFERROR(SUMPRODUCT(1/J326:J332*(U326:U332/H326:H332)),"0")+IFERROR(SUMPRODUCT(1/J336:J339*(U336:U339/H336:H339)),"0")+IFERROR(SUMPRODUCT(1/J343:J343*(U343:U343/H343:H343)),"0")+IFERROR(SUMPRODUCT(1/J348:J349*(U348:U349/H348:H349)),"0")+IFERROR(SUMPRODUCT(1/J353:J357*(U353:U357/H353:H357)),"0")+IFERROR(SUMPRODUCT(1/J363:J372*(U363:U372/H363:H372)),"0")+IFERROR(SUMPRODUCT(1/J376:J377*(U376:U377/H376:H377)),"0")+IFERROR(SUMPRODUCT(1/J381:J386*(U381:U386/H381:H386)),"0")+IFERROR(SUMPRODUCT(1/J390:J391*(U390:U391/H390:H391)),"0")+IFERROR(SUMPRODUCT(1/J397:J398*(U397:U398/H397:H398)),"0")+IFERROR(SUMPRODUCT(1/J402:J403*(U402:U403/H402:H403)),"0")+IFERROR(SUMPRODUCT(1/J407:J408*(U407:U408/H407:H408)),"0")+IFERROR(SUMPRODUCT(1/J412:J414*(U412:U414/H412:H414)),"0"),0)</f>
        <v>35</v>
      </c>
      <c r="V419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75*(V62:V75/H62:H75)),"0")+IFERROR(SUMPRODUCT(1/J79:J84*(V79:V84/H79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147*(V134:V147/H134:H147)),"0")+IFERROR(SUMPRODUCT(1/J151:J151*(V151:V151/H151:H151)),"0")+IFERROR(SUMPRODUCT(1/J155:J170*(V155:V170/H155:H170)),"0")+IFERROR(SUMPRODUCT(1/J174:J197*(V174:V197/H174:H197)),"0")+IFERROR(SUMPRODUCT(1/J201:J206*(V201:V206/H201:H206)),"0")+IFERROR(SUMPRODUCT(1/J210:J212*(V210:V212/H210:H212)),"0")+IFERROR(SUMPRODUCT(1/J216:J219*(V216:V219/H216:H219)),"0")+IFERROR(SUMPRODUCT(1/J224:J230*(V224:V230/H224:H230)),"0")+IFERROR(SUMPRODUCT(1/J234:J235*(V234:V235/H234:H235)),"0")+IFERROR(SUMPRODUCT(1/J240:J241*(V240:V241/H240:H241)),"0")+IFERROR(SUMPRODUCT(1/J245:J247*(V245:V247/H245:H247)),"0")+IFERROR(SUMPRODUCT(1/J251:J251*(V251:V251/H251:H251)),"0")+IFERROR(SUMPRODUCT(1/J255:J255*(V255:V255/H255:H255)),"0")+IFERROR(SUMPRODUCT(1/J259:J259*(V259:V259/H259:H259)),"0")+IFERROR(SUMPRODUCT(1/J265:J272*(V265:V272/H265:H272)),"0")+IFERROR(SUMPRODUCT(1/J276:J277*(V276:V277/H276:H277)),"0")+IFERROR(SUMPRODUCT(1/J281:J282*(V281:V282/H281:H282)),"0")+IFERROR(SUMPRODUCT(1/J286:J286*(V286:V286/H286:H286)),"0")+IFERROR(SUMPRODUCT(1/J290:J290*(V290:V290/H290:H290)),"0")+IFERROR(SUMPRODUCT(1/J295:J298*(V295:V298/H295:H298)),"0")+IFERROR(SUMPRODUCT(1/J302:J303*(V302:V303/H302:H303)),"0")+IFERROR(SUMPRODUCT(1/J307:J310*(V307:V310/H307:H310)),"0")+IFERROR(SUMPRODUCT(1/J314:J315*(V314:V315/H314:H315)),"0")+IFERROR(SUMPRODUCT(1/J321:J322*(V321:V322/H321:H322)),"0")+IFERROR(SUMPRODUCT(1/J326:J332*(V326:V332/H326:H332)),"0")+IFERROR(SUMPRODUCT(1/J336:J339*(V336:V339/H336:H339)),"0")+IFERROR(SUMPRODUCT(1/J343:J343*(V343:V343/H343:H343)),"0")+IFERROR(SUMPRODUCT(1/J348:J349*(V348:V349/H348:H349)),"0")+IFERROR(SUMPRODUCT(1/J353:J357*(V353:V357/H353:H357)),"0")+IFERROR(SUMPRODUCT(1/J363:J372*(V363:V372/H363:H372)),"0")+IFERROR(SUMPRODUCT(1/J376:J377*(V376:V377/H376:H377)),"0")+IFERROR(SUMPRODUCT(1/J381:J386*(V381:V386/H381:H386)),"0")+IFERROR(SUMPRODUCT(1/J390:J391*(V390:V391/H390:H391)),"0")+IFERROR(SUMPRODUCT(1/J397:J398*(V397:V398/H397:H398)),"0")+IFERROR(SUMPRODUCT(1/J402:J403*(V402:V403/H402:H403)),"0")+IFERROR(SUMPRODUCT(1/J407:J408*(V407:V408/H407:H408)),"0")+IFERROR(SUMPRODUCT(1/J412:J414*(V412:V414/H412:H414)),"0"),0)</f>
        <v>35</v>
      </c>
      <c r="W419" s="43"/>
      <c r="X419" s="68"/>
      <c r="Y419" s="68"/>
    </row>
    <row r="420" spans="1:28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365"/>
      <c r="M420" s="362" t="s">
        <v>39</v>
      </c>
      <c r="N420" s="363"/>
      <c r="O420" s="363"/>
      <c r="P420" s="363"/>
      <c r="Q420" s="363"/>
      <c r="R420" s="363"/>
      <c r="S420" s="364"/>
      <c r="T420" s="43" t="s">
        <v>0</v>
      </c>
      <c r="U420" s="44">
        <f>GrossWeightTotal+PalletQtyTotal*25</f>
        <v>20201.28338609538</v>
      </c>
      <c r="V420" s="44">
        <f>GrossWeightTotalR+PalletQtyTotalR*25</f>
        <v>20327.129999999997</v>
      </c>
      <c r="W420" s="43"/>
      <c r="X420" s="68"/>
      <c r="Y420" s="68"/>
    </row>
    <row r="421" spans="1:28" x14ac:dyDescent="0.2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365"/>
      <c r="M421" s="362" t="s">
        <v>40</v>
      </c>
      <c r="N421" s="363"/>
      <c r="O421" s="363"/>
      <c r="P421" s="363"/>
      <c r="Q421" s="363"/>
      <c r="R421" s="363"/>
      <c r="S421" s="364"/>
      <c r="T421" s="43" t="s">
        <v>23</v>
      </c>
      <c r="U421" s="44">
        <f>IFERROR(U23+U32+U37+U41+U45+U51+U58+U76+U85+U97+U107+U114+U122+U130+U148+U152+U171+U198+U207+U213+U220+U231+U236+U242+U248+U252+U256+U260+U273+U278+U283+U287+U291+U299+U304+U311+U316+U323+U333+U340+U344+U350+U358+U373+U378+U387+U392+U399+U404+U409+U415,"0")</f>
        <v>2934.5839931673268</v>
      </c>
      <c r="V421" s="44">
        <f>IFERROR(V23+V32+V37+V41+V45+V51+V58+V76+V85+V97+V107+V114+V122+V130+V148+V152+V171+V198+V207+V213+V220+V231+V236+V242+V248+V252+V256+V260+V273+V278+V283+V287+V291+V299+V304+V311+V316+V323+V333+V340+V344+V350+V358+V373+V378+V387+V392+V399+V404+V409+V415,"0")</f>
        <v>2951</v>
      </c>
      <c r="W421" s="43"/>
      <c r="X421" s="68"/>
      <c r="Y421" s="68"/>
    </row>
    <row r="422" spans="1:28" ht="14.25" x14ac:dyDescent="0.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365"/>
      <c r="M422" s="362" t="s">
        <v>41</v>
      </c>
      <c r="N422" s="363"/>
      <c r="O422" s="363"/>
      <c r="P422" s="363"/>
      <c r="Q422" s="363"/>
      <c r="R422" s="363"/>
      <c r="S422" s="364"/>
      <c r="T422" s="46" t="s">
        <v>54</v>
      </c>
      <c r="U422" s="43"/>
      <c r="V422" s="43"/>
      <c r="W422" s="43">
        <f>IFERROR(W23+W32+W37+W41+W45+W51+W58+W76+W85+W97+W107+W114+W122+W130+W148+W152+W171+W198+W207+W213+W220+W231+W236+W242+W248+W252+W256+W260+W273+W278+W283+W287+W291+W299+W304+W311+W316+W323+W333+W340+W344+W350+W358+W373+W378+W387+W392+W399+W404+W409+W415,"0")</f>
        <v>40.089150000000004</v>
      </c>
      <c r="X422" s="68"/>
      <c r="Y422" s="68"/>
    </row>
    <row r="423" spans="1:28" ht="13.5" thickBot="1" x14ac:dyDescent="0.25"/>
    <row r="424" spans="1:28" ht="27" thickTop="1" thickBot="1" x14ac:dyDescent="0.25">
      <c r="A424" s="47" t="s">
        <v>9</v>
      </c>
      <c r="B424" s="71" t="s">
        <v>75</v>
      </c>
      <c r="C424" s="366" t="s">
        <v>118</v>
      </c>
      <c r="D424" s="366" t="s">
        <v>118</v>
      </c>
      <c r="E424" s="366" t="s">
        <v>118</v>
      </c>
      <c r="F424" s="366" t="s">
        <v>118</v>
      </c>
      <c r="G424" s="366" t="s">
        <v>272</v>
      </c>
      <c r="H424" s="366" t="s">
        <v>272</v>
      </c>
      <c r="I424" s="366" t="s">
        <v>272</v>
      </c>
      <c r="J424" s="366" t="s">
        <v>272</v>
      </c>
      <c r="K424" s="366" t="s">
        <v>533</v>
      </c>
      <c r="L424" s="366" t="s">
        <v>533</v>
      </c>
      <c r="M424" s="366" t="s">
        <v>606</v>
      </c>
      <c r="N424" s="366" t="s">
        <v>606</v>
      </c>
      <c r="O424" s="71" t="s">
        <v>671</v>
      </c>
      <c r="P424" s="71" t="s">
        <v>729</v>
      </c>
      <c r="Q424" s="1"/>
      <c r="R424" s="1"/>
      <c r="S424" s="1"/>
      <c r="T424" s="1"/>
      <c r="Y424" s="61"/>
      <c r="AB424" s="1"/>
    </row>
    <row r="425" spans="1:28" ht="14.25" customHeight="1" thickTop="1" x14ac:dyDescent="0.2">
      <c r="A425" s="367" t="s">
        <v>10</v>
      </c>
      <c r="B425" s="366" t="s">
        <v>75</v>
      </c>
      <c r="C425" s="366" t="s">
        <v>119</v>
      </c>
      <c r="D425" s="366" t="s">
        <v>125</v>
      </c>
      <c r="E425" s="366" t="s">
        <v>118</v>
      </c>
      <c r="F425" s="366" t="s">
        <v>259</v>
      </c>
      <c r="G425" s="366" t="s">
        <v>273</v>
      </c>
      <c r="H425" s="366" t="s">
        <v>283</v>
      </c>
      <c r="I425" s="366" t="s">
        <v>484</v>
      </c>
      <c r="J425" s="366" t="s">
        <v>508</v>
      </c>
      <c r="K425" s="366" t="s">
        <v>534</v>
      </c>
      <c r="L425" s="366" t="s">
        <v>571</v>
      </c>
      <c r="M425" s="366" t="s">
        <v>607</v>
      </c>
      <c r="N425" s="366" t="s">
        <v>649</v>
      </c>
      <c r="O425" s="366" t="s">
        <v>671</v>
      </c>
      <c r="P425" s="366" t="s">
        <v>730</v>
      </c>
      <c r="Q425" s="1"/>
      <c r="R425" s="1"/>
      <c r="S425" s="1"/>
      <c r="T425" s="1"/>
      <c r="Y425" s="61"/>
      <c r="AB425" s="1"/>
    </row>
    <row r="426" spans="1:28" ht="13.5" thickBot="1" x14ac:dyDescent="0.25">
      <c r="A426" s="368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66"/>
      <c r="N426" s="366"/>
      <c r="O426" s="366"/>
      <c r="P426" s="366"/>
      <c r="Q426" s="1"/>
      <c r="R426" s="1"/>
      <c r="S426" s="1"/>
      <c r="T426" s="1"/>
      <c r="Y426" s="61"/>
      <c r="AB426" s="1"/>
    </row>
    <row r="427" spans="1:28" ht="18" thickTop="1" thickBot="1" x14ac:dyDescent="0.25">
      <c r="A427" s="47" t="s">
        <v>13</v>
      </c>
      <c r="B427" s="53">
        <f>IFERROR(V22*1,"0")+IFERROR(V26*1,"0")+IFERROR(V27*1,"0")+IFERROR(V28*1,"0")+IFERROR(V29*1,"0")+IFERROR(V30*1,"0")+IFERROR(V31*1,"0")+IFERROR(V35*1,"0")+IFERROR(V36*1,"0")+IFERROR(V40*1,"0")+IFERROR(V44*1,"0")</f>
        <v>0</v>
      </c>
      <c r="C427" s="53">
        <f>IFERROR(V50*1,"0")</f>
        <v>734.40000000000009</v>
      </c>
      <c r="D427" s="53">
        <f>IFERROR(V55*1,"0")+IFERROR(V56*1,"0")+IFERROR(V57*1,"0")</f>
        <v>1445.4</v>
      </c>
      <c r="E427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1944.2</v>
      </c>
      <c r="F427" s="53">
        <f>IFERROR(V118*1,"0")+IFERROR(V119*1,"0")+IFERROR(V120*1,"0")+IFERROR(V121*1,"0")</f>
        <v>351</v>
      </c>
      <c r="G427" s="53">
        <f>IFERROR(V127*1,"0")+IFERROR(V128*1,"0")+IFERROR(V129*1,"0")</f>
        <v>0</v>
      </c>
      <c r="H427" s="53">
        <f>IFERROR(V134*1,"0")+IFERROR(V135*1,"0")+IFERROR(V136*1,"0")+IFERROR(V137*1,"0")+IFERROR(V138*1,"0")+IFERROR(V139*1,"0")+IFERROR(V140*1,"0")+IFERROR(V141*1,"0")+IFERROR(V142*1,"0")+IFERROR(V143*1,"0")+IFERROR(V144*1,"0")+IFERROR(V145*1,"0")+IFERROR(V146*1,"0")+IFERROR(V147*1,"0")+IFERROR(V151*1,"0")+IFERROR(V155*1,"0")+IFERROR(V156*1,"0")+IFERROR(V157*1,"0")+IFERROR(V158*1,"0")+IFERROR(V159*1,"0")+IFERROR(V160*1,"0")+IFERROR(V161*1,"0")+IFERROR(V162*1,"0")+IFERROR(V163*1,"0")+IFERROR(V164*1,"0")+IFERROR(V165*1,"0")+IFERROR(V166*1,"0")+IFERROR(V167*1,"0")+IFERROR(V168*1,"0")+IFERROR(V169*1,"0")+IFERROR(V170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201*1,"0")+IFERROR(V202*1,"0")+IFERROR(V203*1,"0")+IFERROR(V204*1,"0")+IFERROR(V205*1,"0")+IFERROR(V206*1,"0")+IFERROR(V210*1,"0")+IFERROR(V211*1,"0")+IFERROR(V212*1,"0")+IFERROR(V216*1,"0")+IFERROR(V217*1,"0")+IFERROR(V218*1,"0")+IFERROR(V219*1,"0")</f>
        <v>5053.5</v>
      </c>
      <c r="I427" s="53">
        <f>IFERROR(V224*1,"0")+IFERROR(V225*1,"0")+IFERROR(V226*1,"0")+IFERROR(V227*1,"0")+IFERROR(V228*1,"0")+IFERROR(V229*1,"0")+IFERROR(V230*1,"0")+IFERROR(V234*1,"0")+IFERROR(V235*1,"0")</f>
        <v>726.40000000000009</v>
      </c>
      <c r="J427" s="53">
        <f>IFERROR(V240*1,"0")+IFERROR(V241*1,"0")+IFERROR(V245*1,"0")+IFERROR(V246*1,"0")+IFERROR(V247*1,"0")+IFERROR(V251*1,"0")+IFERROR(V255*1,"0")+IFERROR(V259*1,"0")</f>
        <v>1258.08</v>
      </c>
      <c r="K427" s="53">
        <f>IFERROR(V265*1,"0")+IFERROR(V266*1,"0")+IFERROR(V267*1,"0")+IFERROR(V268*1,"0")+IFERROR(V269*1,"0")+IFERROR(V270*1,"0")+IFERROR(V271*1,"0")+IFERROR(V272*1,"0")+IFERROR(V276*1,"0")+IFERROR(V277*1,"0")+IFERROR(V281*1,"0")+IFERROR(V282*1,"0")+IFERROR(V286*1,"0")+IFERROR(V290*1,"0")</f>
        <v>3249.6</v>
      </c>
      <c r="L427" s="53">
        <f>IFERROR(V295*1,"0")+IFERROR(V296*1,"0")+IFERROR(V297*1,"0")+IFERROR(V298*1,"0")+IFERROR(V302*1,"0")+IFERROR(V303*1,"0")+IFERROR(V307*1,"0")+IFERROR(V308*1,"0")+IFERROR(V309*1,"0")+IFERROR(V310*1,"0")+IFERROR(V314*1,"0")+IFERROR(V315*1,"0")</f>
        <v>39</v>
      </c>
      <c r="M427" s="53">
        <f>IFERROR(V321*1,"0")+IFERROR(V322*1,"0")+IFERROR(V326*1,"0")+IFERROR(V327*1,"0")+IFERROR(V328*1,"0")+IFERROR(V329*1,"0")+IFERROR(V330*1,"0")+IFERROR(V331*1,"0")+IFERROR(V332*1,"0")+IFERROR(V336*1,"0")+IFERROR(V337*1,"0")+IFERROR(V338*1,"0")+IFERROR(V339*1,"0")+IFERROR(V343*1,"0")</f>
        <v>300.3</v>
      </c>
      <c r="N427" s="53">
        <f>IFERROR(V348*1,"0")+IFERROR(V349*1,"0")+IFERROR(V353*1,"0")+IFERROR(V354*1,"0")+IFERROR(V355*1,"0")+IFERROR(V356*1,"0")+IFERROR(V357*1,"0")</f>
        <v>21</v>
      </c>
      <c r="O427" s="53">
        <f>IFERROR(V363*1,"0")+IFERROR(V364*1,"0")+IFERROR(V365*1,"0")+IFERROR(V366*1,"0")+IFERROR(V367*1,"0")+IFERROR(V368*1,"0")+IFERROR(V369*1,"0")+IFERROR(V370*1,"0")+IFERROR(V371*1,"0")+IFERROR(V372*1,"0")+IFERROR(V376*1,"0")+IFERROR(V377*1,"0")+IFERROR(V381*1,"0")+IFERROR(V382*1,"0")+IFERROR(V383*1,"0")+IFERROR(V384*1,"0")+IFERROR(V385*1,"0")+IFERROR(V386*1,"0")+IFERROR(V390*1,"0")+IFERROR(V391*1,"0")</f>
        <v>2183.52</v>
      </c>
      <c r="P427" s="53">
        <f>IFERROR(V397*1,"0")+IFERROR(V398*1,"0")+IFERROR(V402*1,"0")+IFERROR(V403*1,"0")+IFERROR(V407*1,"0")+IFERROR(V408*1,"0")+IFERROR(V412*1,"0")+IFERROR(V413*1,"0")+IFERROR(V414*1,"0")</f>
        <v>1028.3400000000001</v>
      </c>
      <c r="Q427" s="1"/>
      <c r="R427" s="1"/>
      <c r="S427" s="1"/>
      <c r="T427" s="1"/>
      <c r="Y427" s="61"/>
      <c r="AB427" s="1"/>
    </row>
  </sheetData>
  <sheetProtection algorithmName="SHA-512" hashValue="2hba4Z/ShGpCzoJgjpuxqstyU8pkJrM2lVqkghn8i8taIk+pUfHBBmQdE71saHHO93vitnyjEmFh8kLYkDjZ/w==" saltValue="Vy5N57S+VQDPi0IlYnlDB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1">
    <mergeCell ref="J425:J426"/>
    <mergeCell ref="K425:K426"/>
    <mergeCell ref="L425:L426"/>
    <mergeCell ref="M425:M426"/>
    <mergeCell ref="N425:N426"/>
    <mergeCell ref="O425:O426"/>
    <mergeCell ref="P425:P426"/>
    <mergeCell ref="A425:A426"/>
    <mergeCell ref="B425:B426"/>
    <mergeCell ref="C425:C426"/>
    <mergeCell ref="D425:D426"/>
    <mergeCell ref="E425:E426"/>
    <mergeCell ref="F425:F426"/>
    <mergeCell ref="G425:G426"/>
    <mergeCell ref="H425:H426"/>
    <mergeCell ref="I425:I426"/>
    <mergeCell ref="M417:S417"/>
    <mergeCell ref="A417:L422"/>
    <mergeCell ref="M418:S418"/>
    <mergeCell ref="M419:S419"/>
    <mergeCell ref="M420:S420"/>
    <mergeCell ref="M421:S421"/>
    <mergeCell ref="M422:S422"/>
    <mergeCell ref="C424:F424"/>
    <mergeCell ref="G424:J424"/>
    <mergeCell ref="K424:L424"/>
    <mergeCell ref="M424:N424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06:W406"/>
    <mergeCell ref="D407:E407"/>
    <mergeCell ref="M407:Q407"/>
    <mergeCell ref="D408:E408"/>
    <mergeCell ref="M408:Q408"/>
    <mergeCell ref="M409:S409"/>
    <mergeCell ref="A409:L410"/>
    <mergeCell ref="M410:S410"/>
    <mergeCell ref="A411:W411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M392:S392"/>
    <mergeCell ref="A392:L393"/>
    <mergeCell ref="M393:S393"/>
    <mergeCell ref="A394:W394"/>
    <mergeCell ref="A395:W395"/>
    <mergeCell ref="A396:W396"/>
    <mergeCell ref="D397:E397"/>
    <mergeCell ref="M397:Q397"/>
    <mergeCell ref="D398:E398"/>
    <mergeCell ref="M398:Q398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57:E357"/>
    <mergeCell ref="M357:Q357"/>
    <mergeCell ref="M358:S358"/>
    <mergeCell ref="A358:L359"/>
    <mergeCell ref="M359:S359"/>
    <mergeCell ref="A360:W360"/>
    <mergeCell ref="A361:W361"/>
    <mergeCell ref="A362:W362"/>
    <mergeCell ref="D363:E363"/>
    <mergeCell ref="M363:Q363"/>
    <mergeCell ref="A352:W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A346:W346"/>
    <mergeCell ref="A347:W347"/>
    <mergeCell ref="D348:E348"/>
    <mergeCell ref="M348:Q348"/>
    <mergeCell ref="D349:E349"/>
    <mergeCell ref="M349:Q349"/>
    <mergeCell ref="M350:S350"/>
    <mergeCell ref="A350:L351"/>
    <mergeCell ref="M351:S351"/>
    <mergeCell ref="M340:S340"/>
    <mergeCell ref="A340:L341"/>
    <mergeCell ref="M341:S341"/>
    <mergeCell ref="A342:W342"/>
    <mergeCell ref="D343:E343"/>
    <mergeCell ref="M343:Q343"/>
    <mergeCell ref="M344:S344"/>
    <mergeCell ref="A344:L345"/>
    <mergeCell ref="M345:S345"/>
    <mergeCell ref="A335:W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M311:S311"/>
    <mergeCell ref="A311:L312"/>
    <mergeCell ref="M312:S312"/>
    <mergeCell ref="A313:W313"/>
    <mergeCell ref="D314:E314"/>
    <mergeCell ref="M314:Q314"/>
    <mergeCell ref="D315:E315"/>
    <mergeCell ref="M315:Q315"/>
    <mergeCell ref="M316:S316"/>
    <mergeCell ref="A316:L317"/>
    <mergeCell ref="M317:S317"/>
    <mergeCell ref="A306:W306"/>
    <mergeCell ref="D307:E307"/>
    <mergeCell ref="M307:Q307"/>
    <mergeCell ref="D308:E308"/>
    <mergeCell ref="M308:Q308"/>
    <mergeCell ref="D309:E309"/>
    <mergeCell ref="M309:Q309"/>
    <mergeCell ref="D310:E310"/>
    <mergeCell ref="M310:Q310"/>
    <mergeCell ref="M299:S299"/>
    <mergeCell ref="A299:L300"/>
    <mergeCell ref="M300:S300"/>
    <mergeCell ref="A301:W301"/>
    <mergeCell ref="D302:E302"/>
    <mergeCell ref="M302:Q302"/>
    <mergeCell ref="D303:E303"/>
    <mergeCell ref="M303:Q303"/>
    <mergeCell ref="M304:S304"/>
    <mergeCell ref="A304:L305"/>
    <mergeCell ref="M305:S305"/>
    <mergeCell ref="A293:W293"/>
    <mergeCell ref="A294:W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80:W280"/>
    <mergeCell ref="D281:E281"/>
    <mergeCell ref="M281:Q281"/>
    <mergeCell ref="D282:E282"/>
    <mergeCell ref="M282:Q282"/>
    <mergeCell ref="M283:S283"/>
    <mergeCell ref="A283:L284"/>
    <mergeCell ref="M284:S284"/>
    <mergeCell ref="A285:W285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A262:W262"/>
    <mergeCell ref="A263:W263"/>
    <mergeCell ref="A264:W264"/>
    <mergeCell ref="D265:E265"/>
    <mergeCell ref="M265:Q265"/>
    <mergeCell ref="D266:E266"/>
    <mergeCell ref="M266:Q266"/>
    <mergeCell ref="D267:E267"/>
    <mergeCell ref="M267:Q267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50:W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D245:E245"/>
    <mergeCell ref="M245:Q245"/>
    <mergeCell ref="D246:E246"/>
    <mergeCell ref="M246:Q246"/>
    <mergeCell ref="D247:E247"/>
    <mergeCell ref="M247:Q247"/>
    <mergeCell ref="M248:S248"/>
    <mergeCell ref="A248:L249"/>
    <mergeCell ref="M249:S249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33:W233"/>
    <mergeCell ref="D234:E234"/>
    <mergeCell ref="M234:Q234"/>
    <mergeCell ref="D235:E235"/>
    <mergeCell ref="M235:Q235"/>
    <mergeCell ref="M236:S236"/>
    <mergeCell ref="A236:L237"/>
    <mergeCell ref="M237:S237"/>
    <mergeCell ref="A238:W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22:W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17:E217"/>
    <mergeCell ref="M217:Q217"/>
    <mergeCell ref="D218:E218"/>
    <mergeCell ref="M218:Q218"/>
    <mergeCell ref="D219:E219"/>
    <mergeCell ref="M219:Q219"/>
    <mergeCell ref="M220:S220"/>
    <mergeCell ref="A220:L221"/>
    <mergeCell ref="M221:S221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05:E205"/>
    <mergeCell ref="M205:Q205"/>
    <mergeCell ref="D206:E206"/>
    <mergeCell ref="M206:Q206"/>
    <mergeCell ref="M207:S207"/>
    <mergeCell ref="A207:L208"/>
    <mergeCell ref="M208:S208"/>
    <mergeCell ref="A209:W209"/>
    <mergeCell ref="D210:E210"/>
    <mergeCell ref="M210:Q210"/>
    <mergeCell ref="A200:W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195:E195"/>
    <mergeCell ref="M195:Q195"/>
    <mergeCell ref="D196:E196"/>
    <mergeCell ref="M196:Q196"/>
    <mergeCell ref="D197:E197"/>
    <mergeCell ref="M197:Q197"/>
    <mergeCell ref="M198:S198"/>
    <mergeCell ref="A198:L199"/>
    <mergeCell ref="M199:S19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69:E169"/>
    <mergeCell ref="M169:Q169"/>
    <mergeCell ref="D170:E170"/>
    <mergeCell ref="M170:Q170"/>
    <mergeCell ref="M171:S171"/>
    <mergeCell ref="A171:L172"/>
    <mergeCell ref="M172:S172"/>
    <mergeCell ref="A173:W173"/>
    <mergeCell ref="D174:E174"/>
    <mergeCell ref="M174:Q174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54:W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M148:S148"/>
    <mergeCell ref="A148:L149"/>
    <mergeCell ref="M149:S149"/>
    <mergeCell ref="A150:W150"/>
    <mergeCell ref="D151:E151"/>
    <mergeCell ref="M151:Q151"/>
    <mergeCell ref="M152:S152"/>
    <mergeCell ref="A152:L153"/>
    <mergeCell ref="M153:S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M76:S76"/>
    <mergeCell ref="A76:L77"/>
    <mergeCell ref="M77:S77"/>
    <mergeCell ref="A78:W78"/>
    <mergeCell ref="D79:E79"/>
    <mergeCell ref="M79:Q79"/>
    <mergeCell ref="D80:E80"/>
    <mergeCell ref="M80:Q80"/>
    <mergeCell ref="D81:E81"/>
    <mergeCell ref="M81:Q81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A53:W53"/>
    <mergeCell ref="A54:W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M45:S45"/>
    <mergeCell ref="A45:L46"/>
    <mergeCell ref="M46:S46"/>
    <mergeCell ref="A47:W47"/>
    <mergeCell ref="A48:W48"/>
    <mergeCell ref="A49:W49"/>
    <mergeCell ref="D50:E50"/>
    <mergeCell ref="M50:Q50"/>
    <mergeCell ref="M51:S51"/>
    <mergeCell ref="A51:L52"/>
    <mergeCell ref="M52:S52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9"/>
    </row>
    <row r="3" spans="2:8" x14ac:dyDescent="0.2">
      <c r="B3" s="54" t="s">
        <v>759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</v>
      </c>
      <c r="C6" s="54" t="s">
        <v>761</v>
      </c>
      <c r="D6" s="54" t="s">
        <v>762</v>
      </c>
      <c r="E6" s="54" t="s">
        <v>48</v>
      </c>
    </row>
    <row r="8" spans="2:8" x14ac:dyDescent="0.2">
      <c r="B8" s="54" t="s">
        <v>74</v>
      </c>
      <c r="C8" s="54" t="s">
        <v>761</v>
      </c>
      <c r="D8" s="54" t="s">
        <v>48</v>
      </c>
      <c r="E8" s="54" t="s">
        <v>48</v>
      </c>
    </row>
    <row r="10" spans="2:8" x14ac:dyDescent="0.2">
      <c r="B10" s="54" t="s">
        <v>763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764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765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766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767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768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770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771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772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773</v>
      </c>
      <c r="C20" s="54" t="s">
        <v>48</v>
      </c>
      <c r="D20" s="54" t="s">
        <v>48</v>
      </c>
      <c r="E20" s="54" t="s">
        <v>48</v>
      </c>
    </row>
  </sheetData>
  <sheetProtection algorithmName="SHA-512" hashValue="Ueh3s/TXDF0sIMtMzOlljfiYWK/uVR2vD01QRHqyJBPbP3hGbjIxNYYofY3wkZ62jOYuBcgbHlxe+V6l3e5mfg==" saltValue="pyyR/MnW9LAZ7ETC3G3U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934</vt:i4>
      </vt:variant>
    </vt:vector>
  </HeadingPairs>
  <TitlesOfParts>
    <vt:vector size="9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2023-07-07T07:36:42Z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