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заказа'!$U$416:$U$416</definedName>
    <definedName name="GrossWeightTotalR">'Бланк заказа'!$V$416:$V$416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заказа'!$U$417:$U$417</definedName>
    <definedName name="PalletQtyTotalR">'Бланк заказа'!$V$417:$V$417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заказа'!$B$200:$B$200</definedName>
    <definedName name="ProductId118">'Бланк заказа'!$B$201:$B$201</definedName>
    <definedName name="ProductId119">'Бланк заказа'!$B$202:$B$202</definedName>
    <definedName name="ProductId12">'Бланк заказа'!$B$50:$B$50</definedName>
    <definedName name="ProductId120">'Бланк заказа'!$B$203:$B$203</definedName>
    <definedName name="ProductId121">'Бланк заказа'!$B$204:$B$204</definedName>
    <definedName name="ProductId122">'Бланк заказа'!$B$205:$B$205</definedName>
    <definedName name="ProductId123">'Бланк заказа'!$B$209:$B$209</definedName>
    <definedName name="ProductId124">'Бланк заказа'!$B$210:$B$210</definedName>
    <definedName name="ProductId125">'Бланк заказа'!$B$211:$B$211</definedName>
    <definedName name="ProductId126">'Бланк заказа'!$B$215:$B$215</definedName>
    <definedName name="ProductId127">'Бланк заказа'!$B$216:$B$216</definedName>
    <definedName name="ProductId128">'Бланк заказа'!$B$217:$B$217</definedName>
    <definedName name="ProductId129">'Бланк заказа'!$B$218:$B$218</definedName>
    <definedName name="ProductId13">'Бланк заказа'!$B$55:$B$55</definedName>
    <definedName name="ProductId130">'Бланк заказа'!$B$223:$B$223</definedName>
    <definedName name="ProductId131">'Бланк заказа'!$B$224:$B$224</definedName>
    <definedName name="ProductId132">'Бланк заказа'!$B$225:$B$225</definedName>
    <definedName name="ProductId133">'Бланк заказа'!$B$226:$B$226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заказа'!$B$233:$B$233</definedName>
    <definedName name="ProductId138">'Бланк заказа'!$B$234:$B$234</definedName>
    <definedName name="ProductId139">'Бланк заказа'!$B$239:$B$239</definedName>
    <definedName name="ProductId14">'Бланк заказа'!$B$56:$B$56</definedName>
    <definedName name="ProductId140">'Бланк заказа'!$B$240:$B$240</definedName>
    <definedName name="ProductId141">'Бланк заказа'!$B$244:$B$244</definedName>
    <definedName name="ProductId142">'Бланк заказа'!$B$245:$B$245</definedName>
    <definedName name="ProductId143">'Бланк заказа'!$B$246:$B$246</definedName>
    <definedName name="ProductId144">'Бланк заказа'!$B$250:$B$250</definedName>
    <definedName name="ProductId145">'Бланк заказа'!$B$254:$B$254</definedName>
    <definedName name="ProductId146">'Бланк заказа'!$B$258:$B$258</definedName>
    <definedName name="ProductId147">'Бланк заказа'!$B$264:$B$264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заказа'!$B$275:$B$275</definedName>
    <definedName name="ProductId156">'Бланк заказа'!$B$276:$B$276</definedName>
    <definedName name="ProductId157">'Бланк заказа'!$B$280:$B$280</definedName>
    <definedName name="ProductId158">'Бланк заказа'!$B$281:$B$281</definedName>
    <definedName name="ProductId159">'Бланк заказа'!$B$285:$B$285</definedName>
    <definedName name="ProductId16">'Бланк заказа'!$B$62:$B$62</definedName>
    <definedName name="ProductId160">'Бланк заказа'!$B$289:$B$289</definedName>
    <definedName name="ProductId161">'Бланк заказа'!$B$294:$B$294</definedName>
    <definedName name="ProductId162">'Бланк заказа'!$B$295:$B$295</definedName>
    <definedName name="ProductId163">'Бланк заказа'!$B$296:$B$296</definedName>
    <definedName name="ProductId164">'Бланк заказа'!$B$297:$B$297</definedName>
    <definedName name="ProductId165">'Бланк заказа'!$B$301:$B$301</definedName>
    <definedName name="ProductId166">'Бланк заказа'!$B$302:$B$302</definedName>
    <definedName name="ProductId167">'Бланк заказа'!$B$306:$B$306</definedName>
    <definedName name="ProductId168">'Бланк заказа'!$B$307:$B$307</definedName>
    <definedName name="ProductId169">'Бланк заказа'!$B$308:$B$308</definedName>
    <definedName name="ProductId17">'Бланк заказа'!$B$63:$B$63</definedName>
    <definedName name="ProductId170">'Бланк заказа'!$B$309:$B$309</definedName>
    <definedName name="ProductId171">'Бланк заказа'!$B$313:$B$313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заказа'!$B$326:$B$326</definedName>
    <definedName name="ProductId177">'Бланк заказа'!$B$327:$B$327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заказа'!$B$334:$B$334</definedName>
    <definedName name="ProductId182">'Бланк заказа'!$B$335:$B$335</definedName>
    <definedName name="ProductId183">'Бланк заказа'!$B$336:$B$336</definedName>
    <definedName name="ProductId184">'Бланк заказа'!$B$337:$B$337</definedName>
    <definedName name="ProductId185">'Бланк заказа'!$B$341:$B$341</definedName>
    <definedName name="ProductId186">'Бланк заказа'!$B$346:$B$346</definedName>
    <definedName name="ProductId187">'Бланк заказа'!$B$347:$B$347</definedName>
    <definedName name="ProductId188">'Бланк заказа'!$B$351:$B$351</definedName>
    <definedName name="ProductId189">'Бланк заказа'!$B$352:$B$352</definedName>
    <definedName name="ProductId19">'Бланк заказа'!$B$65:$B$65</definedName>
    <definedName name="ProductId190">'Бланк заказа'!$B$353:$B$353</definedName>
    <definedName name="ProductId191">'Бланк заказа'!$B$354:$B$354</definedName>
    <definedName name="ProductId192">'Бланк заказа'!$B$355:$B$355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заказа'!$B$374:$B$374</definedName>
    <definedName name="ProductId204">'Бланк заказа'!$B$375:$B$375</definedName>
    <definedName name="ProductId205">'Бланк заказа'!$B$379:$B$379</definedName>
    <definedName name="ProductId206">'Бланк заказа'!$B$380:$B$380</definedName>
    <definedName name="ProductId207">'Бланк заказа'!$B$381:$B$381</definedName>
    <definedName name="ProductId208">'Бланк заказа'!$B$382:$B$382</definedName>
    <definedName name="ProductId209">'Бланк заказа'!$B$383:$B$383</definedName>
    <definedName name="ProductId21">'Бланк заказа'!$B$67:$B$67</definedName>
    <definedName name="ProductId210">'Бланк заказа'!$B$384:$B$384</definedName>
    <definedName name="ProductId211">'Бланк заказа'!$B$388:$B$388</definedName>
    <definedName name="ProductId212">'Бланк заказа'!$B$389:$B$389</definedName>
    <definedName name="ProductId213">'Бланк заказа'!$B$395:$B$395</definedName>
    <definedName name="ProductId214">'Бланк заказа'!$B$396:$B$396</definedName>
    <definedName name="ProductId215">'Бланк заказа'!$B$400:$B$400</definedName>
    <definedName name="ProductId216">'Бланк заказа'!$B$401:$B$401</definedName>
    <definedName name="ProductId217">'Бланк заказа'!$B$405:$B$405</definedName>
    <definedName name="ProductId218">'Бланк заказа'!$B$406:$B$406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заказа'!$B$79:$B$79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заказа'!$B$88:$B$88</definedName>
    <definedName name="ProductId37">'Бланк заказа'!$B$89:$B$89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заказа'!$B$113:$B$113</definedName>
    <definedName name="ProductId56">'Бланк заказа'!$B$118:$B$118</definedName>
    <definedName name="ProductId57">'Бланк заказа'!$B$119:$B$119</definedName>
    <definedName name="ProductId58">'Бланк заказа'!$B$120:$B$120</definedName>
    <definedName name="ProductId59">'Бланк заказа'!$B$121:$B$121</definedName>
    <definedName name="ProductId6">'Бланк заказа'!$B$30:$B$30</definedName>
    <definedName name="ProductId60">'Бланк заказа'!$B$127:$B$127</definedName>
    <definedName name="ProductId61">'Бланк заказа'!$B$128:$B$128</definedName>
    <definedName name="ProductId62">'Бланк заказа'!$B$129:$B$129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заказа'!$B$152:$B$152</definedName>
    <definedName name="ProductId79">'Бланк заказа'!$B$153:$B$153</definedName>
    <definedName name="ProductId8">'Бланк заказа'!$B$35:$B$35</definedName>
    <definedName name="ProductId80">'Бланк заказа'!$B$157:$B$157</definedName>
    <definedName name="ProductId81">'Бланк заказа'!$B$158:$B$158</definedName>
    <definedName name="ProductId82">'Бланк заказа'!$B$159:$B$159</definedName>
    <definedName name="ProductId83">'Бланк заказа'!$B$160:$B$160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заказа'!$B$176:$B$176</definedName>
    <definedName name="ProductId97">'Бланк заказа'!$B$177:$B$177</definedName>
    <definedName name="ProductId98">'Бланк заказа'!$B$178:$B$178</definedName>
    <definedName name="ProductId99">'Бланк заказа'!$B$179:$B$179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заказа'!$U$200:$U$200</definedName>
    <definedName name="SalesQty118">'Бланк заказа'!$U$201:$U$201</definedName>
    <definedName name="SalesQty119">'Бланк заказа'!$U$202:$U$202</definedName>
    <definedName name="SalesQty12">'Бланк заказа'!$U$50:$U$50</definedName>
    <definedName name="SalesQty120">'Бланк заказа'!$U$203:$U$203</definedName>
    <definedName name="SalesQty121">'Бланк заказа'!$U$204:$U$204</definedName>
    <definedName name="SalesQty122">'Бланк заказа'!$U$205:$U$205</definedName>
    <definedName name="SalesQty123">'Бланк заказа'!$U$209:$U$209</definedName>
    <definedName name="SalesQty124">'Бланк заказа'!$U$210:$U$210</definedName>
    <definedName name="SalesQty125">'Бланк заказа'!$U$211:$U$211</definedName>
    <definedName name="SalesQty126">'Бланк заказа'!$U$215:$U$215</definedName>
    <definedName name="SalesQty127">'Бланк заказа'!$U$216:$U$216</definedName>
    <definedName name="SalesQty128">'Бланк заказа'!$U$217:$U$217</definedName>
    <definedName name="SalesQty129">'Бланк заказа'!$U$218:$U$218</definedName>
    <definedName name="SalesQty13">'Бланк заказа'!$U$55:$U$55</definedName>
    <definedName name="SalesQty130">'Бланк заказа'!$U$223:$U$223</definedName>
    <definedName name="SalesQty131">'Бланк заказа'!$U$224:$U$224</definedName>
    <definedName name="SalesQty132">'Бланк заказа'!$U$225:$U$225</definedName>
    <definedName name="SalesQty133">'Бланк заказа'!$U$226:$U$226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заказа'!$U$233:$U$233</definedName>
    <definedName name="SalesQty138">'Бланк заказа'!$U$234:$U$234</definedName>
    <definedName name="SalesQty139">'Бланк заказа'!$U$239:$U$239</definedName>
    <definedName name="SalesQty14">'Бланк заказа'!$U$56:$U$56</definedName>
    <definedName name="SalesQty140">'Бланк заказа'!$U$240:$U$240</definedName>
    <definedName name="SalesQty141">'Бланк заказа'!$U$244:$U$244</definedName>
    <definedName name="SalesQty142">'Бланк заказа'!$U$245:$U$245</definedName>
    <definedName name="SalesQty143">'Бланк заказа'!$U$246:$U$246</definedName>
    <definedName name="SalesQty144">'Бланк заказа'!$U$250:$U$250</definedName>
    <definedName name="SalesQty145">'Бланк заказа'!$U$254:$U$254</definedName>
    <definedName name="SalesQty146">'Бланк заказа'!$U$258:$U$258</definedName>
    <definedName name="SalesQty147">'Бланк заказа'!$U$264:$U$264</definedName>
    <definedName name="SalesQty148">'Бланк заказа'!$U$265:$U$265</definedName>
    <definedName name="SalesQty149">'Бланк заказа'!$U$266:$U$266</definedName>
    <definedName name="SalesQty15">'Бланк заказа'!$U$57:$U$57</definedName>
    <definedName name="SalesQty150">'Бланк заказа'!$U$267:$U$267</definedName>
    <definedName name="SalesQty151">'Бланк заказа'!$U$268:$U$268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заказа'!$U$275:$U$275</definedName>
    <definedName name="SalesQty156">'Бланк заказа'!$U$276:$U$276</definedName>
    <definedName name="SalesQty157">'Бланк заказа'!$U$280:$U$280</definedName>
    <definedName name="SalesQty158">'Бланк заказа'!$U$281:$U$281</definedName>
    <definedName name="SalesQty159">'Бланк заказа'!$U$285:$U$285</definedName>
    <definedName name="SalesQty16">'Бланк заказа'!$U$62:$U$62</definedName>
    <definedName name="SalesQty160">'Бланк заказа'!$U$289:$U$289</definedName>
    <definedName name="SalesQty161">'Бланк заказа'!$U$294:$U$294</definedName>
    <definedName name="SalesQty162">'Бланк заказа'!$U$295:$U$295</definedName>
    <definedName name="SalesQty163">'Бланк заказа'!$U$296:$U$296</definedName>
    <definedName name="SalesQty164">'Бланк заказа'!$U$297:$U$297</definedName>
    <definedName name="SalesQty165">'Бланк заказа'!$U$301:$U$301</definedName>
    <definedName name="SalesQty166">'Бланк заказа'!$U$302:$U$302</definedName>
    <definedName name="SalesQty167">'Бланк заказа'!$U$306:$U$306</definedName>
    <definedName name="SalesQty168">'Бланк заказа'!$U$307:$U$307</definedName>
    <definedName name="SalesQty169">'Бланк заказа'!$U$308:$U$308</definedName>
    <definedName name="SalesQty17">'Бланк заказа'!$U$63:$U$63</definedName>
    <definedName name="SalesQty170">'Бланк заказа'!$U$309:$U$309</definedName>
    <definedName name="SalesQty171">'Бланк заказа'!$U$313:$U$313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заказа'!$U$326:$U$326</definedName>
    <definedName name="SalesQty177">'Бланк заказа'!$U$327:$U$327</definedName>
    <definedName name="SalesQty178">'Бланк заказа'!$U$328:$U$328</definedName>
    <definedName name="SalesQty179">'Бланк заказа'!$U$329:$U$329</definedName>
    <definedName name="SalesQty18">'Бланк заказа'!$U$64:$U$64</definedName>
    <definedName name="SalesQty180">'Бланк заказа'!$U$330:$U$330</definedName>
    <definedName name="SalesQty181">'Бланк заказа'!$U$334:$U$334</definedName>
    <definedName name="SalesQty182">'Бланк заказа'!$U$335:$U$335</definedName>
    <definedName name="SalesQty183">'Бланк заказа'!$U$336:$U$336</definedName>
    <definedName name="SalesQty184">'Бланк заказа'!$U$337:$U$337</definedName>
    <definedName name="SalesQty185">'Бланк заказа'!$U$341:$U$341</definedName>
    <definedName name="SalesQty186">'Бланк заказа'!$U$346:$U$346</definedName>
    <definedName name="SalesQty187">'Бланк заказа'!$U$347:$U$347</definedName>
    <definedName name="SalesQty188">'Бланк заказа'!$U$351:$U$351</definedName>
    <definedName name="SalesQty189">'Бланк заказа'!$U$352:$U$352</definedName>
    <definedName name="SalesQty19">'Бланк заказа'!$U$65:$U$65</definedName>
    <definedName name="SalesQty190">'Бланк заказа'!$U$353:$U$353</definedName>
    <definedName name="SalesQty191">'Бланк заказа'!$U$354:$U$354</definedName>
    <definedName name="SalesQty192">'Бланк заказа'!$U$355:$U$355</definedName>
    <definedName name="SalesQty193">'Бланк заказа'!$U$361:$U$361</definedName>
    <definedName name="SalesQty194">'Бланк заказа'!$U$362:$U$362</definedName>
    <definedName name="SalesQty195">'Бланк заказа'!$U$363:$U$363</definedName>
    <definedName name="SalesQty196">'Бланк заказа'!$U$364:$U$364</definedName>
    <definedName name="SalesQty197">'Бланк заказа'!$U$365:$U$365</definedName>
    <definedName name="SalesQty198">'Бланк заказа'!$U$366:$U$366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заказа'!$U$374:$U$374</definedName>
    <definedName name="SalesQty204">'Бланк заказа'!$U$375:$U$375</definedName>
    <definedName name="SalesQty205">'Бланк заказа'!$U$379:$U$379</definedName>
    <definedName name="SalesQty206">'Бланк заказа'!$U$380:$U$380</definedName>
    <definedName name="SalesQty207">'Бланк заказа'!$U$381:$U$381</definedName>
    <definedName name="SalesQty208">'Бланк заказа'!$U$382:$U$382</definedName>
    <definedName name="SalesQty209">'Бланк заказа'!$U$383:$U$383</definedName>
    <definedName name="SalesQty21">'Бланк заказа'!$U$67:$U$67</definedName>
    <definedName name="SalesQty210">'Бланк заказа'!$U$384:$U$384</definedName>
    <definedName name="SalesQty211">'Бланк заказа'!$U$388:$U$388</definedName>
    <definedName name="SalesQty212">'Бланк заказа'!$U$389:$U$389</definedName>
    <definedName name="SalesQty213">'Бланк заказа'!$U$395:$U$395</definedName>
    <definedName name="SalesQty214">'Бланк заказа'!$U$396:$U$396</definedName>
    <definedName name="SalesQty215">'Бланк заказа'!$U$400:$U$400</definedName>
    <definedName name="SalesQty216">'Бланк заказа'!$U$401:$U$401</definedName>
    <definedName name="SalesQty217">'Бланк заказа'!$U$405:$U$405</definedName>
    <definedName name="SalesQty218">'Бланк заказа'!$U$406:$U$406</definedName>
    <definedName name="SalesQty219">'Бланк заказа'!$U$410:$U$410</definedName>
    <definedName name="SalesQty22">'Бланк заказа'!$U$68:$U$68</definedName>
    <definedName name="SalesQty220">'Бланк заказа'!$U$411:$U$411</definedName>
    <definedName name="SalesQty221">'Бланк заказа'!$U$412:$U$412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заказа'!$U$79:$U$79</definedName>
    <definedName name="SalesQty31">'Бланк заказа'!$U$80:$U$80</definedName>
    <definedName name="SalesQty32">'Бланк заказа'!$U$81:$U$81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заказа'!$U$88:$U$88</definedName>
    <definedName name="SalesQty37">'Бланк заказа'!$U$89:$U$89</definedName>
    <definedName name="SalesQty38">'Бланк заказа'!$U$90:$U$90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заказа'!$U$100:$U$100</definedName>
    <definedName name="SalesQty46">'Бланк заказа'!$U$101:$U$101</definedName>
    <definedName name="SalesQty47">'Бланк заказа'!$U$102:$U$102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заказа'!$U$110:$U$110</definedName>
    <definedName name="SalesQty53">'Бланк заказа'!$U$111:$U$111</definedName>
    <definedName name="SalesQty54">'Бланк заказа'!$U$112:$U$112</definedName>
    <definedName name="SalesQty55">'Бланк заказа'!$U$113:$U$113</definedName>
    <definedName name="SalesQty56">'Бланк заказа'!$U$118:$U$118</definedName>
    <definedName name="SalesQty57">'Бланк заказа'!$U$119:$U$119</definedName>
    <definedName name="SalesQty58">'Бланк заказа'!$U$120:$U$120</definedName>
    <definedName name="SalesQty59">'Бланк заказа'!$U$121:$U$121</definedName>
    <definedName name="SalesQty6">'Бланк заказа'!$U$30:$U$30</definedName>
    <definedName name="SalesQty60">'Бланк заказа'!$U$127:$U$127</definedName>
    <definedName name="SalesQty61">'Бланк заказа'!$U$128:$U$128</definedName>
    <definedName name="SalesQty62">'Бланк заказа'!$U$129:$U$129</definedName>
    <definedName name="SalesQty63">'Бланк заказа'!$U$134:$U$134</definedName>
    <definedName name="SalesQty64">'Бланк заказа'!$U$135:$U$135</definedName>
    <definedName name="SalesQty65">'Бланк заказа'!$U$136:$U$136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заказа'!$U$152:$U$152</definedName>
    <definedName name="SalesQty79">'Бланк заказа'!$U$153:$U$153</definedName>
    <definedName name="SalesQty8">'Бланк заказа'!$U$35:$U$35</definedName>
    <definedName name="SalesQty80">'Бланк заказа'!$U$157:$U$157</definedName>
    <definedName name="SalesQty81">'Бланк заказа'!$U$158:$U$158</definedName>
    <definedName name="SalesQty82">'Бланк заказа'!$U$159:$U$159</definedName>
    <definedName name="SalesQty83">'Бланк заказа'!$U$160:$U$160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заказа'!$U$176:$U$176</definedName>
    <definedName name="SalesQty97">'Бланк заказа'!$U$177:$U$177</definedName>
    <definedName name="SalesQty98">'Бланк заказа'!$U$178:$U$178</definedName>
    <definedName name="SalesQty99">'Бланк заказа'!$U$179:$U$179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заказа'!$V$200:$V$200</definedName>
    <definedName name="SalesRoundBox118">'Бланк заказа'!$V$201:$V$201</definedName>
    <definedName name="SalesRoundBox119">'Бланк заказа'!$V$202:$V$202</definedName>
    <definedName name="SalesRoundBox12">'Бланк заказа'!$V$50:$V$50</definedName>
    <definedName name="SalesRoundBox120">'Бланк заказа'!$V$203:$V$203</definedName>
    <definedName name="SalesRoundBox121">'Бланк заказа'!$V$204:$V$204</definedName>
    <definedName name="SalesRoundBox122">'Бланк заказа'!$V$205:$V$205</definedName>
    <definedName name="SalesRoundBox123">'Бланк заказа'!$V$209:$V$209</definedName>
    <definedName name="SalesRoundBox124">'Бланк заказа'!$V$210:$V$210</definedName>
    <definedName name="SalesRoundBox125">'Бланк заказа'!$V$211:$V$211</definedName>
    <definedName name="SalesRoundBox126">'Бланк заказа'!$V$215:$V$215</definedName>
    <definedName name="SalesRoundBox127">'Бланк заказа'!$V$216:$V$216</definedName>
    <definedName name="SalesRoundBox128">'Бланк заказа'!$V$217:$V$217</definedName>
    <definedName name="SalesRoundBox129">'Бланк заказа'!$V$218:$V$218</definedName>
    <definedName name="SalesRoundBox13">'Бланк заказа'!$V$55:$V$55</definedName>
    <definedName name="SalesRoundBox130">'Бланк заказа'!$V$223:$V$223</definedName>
    <definedName name="SalesRoundBox131">'Бланк заказа'!$V$224:$V$224</definedName>
    <definedName name="SalesRoundBox132">'Бланк заказа'!$V$225:$V$225</definedName>
    <definedName name="SalesRoundBox133">'Бланк заказа'!$V$226:$V$226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заказа'!$V$233:$V$233</definedName>
    <definedName name="SalesRoundBox138">'Бланк заказа'!$V$234:$V$234</definedName>
    <definedName name="SalesRoundBox139">'Бланк заказа'!$V$239:$V$239</definedName>
    <definedName name="SalesRoundBox14">'Бланк заказа'!$V$56:$V$56</definedName>
    <definedName name="SalesRoundBox140">'Бланк заказа'!$V$240:$V$240</definedName>
    <definedName name="SalesRoundBox141">'Бланк заказа'!$V$244:$V$244</definedName>
    <definedName name="SalesRoundBox142">'Бланк заказа'!$V$245:$V$245</definedName>
    <definedName name="SalesRoundBox143">'Бланк заказа'!$V$246:$V$246</definedName>
    <definedName name="SalesRoundBox144">'Бланк заказа'!$V$250:$V$250</definedName>
    <definedName name="SalesRoundBox145">'Бланк заказа'!$V$254:$V$254</definedName>
    <definedName name="SalesRoundBox146">'Бланк заказа'!$V$258:$V$258</definedName>
    <definedName name="SalesRoundBox147">'Бланк заказа'!$V$264:$V$264</definedName>
    <definedName name="SalesRoundBox148">'Бланк заказа'!$V$265:$V$265</definedName>
    <definedName name="SalesRoundBox149">'Бланк заказа'!$V$266:$V$266</definedName>
    <definedName name="SalesRoundBox15">'Бланк заказа'!$V$57:$V$57</definedName>
    <definedName name="SalesRoundBox150">'Бланк заказа'!$V$267:$V$267</definedName>
    <definedName name="SalesRoundBox151">'Бланк заказа'!$V$268:$V$268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заказа'!$V$275:$V$275</definedName>
    <definedName name="SalesRoundBox156">'Бланк заказа'!$V$276:$V$276</definedName>
    <definedName name="SalesRoundBox157">'Бланк заказа'!$V$280:$V$280</definedName>
    <definedName name="SalesRoundBox158">'Бланк заказа'!$V$281:$V$281</definedName>
    <definedName name="SalesRoundBox159">'Бланк заказа'!$V$285:$V$285</definedName>
    <definedName name="SalesRoundBox16">'Бланк заказа'!$V$62:$V$62</definedName>
    <definedName name="SalesRoundBox160">'Бланк заказа'!$V$289:$V$289</definedName>
    <definedName name="SalesRoundBox161">'Бланк заказа'!$V$294:$V$294</definedName>
    <definedName name="SalesRoundBox162">'Бланк заказа'!$V$295:$V$295</definedName>
    <definedName name="SalesRoundBox163">'Бланк заказа'!$V$296:$V$296</definedName>
    <definedName name="SalesRoundBox164">'Бланк заказа'!$V$297:$V$297</definedName>
    <definedName name="SalesRoundBox165">'Бланк заказа'!$V$301:$V$301</definedName>
    <definedName name="SalesRoundBox166">'Бланк заказа'!$V$302:$V$302</definedName>
    <definedName name="SalesRoundBox167">'Бланк заказа'!$V$306:$V$306</definedName>
    <definedName name="SalesRoundBox168">'Бланк заказа'!$V$307:$V$307</definedName>
    <definedName name="SalesRoundBox169">'Бланк заказа'!$V$308:$V$308</definedName>
    <definedName name="SalesRoundBox17">'Бланк заказа'!$V$63:$V$63</definedName>
    <definedName name="SalesRoundBox170">'Бланк заказа'!$V$309:$V$309</definedName>
    <definedName name="SalesRoundBox171">'Бланк заказа'!$V$313:$V$313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заказа'!$V$326:$V$326</definedName>
    <definedName name="SalesRoundBox177">'Бланк заказа'!$V$327:$V$327</definedName>
    <definedName name="SalesRoundBox178">'Бланк заказа'!$V$328:$V$328</definedName>
    <definedName name="SalesRoundBox179">'Бланк заказа'!$V$329:$V$329</definedName>
    <definedName name="SalesRoundBox18">'Бланк заказа'!$V$64:$V$64</definedName>
    <definedName name="SalesRoundBox180">'Бланк заказа'!$V$330:$V$330</definedName>
    <definedName name="SalesRoundBox181">'Бланк заказа'!$V$334:$V$334</definedName>
    <definedName name="SalesRoundBox182">'Бланк заказа'!$V$335:$V$335</definedName>
    <definedName name="SalesRoundBox183">'Бланк заказа'!$V$336:$V$336</definedName>
    <definedName name="SalesRoundBox184">'Бланк заказа'!$V$337:$V$337</definedName>
    <definedName name="SalesRoundBox185">'Бланк заказа'!$V$341:$V$341</definedName>
    <definedName name="SalesRoundBox186">'Бланк заказа'!$V$346:$V$346</definedName>
    <definedName name="SalesRoundBox187">'Бланк заказа'!$V$347:$V$347</definedName>
    <definedName name="SalesRoundBox188">'Бланк заказа'!$V$351:$V$351</definedName>
    <definedName name="SalesRoundBox189">'Бланк заказа'!$V$352:$V$352</definedName>
    <definedName name="SalesRoundBox19">'Бланк заказа'!$V$65:$V$65</definedName>
    <definedName name="SalesRoundBox190">'Бланк заказа'!$V$353:$V$353</definedName>
    <definedName name="SalesRoundBox191">'Бланк заказа'!$V$354:$V$354</definedName>
    <definedName name="SalesRoundBox192">'Бланк заказа'!$V$355:$V$355</definedName>
    <definedName name="SalesRoundBox193">'Бланк заказа'!$V$361:$V$361</definedName>
    <definedName name="SalesRoundBox194">'Бланк заказа'!$V$362:$V$362</definedName>
    <definedName name="SalesRoundBox195">'Бланк заказа'!$V$363:$V$363</definedName>
    <definedName name="SalesRoundBox196">'Бланк заказа'!$V$364:$V$364</definedName>
    <definedName name="SalesRoundBox197">'Бланк заказа'!$V$365:$V$365</definedName>
    <definedName name="SalesRoundBox198">'Бланк заказа'!$V$366:$V$366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заказа'!$V$374:$V$374</definedName>
    <definedName name="SalesRoundBox204">'Бланк заказа'!$V$375:$V$375</definedName>
    <definedName name="SalesRoundBox205">'Бланк заказа'!$V$379:$V$379</definedName>
    <definedName name="SalesRoundBox206">'Бланк заказа'!$V$380:$V$380</definedName>
    <definedName name="SalesRoundBox207">'Бланк заказа'!$V$381:$V$381</definedName>
    <definedName name="SalesRoundBox208">'Бланк заказа'!$V$382:$V$382</definedName>
    <definedName name="SalesRoundBox209">'Бланк заказа'!$V$383:$V$383</definedName>
    <definedName name="SalesRoundBox21">'Бланк заказа'!$V$67:$V$67</definedName>
    <definedName name="SalesRoundBox210">'Бланк заказа'!$V$384:$V$384</definedName>
    <definedName name="SalesRoundBox211">'Бланк заказа'!$V$388:$V$388</definedName>
    <definedName name="SalesRoundBox212">'Бланк заказа'!$V$389:$V$389</definedName>
    <definedName name="SalesRoundBox213">'Бланк заказа'!$V$395:$V$395</definedName>
    <definedName name="SalesRoundBox214">'Бланк заказа'!$V$396:$V$396</definedName>
    <definedName name="SalesRoundBox215">'Бланк заказа'!$V$400:$V$400</definedName>
    <definedName name="SalesRoundBox216">'Бланк заказа'!$V$401:$V$401</definedName>
    <definedName name="SalesRoundBox217">'Бланк заказа'!$V$405:$V$405</definedName>
    <definedName name="SalesRoundBox218">'Бланк заказа'!$V$406:$V$406</definedName>
    <definedName name="SalesRoundBox219">'Бланк заказа'!$V$410:$V$410</definedName>
    <definedName name="SalesRoundBox22">'Бланк заказа'!$V$68:$V$68</definedName>
    <definedName name="SalesRoundBox220">'Бланк заказа'!$V$411:$V$411</definedName>
    <definedName name="SalesRoundBox221">'Бланк заказа'!$V$412:$V$412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заказа'!$V$79:$V$79</definedName>
    <definedName name="SalesRoundBox31">'Бланк заказа'!$V$80:$V$80</definedName>
    <definedName name="SalesRoundBox32">'Бланк заказа'!$V$81:$V$81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заказа'!$V$88:$V$88</definedName>
    <definedName name="SalesRoundBox37">'Бланк заказа'!$V$89:$V$89</definedName>
    <definedName name="SalesRoundBox38">'Бланк заказа'!$V$90:$V$90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заказа'!$V$100:$V$100</definedName>
    <definedName name="SalesRoundBox46">'Бланк заказа'!$V$101:$V$101</definedName>
    <definedName name="SalesRoundBox47">'Бланк заказа'!$V$102:$V$102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заказа'!$V$110:$V$110</definedName>
    <definedName name="SalesRoundBox53">'Бланк заказа'!$V$111:$V$111</definedName>
    <definedName name="SalesRoundBox54">'Бланк заказа'!$V$112:$V$112</definedName>
    <definedName name="SalesRoundBox55">'Бланк заказа'!$V$113:$V$113</definedName>
    <definedName name="SalesRoundBox56">'Бланк заказа'!$V$118:$V$118</definedName>
    <definedName name="SalesRoundBox57">'Бланк заказа'!$V$119:$V$119</definedName>
    <definedName name="SalesRoundBox58">'Бланк заказа'!$V$120:$V$120</definedName>
    <definedName name="SalesRoundBox59">'Бланк заказа'!$V$121:$V$121</definedName>
    <definedName name="SalesRoundBox6">'Бланк заказа'!$V$30:$V$30</definedName>
    <definedName name="SalesRoundBox60">'Бланк заказа'!$V$127:$V$127</definedName>
    <definedName name="SalesRoundBox61">'Бланк заказа'!$V$128:$V$128</definedName>
    <definedName name="SalesRoundBox62">'Бланк заказа'!$V$129:$V$129</definedName>
    <definedName name="SalesRoundBox63">'Бланк заказа'!$V$134:$V$134</definedName>
    <definedName name="SalesRoundBox64">'Бланк заказа'!$V$135:$V$135</definedName>
    <definedName name="SalesRoundBox65">'Бланк заказа'!$V$136:$V$136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заказа'!$V$152:$V$152</definedName>
    <definedName name="SalesRoundBox79">'Бланк заказа'!$V$153:$V$153</definedName>
    <definedName name="SalesRoundBox8">'Бланк заказа'!$V$35:$V$35</definedName>
    <definedName name="SalesRoundBox80">'Бланк заказа'!$V$157:$V$157</definedName>
    <definedName name="SalesRoundBox81">'Бланк заказа'!$V$158:$V$158</definedName>
    <definedName name="SalesRoundBox82">'Бланк заказа'!$V$159:$V$159</definedName>
    <definedName name="SalesRoundBox83">'Бланк заказа'!$V$160:$V$160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заказа'!$V$176:$V$176</definedName>
    <definedName name="SalesRoundBox97">'Бланк заказа'!$V$177:$V$177</definedName>
    <definedName name="SalesRoundBox98">'Бланк заказа'!$V$178:$V$178</definedName>
    <definedName name="SalesRoundBox99">'Бланк заказа'!$V$179:$V$179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заказа'!$T$200:$T$200</definedName>
    <definedName name="UnitOfMeasure118">'Бланк заказа'!$T$201:$T$201</definedName>
    <definedName name="UnitOfMeasure119">'Бланк заказа'!$T$202:$T$202</definedName>
    <definedName name="UnitOfMeasure12">'Бланк заказа'!$T$50:$T$50</definedName>
    <definedName name="UnitOfMeasure120">'Бланк заказа'!$T$203:$T$203</definedName>
    <definedName name="UnitOfMeasure121">'Бланк заказа'!$T$204:$T$204</definedName>
    <definedName name="UnitOfMeasure122">'Бланк заказа'!$T$205:$T$205</definedName>
    <definedName name="UnitOfMeasure123">'Бланк заказа'!$T$209:$T$209</definedName>
    <definedName name="UnitOfMeasure124">'Бланк заказа'!$T$210:$T$210</definedName>
    <definedName name="UnitOfMeasure125">'Бланк заказа'!$T$211:$T$211</definedName>
    <definedName name="UnitOfMeasure126">'Бланк заказа'!$T$215:$T$215</definedName>
    <definedName name="UnitOfMeasure127">'Бланк заказа'!$T$216:$T$216</definedName>
    <definedName name="UnitOfMeasure128">'Бланк заказа'!$T$217:$T$217</definedName>
    <definedName name="UnitOfMeasure129">'Бланк заказа'!$T$218:$T$218</definedName>
    <definedName name="UnitOfMeasure13">'Бланк заказа'!$T$55:$T$55</definedName>
    <definedName name="UnitOfMeasure130">'Бланк заказа'!$T$223:$T$223</definedName>
    <definedName name="UnitOfMeasure131">'Бланк заказа'!$T$224:$T$224</definedName>
    <definedName name="UnitOfMeasure132">'Бланк заказа'!$T$225:$T$225</definedName>
    <definedName name="UnitOfMeasure133">'Бланк заказа'!$T$226:$T$226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заказа'!$T$233:$T$233</definedName>
    <definedName name="UnitOfMeasure138">'Бланк заказа'!$T$234:$T$234</definedName>
    <definedName name="UnitOfMeasure139">'Бланк заказа'!$T$239:$T$239</definedName>
    <definedName name="UnitOfMeasure14">'Бланк заказа'!$T$56:$T$56</definedName>
    <definedName name="UnitOfMeasure140">'Бланк заказа'!$T$240:$T$240</definedName>
    <definedName name="UnitOfMeasure141">'Бланк заказа'!$T$244:$T$244</definedName>
    <definedName name="UnitOfMeasure142">'Бланк заказа'!$T$245:$T$245</definedName>
    <definedName name="UnitOfMeasure143">'Бланк заказа'!$T$246:$T$246</definedName>
    <definedName name="UnitOfMeasure144">'Бланк заказа'!$T$250:$T$250</definedName>
    <definedName name="UnitOfMeasure145">'Бланк заказа'!$T$254:$T$254</definedName>
    <definedName name="UnitOfMeasure146">'Бланк заказа'!$T$258:$T$258</definedName>
    <definedName name="UnitOfMeasure147">'Бланк заказа'!$T$264:$T$264</definedName>
    <definedName name="UnitOfMeasure148">'Бланк заказа'!$T$265:$T$265</definedName>
    <definedName name="UnitOfMeasure149">'Бланк заказа'!$T$266:$T$266</definedName>
    <definedName name="UnitOfMeasure15">'Бланк заказа'!$T$57:$T$57</definedName>
    <definedName name="UnitOfMeasure150">'Бланк заказа'!$T$267:$T$267</definedName>
    <definedName name="UnitOfMeasure151">'Бланк заказа'!$T$268:$T$268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заказа'!$T$275:$T$275</definedName>
    <definedName name="UnitOfMeasure156">'Бланк заказа'!$T$276:$T$276</definedName>
    <definedName name="UnitOfMeasure157">'Бланк заказа'!$T$280:$T$280</definedName>
    <definedName name="UnitOfMeasure158">'Бланк заказа'!$T$281:$T$281</definedName>
    <definedName name="UnitOfMeasure159">'Бланк заказа'!$T$285:$T$285</definedName>
    <definedName name="UnitOfMeasure16">'Бланк заказа'!$T$62:$T$62</definedName>
    <definedName name="UnitOfMeasure160">'Бланк заказа'!$T$289:$T$289</definedName>
    <definedName name="UnitOfMeasure161">'Бланк заказа'!$T$294:$T$294</definedName>
    <definedName name="UnitOfMeasure162">'Бланк заказа'!$T$295:$T$295</definedName>
    <definedName name="UnitOfMeasure163">'Бланк заказа'!$T$296:$T$296</definedName>
    <definedName name="UnitOfMeasure164">'Бланк заказа'!$T$297:$T$297</definedName>
    <definedName name="UnitOfMeasure165">'Бланк заказа'!$T$301:$T$301</definedName>
    <definedName name="UnitOfMeasure166">'Бланк заказа'!$T$302:$T$302</definedName>
    <definedName name="UnitOfMeasure167">'Бланк заказа'!$T$306:$T$306</definedName>
    <definedName name="UnitOfMeasure168">'Бланк заказа'!$T$307:$T$307</definedName>
    <definedName name="UnitOfMeasure169">'Бланк заказа'!$T$308:$T$308</definedName>
    <definedName name="UnitOfMeasure17">'Бланк заказа'!$T$63:$T$63</definedName>
    <definedName name="UnitOfMeasure170">'Бланк заказа'!$T$309:$T$309</definedName>
    <definedName name="UnitOfMeasure171">'Бланк заказа'!$T$313:$T$313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заказа'!$T$326:$T$326</definedName>
    <definedName name="UnitOfMeasure177">'Бланк заказа'!$T$327:$T$327</definedName>
    <definedName name="UnitOfMeasure178">'Бланк заказа'!$T$328:$T$328</definedName>
    <definedName name="UnitOfMeasure179">'Бланк заказа'!$T$329:$T$329</definedName>
    <definedName name="UnitOfMeasure18">'Бланк заказа'!$T$64:$T$64</definedName>
    <definedName name="UnitOfMeasure180">'Бланк заказа'!$T$330:$T$330</definedName>
    <definedName name="UnitOfMeasure181">'Бланк заказа'!$T$334:$T$334</definedName>
    <definedName name="UnitOfMeasure182">'Бланк заказа'!$T$335:$T$335</definedName>
    <definedName name="UnitOfMeasure183">'Бланк заказа'!$T$336:$T$336</definedName>
    <definedName name="UnitOfMeasure184">'Бланк заказа'!$T$337:$T$337</definedName>
    <definedName name="UnitOfMeasure185">'Бланк заказа'!$T$341:$T$341</definedName>
    <definedName name="UnitOfMeasure186">'Бланк заказа'!$T$346:$T$346</definedName>
    <definedName name="UnitOfMeasure187">'Бланк заказа'!$T$347:$T$347</definedName>
    <definedName name="UnitOfMeasure188">'Бланк заказа'!$T$351:$T$351</definedName>
    <definedName name="UnitOfMeasure189">'Бланк заказа'!$T$352:$T$352</definedName>
    <definedName name="UnitOfMeasure19">'Бланк заказа'!$T$65:$T$65</definedName>
    <definedName name="UnitOfMeasure190">'Бланк заказа'!$T$353:$T$353</definedName>
    <definedName name="UnitOfMeasure191">'Бланк заказа'!$T$354:$T$354</definedName>
    <definedName name="UnitOfMeasure192">'Бланк заказа'!$T$355:$T$355</definedName>
    <definedName name="UnitOfMeasure193">'Бланк заказа'!$T$361:$T$361</definedName>
    <definedName name="UnitOfMeasure194">'Бланк заказа'!$T$362:$T$362</definedName>
    <definedName name="UnitOfMeasure195">'Бланк заказа'!$T$363:$T$363</definedName>
    <definedName name="UnitOfMeasure196">'Бланк заказа'!$T$364:$T$364</definedName>
    <definedName name="UnitOfMeasure197">'Бланк заказа'!$T$365:$T$365</definedName>
    <definedName name="UnitOfMeasure198">'Бланк заказа'!$T$366:$T$366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заказа'!$T$374:$T$374</definedName>
    <definedName name="UnitOfMeasure204">'Бланк заказа'!$T$375:$T$375</definedName>
    <definedName name="UnitOfMeasure205">'Бланк заказа'!$T$379:$T$379</definedName>
    <definedName name="UnitOfMeasure206">'Бланк заказа'!$T$380:$T$380</definedName>
    <definedName name="UnitOfMeasure207">'Бланк заказа'!$T$381:$T$381</definedName>
    <definedName name="UnitOfMeasure208">'Бланк заказа'!$T$382:$T$382</definedName>
    <definedName name="UnitOfMeasure209">'Бланк заказа'!$T$383:$T$383</definedName>
    <definedName name="UnitOfMeasure21">'Бланк заказа'!$T$67:$T$67</definedName>
    <definedName name="UnitOfMeasure210">'Бланк заказа'!$T$384:$T$384</definedName>
    <definedName name="UnitOfMeasure211">'Бланк заказа'!$T$388:$T$388</definedName>
    <definedName name="UnitOfMeasure212">'Бланк заказа'!$T$389:$T$389</definedName>
    <definedName name="UnitOfMeasure213">'Бланк заказа'!$T$395:$T$395</definedName>
    <definedName name="UnitOfMeasure214">'Бланк заказа'!$T$396:$T$396</definedName>
    <definedName name="UnitOfMeasure215">'Бланк заказа'!$T$400:$T$400</definedName>
    <definedName name="UnitOfMeasure216">'Бланк заказа'!$T$401:$T$401</definedName>
    <definedName name="UnitOfMeasure217">'Бланк заказа'!$T$405:$T$405</definedName>
    <definedName name="UnitOfMeasure218">'Бланк заказа'!$T$406:$T$406</definedName>
    <definedName name="UnitOfMeasure219">'Бланк заказа'!$T$410:$T$410</definedName>
    <definedName name="UnitOfMeasure22">'Бланк заказа'!$T$68:$T$68</definedName>
    <definedName name="UnitOfMeasure220">'Бланк заказа'!$T$411:$T$411</definedName>
    <definedName name="UnitOfMeasure221">'Бланк заказа'!$T$412:$T$412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заказа'!$T$79:$T$79</definedName>
    <definedName name="UnitOfMeasure31">'Бланк заказа'!$T$80:$T$80</definedName>
    <definedName name="UnitOfMeasure32">'Бланк заказа'!$T$81:$T$81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заказа'!$T$88:$T$88</definedName>
    <definedName name="UnitOfMeasure37">'Бланк заказа'!$T$89:$T$89</definedName>
    <definedName name="UnitOfMeasure38">'Бланк заказа'!$T$90:$T$90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заказа'!$T$100:$T$100</definedName>
    <definedName name="UnitOfMeasure46">'Бланк заказа'!$T$101:$T$101</definedName>
    <definedName name="UnitOfMeasure47">'Бланк заказа'!$T$102:$T$102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заказа'!$T$110:$T$110</definedName>
    <definedName name="UnitOfMeasure53">'Бланк заказа'!$T$111:$T$111</definedName>
    <definedName name="UnitOfMeasure54">'Бланк заказа'!$T$112:$T$112</definedName>
    <definedName name="UnitOfMeasure55">'Бланк заказа'!$T$113:$T$113</definedName>
    <definedName name="UnitOfMeasure56">'Бланк заказа'!$T$118:$T$118</definedName>
    <definedName name="UnitOfMeasure57">'Бланк заказа'!$T$119:$T$119</definedName>
    <definedName name="UnitOfMeasure58">'Бланк заказа'!$T$120:$T$120</definedName>
    <definedName name="UnitOfMeasure59">'Бланк заказа'!$T$121:$T$121</definedName>
    <definedName name="UnitOfMeasure6">'Бланк заказа'!$T$30:$T$30</definedName>
    <definedName name="UnitOfMeasure60">'Бланк заказа'!$T$127:$T$127</definedName>
    <definedName name="UnitOfMeasure61">'Бланк заказа'!$T$128:$T$128</definedName>
    <definedName name="UnitOfMeasure62">'Бланк заказа'!$T$129:$T$129</definedName>
    <definedName name="UnitOfMeasure63">'Бланк заказа'!$T$134:$T$134</definedName>
    <definedName name="UnitOfMeasure64">'Бланк заказа'!$T$135:$T$135</definedName>
    <definedName name="UnitOfMeasure65">'Бланк заказа'!$T$136:$T$136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заказа'!$T$152:$T$152</definedName>
    <definedName name="UnitOfMeasure79">'Бланк заказа'!$T$153:$T$153</definedName>
    <definedName name="UnitOfMeasure8">'Бланк заказа'!$T$35:$T$35</definedName>
    <definedName name="UnitOfMeasure80">'Бланк заказа'!$T$157:$T$157</definedName>
    <definedName name="UnitOfMeasure81">'Бланк заказа'!$T$158:$T$158</definedName>
    <definedName name="UnitOfMeasure82">'Бланк заказа'!$T$159:$T$159</definedName>
    <definedName name="UnitOfMeasure83">'Бланк заказа'!$T$160:$T$160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заказа'!$T$176:$T$176</definedName>
    <definedName name="UnitOfMeasure97">'Бланк заказа'!$T$177:$T$177</definedName>
    <definedName name="UnitOfMeasure98">'Бланк заказа'!$T$178:$T$178</definedName>
    <definedName name="UnitOfMeasure99">'Бланк заказа'!$T$179:$T$179</definedName>
    <definedName name="UnloadAddress">'Бланк заказа'!$D$8</definedName>
    <definedName name="UnloadAdressList0001">Setting!$B$8:$B$8</definedName>
    <definedName name="_xlnm._FilterDatabase" localSheetId="0" hidden="1">'Бланк заказа'!$B$18:$W$18</definedName>
  </definedNames>
  <calcPr calcId="181029" fullCalcOnLoad="1" iterateDelta="0.000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0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6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29"/>
  <sheetViews>
    <sheetView showGridLines="0" tabSelected="1" topLeftCell="E401" zoomScale="93" zoomScaleNormal="93" zoomScaleSheetLayoutView="100" workbookViewId="0">
      <selection activeCell="U268" sqref="U268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34">
      <c r="A1" s="48" t="n"/>
      <c r="B1" s="48" t="n"/>
      <c r="C1" s="48" t="n"/>
      <c r="D1" s="296" t="inlineStr">
        <is>
          <t xml:space="preserve">  БЛАНК ЗАКАЗА </t>
        </is>
      </c>
      <c r="G1" s="14" t="inlineStr">
        <is>
          <t>КИ</t>
        </is>
      </c>
      <c r="H1" s="296" t="inlineStr">
        <is>
          <t>на отгрузку продукции с ООО Трейд-Сервис с</t>
        </is>
      </c>
      <c r="O1" s="297" t="inlineStr">
        <is>
          <t>17.07.2023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34">
      <c r="A2" s="34" t="inlineStr">
        <is>
          <t>бланк создан</t>
        </is>
      </c>
      <c r="B2" s="35" t="inlineStr">
        <is>
          <t>13.07.2023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29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34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34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34">
      <c r="A5" s="300" t="inlineStr">
        <is>
          <t xml:space="preserve">Ваш контактный телефон и имя: </t>
        </is>
      </c>
      <c r="B5" s="592" t="n"/>
      <c r="C5" s="593" t="n"/>
      <c r="D5" s="301" t="n"/>
      <c r="E5" s="594" t="n"/>
      <c r="F5" s="302" t="inlineStr">
        <is>
          <t>Комментарий к заказу:</t>
        </is>
      </c>
      <c r="G5" s="593" t="n"/>
      <c r="H5" s="301" t="n"/>
      <c r="I5" s="595" t="n"/>
      <c r="J5" s="595" t="n"/>
      <c r="K5" s="594" t="n"/>
      <c r="M5" s="29" t="inlineStr">
        <is>
          <t>Дата загрузки</t>
        </is>
      </c>
      <c r="N5" s="596" t="n"/>
      <c r="O5" s="597" t="n"/>
      <c r="Q5" s="305" t="inlineStr">
        <is>
          <t>Способ доставки (доставка/самовывоз)</t>
        </is>
      </c>
      <c r="R5" s="598" t="n"/>
      <c r="S5" s="599" t="n"/>
      <c r="T5" s="597" t="n"/>
      <c r="Y5" s="60" t="n"/>
      <c r="Z5" s="60" t="n"/>
      <c r="AA5" s="60" t="n"/>
    </row>
    <row r="6" ht="24" customFormat="1" customHeight="1" s="334">
      <c r="A6" s="300" t="inlineStr">
        <is>
          <t>Адрес доставки:</t>
        </is>
      </c>
      <c r="B6" s="592" t="n"/>
      <c r="C6" s="593" t="n"/>
      <c r="D6" s="308" t="inlineStr">
        <is>
          <t>ПУШКАРНЫЙ В.Т., ИП, Краснодарский край, Краснодар г, Уральская ул, 116,</t>
        </is>
      </c>
      <c r="E6" s="600" t="n"/>
      <c r="F6" s="600" t="n"/>
      <c r="G6" s="600" t="n"/>
      <c r="H6" s="600" t="n"/>
      <c r="I6" s="600" t="n"/>
      <c r="J6" s="600" t="n"/>
      <c r="K6" s="597" t="n"/>
      <c r="M6" s="29" t="inlineStr">
        <is>
          <t>День недели</t>
        </is>
      </c>
      <c r="N6" s="309">
        <f>IF(N5=0," ",CHOOSE(WEEKDAY(N5,2),"Понедельник","Вторник","Среда","Четверг","Пятница","Суббота","Воскресенье"))</f>
        <v/>
      </c>
      <c r="O6" s="601" t="n"/>
      <c r="Q6" s="311" t="inlineStr">
        <is>
          <t>Наименование клиента</t>
        </is>
      </c>
      <c r="R6" s="598" t="n"/>
      <c r="S6" s="602" t="inlineStr">
        <is>
          <t>Индивидуальный предприниматель ПУШКАРНЫЙ ВЛАДИМИР ТИМОФЕЕВИЧ</t>
        </is>
      </c>
      <c r="T6" s="603" t="n"/>
      <c r="Y6" s="60" t="n"/>
      <c r="Z6" s="60" t="n"/>
      <c r="AA6" s="60" t="n"/>
    </row>
    <row r="7" hidden="1" ht="21.75" customFormat="1" customHeight="1" s="334">
      <c r="A7" s="65" t="n"/>
      <c r="B7" s="65" t="n"/>
      <c r="C7" s="65" t="n"/>
      <c r="D7" s="604">
        <f>IFERROR(VLOOKUP(DeliveryAddress,Table,3,0),1)</f>
        <v/>
      </c>
      <c r="E7" s="605" t="n"/>
      <c r="F7" s="605" t="n"/>
      <c r="G7" s="605" t="n"/>
      <c r="H7" s="605" t="n"/>
      <c r="I7" s="605" t="n"/>
      <c r="J7" s="605" t="n"/>
      <c r="K7" s="606" t="n"/>
      <c r="M7" s="29" t="n"/>
      <c r="N7" s="49" t="n"/>
      <c r="O7" s="49" t="n"/>
      <c r="Q7" s="1" t="n"/>
      <c r="R7" s="598" t="n"/>
      <c r="S7" s="607" t="n"/>
      <c r="T7" s="608" t="n"/>
      <c r="Y7" s="60" t="n"/>
      <c r="Z7" s="60" t="n"/>
      <c r="AA7" s="60" t="n"/>
    </row>
    <row r="8" ht="25.5" customFormat="1" customHeight="1" s="334">
      <c r="A8" s="321" t="inlineStr">
        <is>
          <t>Адрес сдачи груза:</t>
        </is>
      </c>
      <c r="B8" s="609" t="n"/>
      <c r="C8" s="610" t="n"/>
      <c r="D8" s="322" t="inlineStr">
        <is>
          <t>350088Российская Федерация, Краснодарский край, Краснодар г, Уральская ул, 116,</t>
        </is>
      </c>
      <c r="E8" s="611" t="n"/>
      <c r="F8" s="611" t="n"/>
      <c r="G8" s="611" t="n"/>
      <c r="H8" s="611" t="n"/>
      <c r="I8" s="611" t="n"/>
      <c r="J8" s="611" t="n"/>
      <c r="K8" s="612" t="n"/>
      <c r="M8" s="29" t="inlineStr">
        <is>
          <t>Время загрузки</t>
        </is>
      </c>
      <c r="N8" s="323" t="n"/>
      <c r="O8" s="597" t="n"/>
      <c r="Q8" s="1" t="n"/>
      <c r="R8" s="598" t="n"/>
      <c r="S8" s="607" t="n"/>
      <c r="T8" s="608" t="n"/>
      <c r="Y8" s="60" t="n"/>
      <c r="Z8" s="60" t="n"/>
      <c r="AA8" s="60" t="n"/>
    </row>
    <row r="9" ht="39.95" customFormat="1" customHeight="1" s="334">
      <c r="A9" s="324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25" t="inlineStr"/>
      <c r="E9" s="3" t="n"/>
      <c r="F9" s="324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27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27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596" t="n"/>
      <c r="O9" s="597" t="n"/>
      <c r="Q9" s="1" t="n"/>
      <c r="R9" s="598" t="n"/>
      <c r="S9" s="613" t="n"/>
      <c r="T9" s="614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34">
      <c r="A10" s="324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25" t="n"/>
      <c r="E10" s="3" t="n"/>
      <c r="F10" s="324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28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23" t="n"/>
      <c r="O10" s="597" t="n"/>
      <c r="R10" s="29" t="inlineStr">
        <is>
          <t>КОД Аксапты Клиента</t>
        </is>
      </c>
      <c r="S10" s="615" t="inlineStr">
        <is>
          <t>59520</t>
        </is>
      </c>
      <c r="T10" s="603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34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23" t="n"/>
      <c r="O11" s="597" t="n"/>
      <c r="R11" s="29" t="inlineStr">
        <is>
          <t>Тип заказа</t>
        </is>
      </c>
      <c r="S11" s="331" t="inlineStr">
        <is>
          <t>Основной заказ</t>
        </is>
      </c>
      <c r="T11" s="616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34">
      <c r="A12" s="332" t="inlineStr">
        <is>
          <t>Телефоны для заказов: 8(919)002-63-01  E-mail: kolbasa@abiproduct.ru  Телефон сотрудников склада: 8 (910) 775-52-91</t>
        </is>
      </c>
      <c r="B12" s="592" t="n"/>
      <c r="C12" s="592" t="n"/>
      <c r="D12" s="592" t="n"/>
      <c r="E12" s="592" t="n"/>
      <c r="F12" s="592" t="n"/>
      <c r="G12" s="592" t="n"/>
      <c r="H12" s="592" t="n"/>
      <c r="I12" s="592" t="n"/>
      <c r="J12" s="592" t="n"/>
      <c r="K12" s="593" t="n"/>
      <c r="M12" s="29" t="inlineStr">
        <is>
          <t>Время доставки 3 машины</t>
        </is>
      </c>
      <c r="N12" s="333" t="n"/>
      <c r="O12" s="606" t="n"/>
      <c r="P12" s="28" t="n"/>
      <c r="R12" s="29" t="inlineStr"/>
      <c r="S12" s="334" t="n"/>
      <c r="T12" s="1" t="n"/>
      <c r="Y12" s="60" t="n"/>
      <c r="Z12" s="60" t="n"/>
      <c r="AA12" s="60" t="n"/>
    </row>
    <row r="13" ht="23.25" customFormat="1" customHeight="1" s="334">
      <c r="A13" s="332" t="inlineStr">
        <is>
          <t>График приема заказов: Заказы принимаются за ДВА дня до отгрузки Пн-Пт: с 9:00 до 14:00, Суб., Вс. - до 12:00</t>
        </is>
      </c>
      <c r="B13" s="592" t="n"/>
      <c r="C13" s="592" t="n"/>
      <c r="D13" s="592" t="n"/>
      <c r="E13" s="592" t="n"/>
      <c r="F13" s="592" t="n"/>
      <c r="G13" s="592" t="n"/>
      <c r="H13" s="592" t="n"/>
      <c r="I13" s="592" t="n"/>
      <c r="J13" s="592" t="n"/>
      <c r="K13" s="593" t="n"/>
      <c r="L13" s="31" t="n"/>
      <c r="M13" s="31" t="inlineStr">
        <is>
          <t>Время доставки 4 машины</t>
        </is>
      </c>
      <c r="N13" s="331" t="n"/>
      <c r="O13" s="616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34">
      <c r="A14" s="332" t="inlineStr">
        <is>
          <t>Телефон менеджера по логистике: 8 (919) 012-30-55 - по вопросам доставки продукции</t>
        </is>
      </c>
      <c r="B14" s="592" t="n"/>
      <c r="C14" s="592" t="n"/>
      <c r="D14" s="592" t="n"/>
      <c r="E14" s="592" t="n"/>
      <c r="F14" s="592" t="n"/>
      <c r="G14" s="592" t="n"/>
      <c r="H14" s="592" t="n"/>
      <c r="I14" s="592" t="n"/>
      <c r="J14" s="592" t="n"/>
      <c r="K14" s="593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34">
      <c r="A15" s="335" t="inlineStr">
        <is>
          <t>Телефон по работе с претензиями/жалобами (WhatSapp): 8 (980) 757-69-93       E-mail: Claims@abiproduct.ru</t>
        </is>
      </c>
      <c r="B15" s="592" t="n"/>
      <c r="C15" s="592" t="n"/>
      <c r="D15" s="592" t="n"/>
      <c r="E15" s="592" t="n"/>
      <c r="F15" s="592" t="n"/>
      <c r="G15" s="592" t="n"/>
      <c r="H15" s="592" t="n"/>
      <c r="I15" s="592" t="n"/>
      <c r="J15" s="592" t="n"/>
      <c r="K15" s="593" t="n"/>
      <c r="M15" s="337" t="inlineStr">
        <is>
          <t>Кликните на продукт, чтобы просмотреть изображение</t>
        </is>
      </c>
      <c r="U15" s="334" t="n"/>
      <c r="V15" s="334" t="n"/>
      <c r="W15" s="334" t="n"/>
      <c r="X15" s="334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17" t="n"/>
      <c r="N16" s="617" t="n"/>
      <c r="O16" s="617" t="n"/>
      <c r="P16" s="617" t="n"/>
      <c r="Q16" s="617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39" t="inlineStr">
        <is>
          <t>Код единицы продаж</t>
        </is>
      </c>
      <c r="B17" s="339" t="inlineStr">
        <is>
          <t>Код продукта</t>
        </is>
      </c>
      <c r="C17" s="340" t="inlineStr">
        <is>
          <t>Номер варианта</t>
        </is>
      </c>
      <c r="D17" s="339" t="inlineStr">
        <is>
          <t xml:space="preserve">Штрих-код </t>
        </is>
      </c>
      <c r="E17" s="618" t="n"/>
      <c r="F17" s="339" t="inlineStr">
        <is>
          <t>Вес нетто штуки, кг</t>
        </is>
      </c>
      <c r="G17" s="339" t="inlineStr">
        <is>
          <t>Кол-во штук в коробе, шт</t>
        </is>
      </c>
      <c r="H17" s="339" t="inlineStr">
        <is>
          <t>Вес нетто короба, кг</t>
        </is>
      </c>
      <c r="I17" s="339" t="inlineStr">
        <is>
          <t>Вес брутто короба, кг</t>
        </is>
      </c>
      <c r="J17" s="339" t="inlineStr">
        <is>
          <t>Кол-во кор. на паллте, шт</t>
        </is>
      </c>
      <c r="K17" s="339" t="inlineStr">
        <is>
          <t>Завод</t>
        </is>
      </c>
      <c r="L17" s="339" t="inlineStr">
        <is>
          <t>Срок годности, сут.</t>
        </is>
      </c>
      <c r="M17" s="339" t="inlineStr">
        <is>
          <t>Наименование</t>
        </is>
      </c>
      <c r="N17" s="619" t="n"/>
      <c r="O17" s="619" t="n"/>
      <c r="P17" s="619" t="n"/>
      <c r="Q17" s="618" t="n"/>
      <c r="R17" s="338" t="inlineStr">
        <is>
          <t>Доступно к отгрузке</t>
        </is>
      </c>
      <c r="S17" s="593" t="n"/>
      <c r="T17" s="339" t="inlineStr">
        <is>
          <t>Ед. изм.</t>
        </is>
      </c>
      <c r="U17" s="339" t="inlineStr">
        <is>
          <t>Заказ</t>
        </is>
      </c>
      <c r="V17" s="343" t="inlineStr">
        <is>
          <t>Заказ с округлением до короба</t>
        </is>
      </c>
      <c r="W17" s="339" t="inlineStr">
        <is>
          <t>Объём заказа, м3</t>
        </is>
      </c>
      <c r="X17" s="345" t="inlineStr">
        <is>
          <t>Примечание по продуктку</t>
        </is>
      </c>
      <c r="Y17" s="345" t="inlineStr">
        <is>
          <t>Признак "НОВИНКА"</t>
        </is>
      </c>
      <c r="Z17" s="345" t="inlineStr">
        <is>
          <t>Для формул</t>
        </is>
      </c>
      <c r="AA17" s="620" t="n"/>
      <c r="AB17" s="621" t="n"/>
      <c r="AC17" s="352" t="inlineStr">
        <is>
          <t>Вид продукции</t>
        </is>
      </c>
    </row>
    <row r="18" ht="14.25" customHeight="1">
      <c r="A18" s="622" t="n"/>
      <c r="B18" s="622" t="n"/>
      <c r="C18" s="622" t="n"/>
      <c r="D18" s="623" t="n"/>
      <c r="E18" s="624" t="n"/>
      <c r="F18" s="622" t="n"/>
      <c r="G18" s="622" t="n"/>
      <c r="H18" s="622" t="n"/>
      <c r="I18" s="622" t="n"/>
      <c r="J18" s="622" t="n"/>
      <c r="K18" s="622" t="n"/>
      <c r="L18" s="622" t="n"/>
      <c r="M18" s="623" t="n"/>
      <c r="N18" s="625" t="n"/>
      <c r="O18" s="625" t="n"/>
      <c r="P18" s="625" t="n"/>
      <c r="Q18" s="624" t="n"/>
      <c r="R18" s="338" t="inlineStr">
        <is>
          <t>начиная с</t>
        </is>
      </c>
      <c r="S18" s="338" t="inlineStr">
        <is>
          <t>до</t>
        </is>
      </c>
      <c r="T18" s="622" t="n"/>
      <c r="U18" s="622" t="n"/>
      <c r="V18" s="626" t="n"/>
      <c r="W18" s="622" t="n"/>
      <c r="X18" s="627" t="n"/>
      <c r="Y18" s="627" t="n"/>
      <c r="Z18" s="628" t="n"/>
      <c r="AA18" s="629" t="n"/>
      <c r="AB18" s="630" t="n"/>
      <c r="AC18" s="631" t="n"/>
    </row>
    <row r="19" ht="27.75" customHeight="1">
      <c r="A19" s="353" t="inlineStr">
        <is>
          <t>Ядрена копоть</t>
        </is>
      </c>
      <c r="B19" s="632" t="n"/>
      <c r="C19" s="632" t="n"/>
      <c r="D19" s="632" t="n"/>
      <c r="E19" s="632" t="n"/>
      <c r="F19" s="632" t="n"/>
      <c r="G19" s="632" t="n"/>
      <c r="H19" s="632" t="n"/>
      <c r="I19" s="632" t="n"/>
      <c r="J19" s="632" t="n"/>
      <c r="K19" s="632" t="n"/>
      <c r="L19" s="632" t="n"/>
      <c r="M19" s="632" t="n"/>
      <c r="N19" s="632" t="n"/>
      <c r="O19" s="632" t="n"/>
      <c r="P19" s="632" t="n"/>
      <c r="Q19" s="632" t="n"/>
      <c r="R19" s="632" t="n"/>
      <c r="S19" s="632" t="n"/>
      <c r="T19" s="632" t="n"/>
      <c r="U19" s="632" t="n"/>
      <c r="V19" s="632" t="n"/>
      <c r="W19" s="632" t="n"/>
      <c r="X19" s="55" t="n"/>
      <c r="Y19" s="55" t="n"/>
    </row>
    <row r="20" ht="16.5" customHeight="1">
      <c r="A20" s="354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54" t="n"/>
      <c r="Y20" s="354" t="n"/>
    </row>
    <row r="21" ht="14.25" customHeight="1">
      <c r="A21" s="355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55" t="n"/>
      <c r="Y21" s="355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56" t="n">
        <v>4607091389258</v>
      </c>
      <c r="E22" s="601" t="n"/>
      <c r="F22" s="633" t="n">
        <v>0.3</v>
      </c>
      <c r="G22" s="38" t="n">
        <v>6</v>
      </c>
      <c r="H22" s="633" t="n">
        <v>1.8</v>
      </c>
      <c r="I22" s="633" t="n">
        <v>2</v>
      </c>
      <c r="J22" s="38" t="n">
        <v>156</v>
      </c>
      <c r="K22" s="39" t="inlineStr">
        <is>
          <t>СК2</t>
        </is>
      </c>
      <c r="L22" s="38" t="n">
        <v>35</v>
      </c>
      <c r="M22" s="634" t="inlineStr">
        <is>
          <t>В/к колбасы Колбаски Бюргерсы Ядрена копоть 0,3 Ядрена копоть</t>
        </is>
      </c>
      <c r="N22" s="635" t="n"/>
      <c r="O22" s="635" t="n"/>
      <c r="P22" s="635" t="n"/>
      <c r="Q22" s="601" t="n"/>
      <c r="R22" s="40" t="inlineStr"/>
      <c r="S22" s="40" t="inlineStr"/>
      <c r="T22" s="41" t="inlineStr">
        <is>
          <t>кг</t>
        </is>
      </c>
      <c r="U22" s="636" t="n">
        <v>0</v>
      </c>
      <c r="V22" s="637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5" t="inlineStr">
        <is>
          <t>КИ</t>
        </is>
      </c>
    </row>
    <row r="23">
      <c r="A23" s="364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38" t="n"/>
      <c r="M23" s="639" t="inlineStr">
        <is>
          <t>Итого</t>
        </is>
      </c>
      <c r="N23" s="609" t="n"/>
      <c r="O23" s="609" t="n"/>
      <c r="P23" s="609" t="n"/>
      <c r="Q23" s="609" t="n"/>
      <c r="R23" s="609" t="n"/>
      <c r="S23" s="610" t="n"/>
      <c r="T23" s="43" t="inlineStr">
        <is>
          <t>кор</t>
        </is>
      </c>
      <c r="U23" s="640">
        <f>IFERROR(U22/H22,"0")</f>
        <v/>
      </c>
      <c r="V23" s="640">
        <f>IFERROR(V22/H22,"0")</f>
        <v/>
      </c>
      <c r="W23" s="640">
        <f>IFERROR(IF(W22="",0,W22),"0")</f>
        <v/>
      </c>
      <c r="X23" s="641" t="n"/>
      <c r="Y23" s="641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38" t="n"/>
      <c r="M24" s="639" t="inlineStr">
        <is>
          <t>Итого</t>
        </is>
      </c>
      <c r="N24" s="609" t="n"/>
      <c r="O24" s="609" t="n"/>
      <c r="P24" s="609" t="n"/>
      <c r="Q24" s="609" t="n"/>
      <c r="R24" s="609" t="n"/>
      <c r="S24" s="610" t="n"/>
      <c r="T24" s="43" t="inlineStr">
        <is>
          <t>кг</t>
        </is>
      </c>
      <c r="U24" s="640">
        <f>IFERROR(SUM(U22:U22),"0")</f>
        <v/>
      </c>
      <c r="V24" s="640">
        <f>IFERROR(SUM(V22:V22),"0")</f>
        <v/>
      </c>
      <c r="W24" s="43" t="n"/>
      <c r="X24" s="641" t="n"/>
      <c r="Y24" s="641" t="n"/>
    </row>
    <row r="25" ht="14.25" customHeight="1">
      <c r="A25" s="355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55" t="n"/>
      <c r="Y25" s="355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56" t="n">
        <v>4607091383881</v>
      </c>
      <c r="E26" s="601" t="n"/>
      <c r="F26" s="633" t="n">
        <v>0.33</v>
      </c>
      <c r="G26" s="38" t="n">
        <v>6</v>
      </c>
      <c r="H26" s="633" t="n">
        <v>1.98</v>
      </c>
      <c r="I26" s="633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4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35" t="n"/>
      <c r="O26" s="635" t="n"/>
      <c r="P26" s="635" t="n"/>
      <c r="Q26" s="601" t="n"/>
      <c r="R26" s="40" t="inlineStr"/>
      <c r="S26" s="40" t="inlineStr"/>
      <c r="T26" s="41" t="inlineStr">
        <is>
          <t>кг</t>
        </is>
      </c>
      <c r="U26" s="636" t="n">
        <v>0</v>
      </c>
      <c r="V26" s="637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6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56" t="n">
        <v>4607091388237</v>
      </c>
      <c r="E27" s="601" t="n"/>
      <c r="F27" s="633" t="n">
        <v>0.42</v>
      </c>
      <c r="G27" s="38" t="n">
        <v>6</v>
      </c>
      <c r="H27" s="633" t="n">
        <v>2.52</v>
      </c>
      <c r="I27" s="633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43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35" t="n"/>
      <c r="O27" s="635" t="n"/>
      <c r="P27" s="635" t="n"/>
      <c r="Q27" s="601" t="n"/>
      <c r="R27" s="40" t="inlineStr"/>
      <c r="S27" s="40" t="inlineStr"/>
      <c r="T27" s="41" t="inlineStr">
        <is>
          <t>кг</t>
        </is>
      </c>
      <c r="U27" s="636" t="n">
        <v>0</v>
      </c>
      <c r="V27" s="637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7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56" t="n">
        <v>4607091383935</v>
      </c>
      <c r="E28" s="601" t="n"/>
      <c r="F28" s="633" t="n">
        <v>0.33</v>
      </c>
      <c r="G28" s="38" t="n">
        <v>6</v>
      </c>
      <c r="H28" s="633" t="n">
        <v>1.98</v>
      </c>
      <c r="I28" s="633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44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35" t="n"/>
      <c r="O28" s="635" t="n"/>
      <c r="P28" s="635" t="n"/>
      <c r="Q28" s="601" t="n"/>
      <c r="R28" s="40" t="inlineStr"/>
      <c r="S28" s="40" t="inlineStr"/>
      <c r="T28" s="41" t="inlineStr">
        <is>
          <t>кг</t>
        </is>
      </c>
      <c r="U28" s="636" t="n">
        <v>0</v>
      </c>
      <c r="V28" s="637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8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56" t="n">
        <v>4680115881853</v>
      </c>
      <c r="E29" s="601" t="n"/>
      <c r="F29" s="633" t="n">
        <v>0.33</v>
      </c>
      <c r="G29" s="38" t="n">
        <v>6</v>
      </c>
      <c r="H29" s="633" t="n">
        <v>1.98</v>
      </c>
      <c r="I29" s="633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45" t="inlineStr">
        <is>
          <t>Сосиски С соусом Барбекю Ядрена копоть Фикс.вес 0,33 ц/о мгс Ядрена копоть</t>
        </is>
      </c>
      <c r="N29" s="635" t="n"/>
      <c r="O29" s="635" t="n"/>
      <c r="P29" s="635" t="n"/>
      <c r="Q29" s="601" t="n"/>
      <c r="R29" s="40" t="inlineStr"/>
      <c r="S29" s="40" t="inlineStr"/>
      <c r="T29" s="41" t="inlineStr">
        <is>
          <t>кг</t>
        </is>
      </c>
      <c r="U29" s="636" t="n">
        <v>0</v>
      </c>
      <c r="V29" s="637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9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56" t="n">
        <v>4607091383911</v>
      </c>
      <c r="E30" s="601" t="n"/>
      <c r="F30" s="633" t="n">
        <v>0.33</v>
      </c>
      <c r="G30" s="38" t="n">
        <v>6</v>
      </c>
      <c r="H30" s="633" t="n">
        <v>1.98</v>
      </c>
      <c r="I30" s="633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46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35" t="n"/>
      <c r="O30" s="635" t="n"/>
      <c r="P30" s="635" t="n"/>
      <c r="Q30" s="601" t="n"/>
      <c r="R30" s="40" t="inlineStr"/>
      <c r="S30" s="40" t="inlineStr"/>
      <c r="T30" s="41" t="inlineStr">
        <is>
          <t>кг</t>
        </is>
      </c>
      <c r="U30" s="636" t="n">
        <v>0</v>
      </c>
      <c r="V30" s="637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80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56" t="n">
        <v>4607091388244</v>
      </c>
      <c r="E31" s="601" t="n"/>
      <c r="F31" s="633" t="n">
        <v>0.42</v>
      </c>
      <c r="G31" s="38" t="n">
        <v>6</v>
      </c>
      <c r="H31" s="633" t="n">
        <v>2.52</v>
      </c>
      <c r="I31" s="633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47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35" t="n"/>
      <c r="O31" s="635" t="n"/>
      <c r="P31" s="635" t="n"/>
      <c r="Q31" s="601" t="n"/>
      <c r="R31" s="40" t="inlineStr"/>
      <c r="S31" s="40" t="inlineStr"/>
      <c r="T31" s="41" t="inlineStr">
        <is>
          <t>кг</t>
        </is>
      </c>
      <c r="U31" s="636" t="n">
        <v>0</v>
      </c>
      <c r="V31" s="637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81" t="inlineStr">
        <is>
          <t>КИ</t>
        </is>
      </c>
    </row>
    <row r="32">
      <c r="A32" s="364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38" t="n"/>
      <c r="M32" s="639" t="inlineStr">
        <is>
          <t>Итого</t>
        </is>
      </c>
      <c r="N32" s="609" t="n"/>
      <c r="O32" s="609" t="n"/>
      <c r="P32" s="609" t="n"/>
      <c r="Q32" s="609" t="n"/>
      <c r="R32" s="609" t="n"/>
      <c r="S32" s="610" t="n"/>
      <c r="T32" s="43" t="inlineStr">
        <is>
          <t>кор</t>
        </is>
      </c>
      <c r="U32" s="640">
        <f>IFERROR(U26/H26,"0")+IFERROR(U27/H27,"0")+IFERROR(U28/H28,"0")+IFERROR(U29/H29,"0")+IFERROR(U30/H30,"0")+IFERROR(U31/H31,"0")</f>
        <v/>
      </c>
      <c r="V32" s="640">
        <f>IFERROR(V26/H26,"0")+IFERROR(V27/H27,"0")+IFERROR(V28/H28,"0")+IFERROR(V29/H29,"0")+IFERROR(V30/H30,"0")+IFERROR(V31/H31,"0")</f>
        <v/>
      </c>
      <c r="W32" s="640">
        <f>IFERROR(IF(W26="",0,W26),"0")+IFERROR(IF(W27="",0,W27),"0")+IFERROR(IF(W28="",0,W28),"0")+IFERROR(IF(W29="",0,W29),"0")+IFERROR(IF(W30="",0,W30),"0")+IFERROR(IF(W31="",0,W31),"0")</f>
        <v/>
      </c>
      <c r="X32" s="641" t="n"/>
      <c r="Y32" s="641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38" t="n"/>
      <c r="M33" s="639" t="inlineStr">
        <is>
          <t>Итого</t>
        </is>
      </c>
      <c r="N33" s="609" t="n"/>
      <c r="O33" s="609" t="n"/>
      <c r="P33" s="609" t="n"/>
      <c r="Q33" s="609" t="n"/>
      <c r="R33" s="609" t="n"/>
      <c r="S33" s="610" t="n"/>
      <c r="T33" s="43" t="inlineStr">
        <is>
          <t>кг</t>
        </is>
      </c>
      <c r="U33" s="640">
        <f>IFERROR(SUM(U26:U31),"0")</f>
        <v/>
      </c>
      <c r="V33" s="640">
        <f>IFERROR(SUM(V26:V31),"0")</f>
        <v/>
      </c>
      <c r="W33" s="43" t="n"/>
      <c r="X33" s="641" t="n"/>
      <c r="Y33" s="641" t="n"/>
    </row>
    <row r="34" ht="14.25" customHeight="1">
      <c r="A34" s="355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55" t="n"/>
      <c r="Y34" s="355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56" t="n">
        <v>4607091388503</v>
      </c>
      <c r="E35" s="601" t="n"/>
      <c r="F35" s="633" t="n">
        <v>0.05</v>
      </c>
      <c r="G35" s="38" t="n">
        <v>12</v>
      </c>
      <c r="H35" s="633" t="n">
        <v>0.6</v>
      </c>
      <c r="I35" s="633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48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35" t="n"/>
      <c r="O35" s="635" t="n"/>
      <c r="P35" s="635" t="n"/>
      <c r="Q35" s="601" t="n"/>
      <c r="R35" s="40" t="inlineStr"/>
      <c r="S35" s="40" t="inlineStr"/>
      <c r="T35" s="41" t="inlineStr">
        <is>
          <t>кг</t>
        </is>
      </c>
      <c r="U35" s="636" t="n">
        <v>0</v>
      </c>
      <c r="V35" s="637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82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56" t="n">
        <v>4680115880139</v>
      </c>
      <c r="E36" s="601" t="n"/>
      <c r="F36" s="633" t="n">
        <v>0.025</v>
      </c>
      <c r="G36" s="38" t="n">
        <v>10</v>
      </c>
      <c r="H36" s="633" t="n">
        <v>0.25</v>
      </c>
      <c r="I36" s="633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49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35" t="n"/>
      <c r="O36" s="635" t="n"/>
      <c r="P36" s="635" t="n"/>
      <c r="Q36" s="601" t="n"/>
      <c r="R36" s="40" t="inlineStr"/>
      <c r="S36" s="40" t="inlineStr"/>
      <c r="T36" s="41" t="inlineStr">
        <is>
          <t>кг</t>
        </is>
      </c>
      <c r="U36" s="636" t="n">
        <v>0</v>
      </c>
      <c r="V36" s="637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3" t="inlineStr">
        <is>
          <t>СНК</t>
        </is>
      </c>
    </row>
    <row r="37">
      <c r="A37" s="364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38" t="n"/>
      <c r="M37" s="639" t="inlineStr">
        <is>
          <t>Итого</t>
        </is>
      </c>
      <c r="N37" s="609" t="n"/>
      <c r="O37" s="609" t="n"/>
      <c r="P37" s="609" t="n"/>
      <c r="Q37" s="609" t="n"/>
      <c r="R37" s="609" t="n"/>
      <c r="S37" s="610" t="n"/>
      <c r="T37" s="43" t="inlineStr">
        <is>
          <t>кор</t>
        </is>
      </c>
      <c r="U37" s="640">
        <f>IFERROR(U35/H35,"0")+IFERROR(U36/H36,"0")</f>
        <v/>
      </c>
      <c r="V37" s="640">
        <f>IFERROR(V35/H35,"0")+IFERROR(V36/H36,"0")</f>
        <v/>
      </c>
      <c r="W37" s="640">
        <f>IFERROR(IF(W35="",0,W35),"0")+IFERROR(IF(W36="",0,W36),"0")</f>
        <v/>
      </c>
      <c r="X37" s="641" t="n"/>
      <c r="Y37" s="641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38" t="n"/>
      <c r="M38" s="639" t="inlineStr">
        <is>
          <t>Итого</t>
        </is>
      </c>
      <c r="N38" s="609" t="n"/>
      <c r="O38" s="609" t="n"/>
      <c r="P38" s="609" t="n"/>
      <c r="Q38" s="609" t="n"/>
      <c r="R38" s="609" t="n"/>
      <c r="S38" s="610" t="n"/>
      <c r="T38" s="43" t="inlineStr">
        <is>
          <t>кг</t>
        </is>
      </c>
      <c r="U38" s="640">
        <f>IFERROR(SUM(U35:U36),"0")</f>
        <v/>
      </c>
      <c r="V38" s="640">
        <f>IFERROR(SUM(V35:V36),"0")</f>
        <v/>
      </c>
      <c r="W38" s="43" t="n"/>
      <c r="X38" s="641" t="n"/>
      <c r="Y38" s="641" t="n"/>
    </row>
    <row r="39" ht="14.25" customHeight="1">
      <c r="A39" s="355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55" t="n"/>
      <c r="Y39" s="355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56" t="n">
        <v>4607091388282</v>
      </c>
      <c r="E40" s="601" t="n"/>
      <c r="F40" s="633" t="n">
        <v>0.3</v>
      </c>
      <c r="G40" s="38" t="n">
        <v>6</v>
      </c>
      <c r="H40" s="633" t="n">
        <v>1.8</v>
      </c>
      <c r="I40" s="633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50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35" t="n"/>
      <c r="O40" s="635" t="n"/>
      <c r="P40" s="635" t="n"/>
      <c r="Q40" s="601" t="n"/>
      <c r="R40" s="40" t="inlineStr"/>
      <c r="S40" s="40" t="inlineStr"/>
      <c r="T40" s="41" t="inlineStr">
        <is>
          <t>кг</t>
        </is>
      </c>
      <c r="U40" s="636" t="n">
        <v>0</v>
      </c>
      <c r="V40" s="637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4" t="inlineStr">
        <is>
          <t>КИ</t>
        </is>
      </c>
    </row>
    <row r="41">
      <c r="A41" s="364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38" t="n"/>
      <c r="M41" s="639" t="inlineStr">
        <is>
          <t>Итого</t>
        </is>
      </c>
      <c r="N41" s="609" t="n"/>
      <c r="O41" s="609" t="n"/>
      <c r="P41" s="609" t="n"/>
      <c r="Q41" s="609" t="n"/>
      <c r="R41" s="609" t="n"/>
      <c r="S41" s="610" t="n"/>
      <c r="T41" s="43" t="inlineStr">
        <is>
          <t>кор</t>
        </is>
      </c>
      <c r="U41" s="640">
        <f>IFERROR(U40/H40,"0")</f>
        <v/>
      </c>
      <c r="V41" s="640">
        <f>IFERROR(V40/H40,"0")</f>
        <v/>
      </c>
      <c r="W41" s="640">
        <f>IFERROR(IF(W40="",0,W40),"0")</f>
        <v/>
      </c>
      <c r="X41" s="641" t="n"/>
      <c r="Y41" s="641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38" t="n"/>
      <c r="M42" s="639" t="inlineStr">
        <is>
          <t>Итого</t>
        </is>
      </c>
      <c r="N42" s="609" t="n"/>
      <c r="O42" s="609" t="n"/>
      <c r="P42" s="609" t="n"/>
      <c r="Q42" s="609" t="n"/>
      <c r="R42" s="609" t="n"/>
      <c r="S42" s="610" t="n"/>
      <c r="T42" s="43" t="inlineStr">
        <is>
          <t>кг</t>
        </is>
      </c>
      <c r="U42" s="640">
        <f>IFERROR(SUM(U40:U40),"0")</f>
        <v/>
      </c>
      <c r="V42" s="640">
        <f>IFERROR(SUM(V40:V40),"0")</f>
        <v/>
      </c>
      <c r="W42" s="43" t="n"/>
      <c r="X42" s="641" t="n"/>
      <c r="Y42" s="641" t="n"/>
    </row>
    <row r="43" ht="14.25" customHeight="1">
      <c r="A43" s="355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55" t="n"/>
      <c r="Y43" s="355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56" t="n">
        <v>4607091389111</v>
      </c>
      <c r="E44" s="601" t="n"/>
      <c r="F44" s="633" t="n">
        <v>0.025</v>
      </c>
      <c r="G44" s="38" t="n">
        <v>10</v>
      </c>
      <c r="H44" s="633" t="n">
        <v>0.25</v>
      </c>
      <c r="I44" s="633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51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35" t="n"/>
      <c r="O44" s="635" t="n"/>
      <c r="P44" s="635" t="n"/>
      <c r="Q44" s="601" t="n"/>
      <c r="R44" s="40" t="inlineStr"/>
      <c r="S44" s="40" t="inlineStr"/>
      <c r="T44" s="41" t="inlineStr">
        <is>
          <t>кг</t>
        </is>
      </c>
      <c r="U44" s="636" t="n">
        <v>0</v>
      </c>
      <c r="V44" s="637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5" t="inlineStr">
        <is>
          <t>СНК</t>
        </is>
      </c>
    </row>
    <row r="45">
      <c r="A45" s="364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38" t="n"/>
      <c r="M45" s="639" t="inlineStr">
        <is>
          <t>Итого</t>
        </is>
      </c>
      <c r="N45" s="609" t="n"/>
      <c r="O45" s="609" t="n"/>
      <c r="P45" s="609" t="n"/>
      <c r="Q45" s="609" t="n"/>
      <c r="R45" s="609" t="n"/>
      <c r="S45" s="610" t="n"/>
      <c r="T45" s="43" t="inlineStr">
        <is>
          <t>кор</t>
        </is>
      </c>
      <c r="U45" s="640">
        <f>IFERROR(U44/H44,"0")</f>
        <v/>
      </c>
      <c r="V45" s="640">
        <f>IFERROR(V44/H44,"0")</f>
        <v/>
      </c>
      <c r="W45" s="640">
        <f>IFERROR(IF(W44="",0,W44),"0")</f>
        <v/>
      </c>
      <c r="X45" s="641" t="n"/>
      <c r="Y45" s="641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38" t="n"/>
      <c r="M46" s="639" t="inlineStr">
        <is>
          <t>Итого</t>
        </is>
      </c>
      <c r="N46" s="609" t="n"/>
      <c r="O46" s="609" t="n"/>
      <c r="P46" s="609" t="n"/>
      <c r="Q46" s="609" t="n"/>
      <c r="R46" s="609" t="n"/>
      <c r="S46" s="610" t="n"/>
      <c r="T46" s="43" t="inlineStr">
        <is>
          <t>кг</t>
        </is>
      </c>
      <c r="U46" s="640">
        <f>IFERROR(SUM(U44:U44),"0")</f>
        <v/>
      </c>
      <c r="V46" s="640">
        <f>IFERROR(SUM(V44:V44),"0")</f>
        <v/>
      </c>
      <c r="W46" s="43" t="n"/>
      <c r="X46" s="641" t="n"/>
      <c r="Y46" s="641" t="n"/>
    </row>
    <row r="47" ht="27.75" customHeight="1">
      <c r="A47" s="353" t="inlineStr">
        <is>
          <t>Вязанка</t>
        </is>
      </c>
      <c r="B47" s="632" t="n"/>
      <c r="C47" s="632" t="n"/>
      <c r="D47" s="632" t="n"/>
      <c r="E47" s="632" t="n"/>
      <c r="F47" s="632" t="n"/>
      <c r="G47" s="632" t="n"/>
      <c r="H47" s="632" t="n"/>
      <c r="I47" s="632" t="n"/>
      <c r="J47" s="632" t="n"/>
      <c r="K47" s="632" t="n"/>
      <c r="L47" s="632" t="n"/>
      <c r="M47" s="632" t="n"/>
      <c r="N47" s="632" t="n"/>
      <c r="O47" s="632" t="n"/>
      <c r="P47" s="632" t="n"/>
      <c r="Q47" s="632" t="n"/>
      <c r="R47" s="632" t="n"/>
      <c r="S47" s="632" t="n"/>
      <c r="T47" s="632" t="n"/>
      <c r="U47" s="632" t="n"/>
      <c r="V47" s="632" t="n"/>
      <c r="W47" s="632" t="n"/>
      <c r="X47" s="55" t="n"/>
      <c r="Y47" s="55" t="n"/>
    </row>
    <row r="48" ht="16.5" customHeight="1">
      <c r="A48" s="354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54" t="n"/>
      <c r="Y48" s="354" t="n"/>
    </row>
    <row r="49" ht="14.25" customHeight="1">
      <c r="A49" s="355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55" t="n"/>
      <c r="Y49" s="355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56" t="n">
        <v>4680115881440</v>
      </c>
      <c r="E50" s="601" t="n"/>
      <c r="F50" s="633" t="n">
        <v>1.35</v>
      </c>
      <c r="G50" s="38" t="n">
        <v>8</v>
      </c>
      <c r="H50" s="633" t="n">
        <v>10.8</v>
      </c>
      <c r="I50" s="633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52">
        <f>HYPERLINK("https://abi.ru/products/Охлажденные/Вязанка/Столичная/Ветчины/P003234/","Ветчины «Филейская» Весовые Вектор ТМ «Вязанка»")</f>
        <v/>
      </c>
      <c r="N50" s="635" t="n"/>
      <c r="O50" s="635" t="n"/>
      <c r="P50" s="635" t="n"/>
      <c r="Q50" s="601" t="n"/>
      <c r="R50" s="40" t="inlineStr"/>
      <c r="S50" s="40" t="inlineStr"/>
      <c r="T50" s="41" t="inlineStr">
        <is>
          <t>кг</t>
        </is>
      </c>
      <c r="U50" s="636" t="n">
        <v>0</v>
      </c>
      <c r="V50" s="637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6" t="inlineStr">
        <is>
          <t>КИ</t>
        </is>
      </c>
    </row>
    <row r="51">
      <c r="A51" s="364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638" t="n"/>
      <c r="M51" s="639" t="inlineStr">
        <is>
          <t>Итого</t>
        </is>
      </c>
      <c r="N51" s="609" t="n"/>
      <c r="O51" s="609" t="n"/>
      <c r="P51" s="609" t="n"/>
      <c r="Q51" s="609" t="n"/>
      <c r="R51" s="609" t="n"/>
      <c r="S51" s="610" t="n"/>
      <c r="T51" s="43" t="inlineStr">
        <is>
          <t>кор</t>
        </is>
      </c>
      <c r="U51" s="640">
        <f>IFERROR(U50/H50,"0")</f>
        <v/>
      </c>
      <c r="V51" s="640">
        <f>IFERROR(V50/H50,"0")</f>
        <v/>
      </c>
      <c r="W51" s="640">
        <f>IFERROR(IF(W50="",0,W50),"0")</f>
        <v/>
      </c>
      <c r="X51" s="641" t="n"/>
      <c r="Y51" s="641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38" t="n"/>
      <c r="M52" s="639" t="inlineStr">
        <is>
          <t>Итого</t>
        </is>
      </c>
      <c r="N52" s="609" t="n"/>
      <c r="O52" s="609" t="n"/>
      <c r="P52" s="609" t="n"/>
      <c r="Q52" s="609" t="n"/>
      <c r="R52" s="609" t="n"/>
      <c r="S52" s="610" t="n"/>
      <c r="T52" s="43" t="inlineStr">
        <is>
          <t>кг</t>
        </is>
      </c>
      <c r="U52" s="640">
        <f>IFERROR(SUM(U50:U50),"0")</f>
        <v/>
      </c>
      <c r="V52" s="640">
        <f>IFERROR(SUM(V50:V50),"0")</f>
        <v/>
      </c>
      <c r="W52" s="43" t="n"/>
      <c r="X52" s="641" t="n"/>
      <c r="Y52" s="641" t="n"/>
    </row>
    <row r="53" ht="16.5" customHeight="1">
      <c r="A53" s="354" t="inlineStr">
        <is>
          <t>Классическая</t>
        </is>
      </c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354" t="n"/>
      <c r="Y53" s="354" t="n"/>
    </row>
    <row r="54" ht="14.25" customHeight="1">
      <c r="A54" s="355" t="inlineStr">
        <is>
          <t>Вареные колбасы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55" t="n"/>
      <c r="Y54" s="355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56" t="n">
        <v>4680115881426</v>
      </c>
      <c r="E55" s="601" t="n"/>
      <c r="F55" s="633" t="n">
        <v>1.35</v>
      </c>
      <c r="G55" s="38" t="n">
        <v>8</v>
      </c>
      <c r="H55" s="633" t="n">
        <v>10.8</v>
      </c>
      <c r="I55" s="633" t="n">
        <v>11.28</v>
      </c>
      <c r="J55" s="38" t="n">
        <v>56</v>
      </c>
      <c r="K55" s="39" t="inlineStr">
        <is>
          <t>СК1</t>
        </is>
      </c>
      <c r="L55" s="38" t="n">
        <v>50</v>
      </c>
      <c r="M55" s="653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5" s="635" t="n"/>
      <c r="O55" s="635" t="n"/>
      <c r="P55" s="635" t="n"/>
      <c r="Q55" s="601" t="n"/>
      <c r="R55" s="40" t="inlineStr"/>
      <c r="S55" s="40" t="inlineStr"/>
      <c r="T55" s="41" t="inlineStr">
        <is>
          <t>кг</t>
        </is>
      </c>
      <c r="U55" s="636" t="n">
        <v>600</v>
      </c>
      <c r="V55" s="637">
        <f>IFERROR(IF(U55="",0,CEILING((U55/$H55),1)*$H55),"")</f>
        <v/>
      </c>
      <c r="W55" s="42">
        <f>IFERROR(IF(V55=0,"",ROUNDUP(V55/H55,0)*0.02175),"")</f>
        <v/>
      </c>
      <c r="X55" s="69" t="inlineStr"/>
      <c r="Y55" s="70" t="inlineStr"/>
      <c r="AC55" s="87" t="inlineStr">
        <is>
          <t>КИ</t>
        </is>
      </c>
    </row>
    <row r="56" ht="27" customHeight="1">
      <c r="A56" s="64" t="inlineStr">
        <is>
          <t>SU002815</t>
        </is>
      </c>
      <c r="B56" s="64" t="inlineStr">
        <is>
          <t>P003227</t>
        </is>
      </c>
      <c r="C56" s="37" t="n">
        <v>4301011437</v>
      </c>
      <c r="D56" s="356" t="n">
        <v>4680115881419</v>
      </c>
      <c r="E56" s="601" t="n"/>
      <c r="F56" s="633" t="n">
        <v>0.45</v>
      </c>
      <c r="G56" s="38" t="n">
        <v>10</v>
      </c>
      <c r="H56" s="633" t="n">
        <v>4.5</v>
      </c>
      <c r="I56" s="633" t="n">
        <v>4.74</v>
      </c>
      <c r="J56" s="38" t="n">
        <v>120</v>
      </c>
      <c r="K56" s="39" t="inlineStr">
        <is>
          <t>СК1</t>
        </is>
      </c>
      <c r="L56" s="38" t="n">
        <v>50</v>
      </c>
      <c r="M56" s="654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6" s="635" t="n"/>
      <c r="O56" s="635" t="n"/>
      <c r="P56" s="635" t="n"/>
      <c r="Q56" s="601" t="n"/>
      <c r="R56" s="40" t="inlineStr"/>
      <c r="S56" s="40" t="inlineStr"/>
      <c r="T56" s="41" t="inlineStr">
        <is>
          <t>кг</t>
        </is>
      </c>
      <c r="U56" s="636" t="n">
        <v>0</v>
      </c>
      <c r="V56" s="637">
        <f>IFERROR(IF(U56="",0,CEILING((U56/$H56),1)*$H56),"")</f>
        <v/>
      </c>
      <c r="W56" s="42">
        <f>IFERROR(IF(V56=0,"",ROUNDUP(V56/H56,0)*0.00937),"")</f>
        <v/>
      </c>
      <c r="X56" s="69" t="inlineStr"/>
      <c r="Y56" s="70" t="inlineStr"/>
      <c r="AC56" s="88" t="inlineStr">
        <is>
          <t>КИ</t>
        </is>
      </c>
    </row>
    <row r="57" ht="27" customHeight="1">
      <c r="A57" s="64" t="inlineStr">
        <is>
          <t>SU002831</t>
        </is>
      </c>
      <c r="B57" s="64" t="inlineStr">
        <is>
          <t>P003243</t>
        </is>
      </c>
      <c r="C57" s="37" t="n">
        <v>4301011458</v>
      </c>
      <c r="D57" s="356" t="n">
        <v>4680115881525</v>
      </c>
      <c r="E57" s="601" t="n"/>
      <c r="F57" s="633" t="n">
        <v>0.4</v>
      </c>
      <c r="G57" s="38" t="n">
        <v>10</v>
      </c>
      <c r="H57" s="633" t="n">
        <v>4</v>
      </c>
      <c r="I57" s="633" t="n">
        <v>4.24</v>
      </c>
      <c r="J57" s="38" t="n">
        <v>120</v>
      </c>
      <c r="K57" s="39" t="inlineStr">
        <is>
          <t>СК1</t>
        </is>
      </c>
      <c r="L57" s="38" t="n">
        <v>50</v>
      </c>
      <c r="M57" s="655" t="inlineStr">
        <is>
          <t>Колбаса вареная Филейская ТМ Вязанка ТС Классическая полиамид ф/в 0,4 кг</t>
        </is>
      </c>
      <c r="N57" s="635" t="n"/>
      <c r="O57" s="635" t="n"/>
      <c r="P57" s="635" t="n"/>
      <c r="Q57" s="601" t="n"/>
      <c r="R57" s="40" t="inlineStr"/>
      <c r="S57" s="40" t="inlineStr"/>
      <c r="T57" s="41" t="inlineStr">
        <is>
          <t>кг</t>
        </is>
      </c>
      <c r="U57" s="636" t="n">
        <v>0</v>
      </c>
      <c r="V57" s="637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9" t="inlineStr">
        <is>
          <t>КИ</t>
        </is>
      </c>
    </row>
    <row r="58">
      <c r="A58" s="364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638" t="n"/>
      <c r="M58" s="639" t="inlineStr">
        <is>
          <t>Итого</t>
        </is>
      </c>
      <c r="N58" s="609" t="n"/>
      <c r="O58" s="609" t="n"/>
      <c r="P58" s="609" t="n"/>
      <c r="Q58" s="609" t="n"/>
      <c r="R58" s="609" t="n"/>
      <c r="S58" s="610" t="n"/>
      <c r="T58" s="43" t="inlineStr">
        <is>
          <t>кор</t>
        </is>
      </c>
      <c r="U58" s="640">
        <f>IFERROR(U55/H55,"0")+IFERROR(U56/H56,"0")+IFERROR(U57/H57,"0")</f>
        <v/>
      </c>
      <c r="V58" s="640">
        <f>IFERROR(V55/H55,"0")+IFERROR(V56/H56,"0")+IFERROR(V57/H57,"0")</f>
        <v/>
      </c>
      <c r="W58" s="640">
        <f>IFERROR(IF(W55="",0,W55),"0")+IFERROR(IF(W56="",0,W56),"0")+IFERROR(IF(W57="",0,W57),"0")</f>
        <v/>
      </c>
      <c r="X58" s="641" t="n"/>
      <c r="Y58" s="641" t="n"/>
    </row>
    <row r="59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38" t="n"/>
      <c r="M59" s="639" t="inlineStr">
        <is>
          <t>Итого</t>
        </is>
      </c>
      <c r="N59" s="609" t="n"/>
      <c r="O59" s="609" t="n"/>
      <c r="P59" s="609" t="n"/>
      <c r="Q59" s="609" t="n"/>
      <c r="R59" s="609" t="n"/>
      <c r="S59" s="610" t="n"/>
      <c r="T59" s="43" t="inlineStr">
        <is>
          <t>кг</t>
        </is>
      </c>
      <c r="U59" s="640">
        <f>IFERROR(SUM(U55:U57),"0")</f>
        <v/>
      </c>
      <c r="V59" s="640">
        <f>IFERROR(SUM(V55:V57),"0")</f>
        <v/>
      </c>
      <c r="W59" s="43" t="n"/>
      <c r="X59" s="641" t="n"/>
      <c r="Y59" s="641" t="n"/>
    </row>
    <row r="60" ht="16.5" customHeight="1">
      <c r="A60" s="354" t="inlineStr">
        <is>
          <t>Вязанка</t>
        </is>
      </c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354" t="n"/>
      <c r="Y60" s="354" t="n"/>
    </row>
    <row r="61" ht="14.25" customHeight="1">
      <c r="A61" s="355" t="inlineStr">
        <is>
          <t>Вареные колбасы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55" t="n"/>
      <c r="Y61" s="355" t="n"/>
    </row>
    <row r="62" ht="27" customHeight="1">
      <c r="A62" s="64" t="inlineStr">
        <is>
          <t>SU000124</t>
        </is>
      </c>
      <c r="B62" s="64" t="inlineStr">
        <is>
          <t>P002478</t>
        </is>
      </c>
      <c r="C62" s="37" t="n">
        <v>4301011191</v>
      </c>
      <c r="D62" s="356" t="n">
        <v>4607091382945</v>
      </c>
      <c r="E62" s="601" t="n"/>
      <c r="F62" s="633" t="n">
        <v>1.35</v>
      </c>
      <c r="G62" s="38" t="n">
        <v>8</v>
      </c>
      <c r="H62" s="633" t="n">
        <v>10.8</v>
      </c>
      <c r="I62" s="633" t="n">
        <v>11.28</v>
      </c>
      <c r="J62" s="38" t="n">
        <v>56</v>
      </c>
      <c r="K62" s="39" t="inlineStr">
        <is>
          <t>СК1</t>
        </is>
      </c>
      <c r="L62" s="38" t="n">
        <v>50</v>
      </c>
      <c r="M62" s="656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2" s="635" t="n"/>
      <c r="O62" s="635" t="n"/>
      <c r="P62" s="635" t="n"/>
      <c r="Q62" s="601" t="n"/>
      <c r="R62" s="40" t="inlineStr"/>
      <c r="S62" s="40" t="inlineStr"/>
      <c r="T62" s="41" t="inlineStr">
        <is>
          <t>кг</t>
        </is>
      </c>
      <c r="U62" s="636" t="n">
        <v>0</v>
      </c>
      <c r="V62" s="637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90" t="inlineStr">
        <is>
          <t>КИ</t>
        </is>
      </c>
    </row>
    <row r="63" ht="27" customHeight="1">
      <c r="A63" s="64" t="inlineStr">
        <is>
          <t>SU000722</t>
        </is>
      </c>
      <c r="B63" s="64" t="inlineStr">
        <is>
          <t>P003011</t>
        </is>
      </c>
      <c r="C63" s="37" t="n">
        <v>4301011380</v>
      </c>
      <c r="D63" s="356" t="n">
        <v>4607091385670</v>
      </c>
      <c r="E63" s="601" t="n"/>
      <c r="F63" s="633" t="n">
        <v>1.35</v>
      </c>
      <c r="G63" s="38" t="n">
        <v>8</v>
      </c>
      <c r="H63" s="633" t="n">
        <v>10.8</v>
      </c>
      <c r="I63" s="633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57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3" s="635" t="n"/>
      <c r="O63" s="635" t="n"/>
      <c r="P63" s="635" t="n"/>
      <c r="Q63" s="601" t="n"/>
      <c r="R63" s="40" t="inlineStr"/>
      <c r="S63" s="40" t="inlineStr"/>
      <c r="T63" s="41" t="inlineStr">
        <is>
          <t>кг</t>
        </is>
      </c>
      <c r="U63" s="636" t="n">
        <v>100</v>
      </c>
      <c r="V63" s="637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91" t="inlineStr">
        <is>
          <t>КИ</t>
        </is>
      </c>
    </row>
    <row r="64" ht="27" customHeight="1">
      <c r="A64" s="64" t="inlineStr">
        <is>
          <t>SU002830</t>
        </is>
      </c>
      <c r="B64" s="64" t="inlineStr">
        <is>
          <t>P003239</t>
        </is>
      </c>
      <c r="C64" s="37" t="n">
        <v>4301011468</v>
      </c>
      <c r="D64" s="356" t="n">
        <v>4680115881327</v>
      </c>
      <c r="E64" s="601" t="n"/>
      <c r="F64" s="633" t="n">
        <v>1.35</v>
      </c>
      <c r="G64" s="38" t="n">
        <v>8</v>
      </c>
      <c r="H64" s="633" t="n">
        <v>10.8</v>
      </c>
      <c r="I64" s="633" t="n">
        <v>11.28</v>
      </c>
      <c r="J64" s="38" t="n">
        <v>56</v>
      </c>
      <c r="K64" s="39" t="inlineStr">
        <is>
          <t>СК4</t>
        </is>
      </c>
      <c r="L64" s="38" t="n">
        <v>50</v>
      </c>
      <c r="M64" s="658">
        <f>HYPERLINK("https://abi.ru/products/Охлажденные/Вязанка/Вязанка/Вареные колбасы/P003239/","Вареные колбасы Молокуша Вязанка Вес п/а Вязанка")</f>
        <v/>
      </c>
      <c r="N64" s="635" t="n"/>
      <c r="O64" s="635" t="n"/>
      <c r="P64" s="635" t="n"/>
      <c r="Q64" s="601" t="n"/>
      <c r="R64" s="40" t="inlineStr"/>
      <c r="S64" s="40" t="inlineStr"/>
      <c r="T64" s="41" t="inlineStr">
        <is>
          <t>кг</t>
        </is>
      </c>
      <c r="U64" s="636" t="n">
        <v>0</v>
      </c>
      <c r="V64" s="637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92" t="inlineStr">
        <is>
          <t>КИ</t>
        </is>
      </c>
    </row>
    <row r="65" ht="16.5" customHeight="1">
      <c r="A65" s="64" t="inlineStr">
        <is>
          <t>SU001904</t>
        </is>
      </c>
      <c r="B65" s="64" t="inlineStr">
        <is>
          <t>P001681</t>
        </is>
      </c>
      <c r="C65" s="37" t="n">
        <v>4301011348</v>
      </c>
      <c r="D65" s="356" t="n">
        <v>4607091388312</v>
      </c>
      <c r="E65" s="601" t="n"/>
      <c r="F65" s="633" t="n">
        <v>1.35</v>
      </c>
      <c r="G65" s="38" t="n">
        <v>8</v>
      </c>
      <c r="H65" s="633" t="n">
        <v>10.8</v>
      </c>
      <c r="I65" s="633" t="n">
        <v>11.28</v>
      </c>
      <c r="J65" s="38" t="n">
        <v>56</v>
      </c>
      <c r="K65" s="39" t="inlineStr">
        <is>
          <t>СК1</t>
        </is>
      </c>
      <c r="L65" s="38" t="n">
        <v>45</v>
      </c>
      <c r="M65" s="659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5" s="635" t="n"/>
      <c r="O65" s="635" t="n"/>
      <c r="P65" s="635" t="n"/>
      <c r="Q65" s="601" t="n"/>
      <c r="R65" s="40" t="inlineStr"/>
      <c r="S65" s="40" t="inlineStr"/>
      <c r="T65" s="41" t="inlineStr">
        <is>
          <t>кг</t>
        </is>
      </c>
      <c r="U65" s="636" t="n">
        <v>0</v>
      </c>
      <c r="V65" s="637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3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56" t="n">
        <v>4680115882133</v>
      </c>
      <c r="E66" s="601" t="n"/>
      <c r="F66" s="633" t="n">
        <v>1.35</v>
      </c>
      <c r="G66" s="38" t="n">
        <v>8</v>
      </c>
      <c r="H66" s="633" t="n">
        <v>10.8</v>
      </c>
      <c r="I66" s="633" t="n">
        <v>11.28</v>
      </c>
      <c r="J66" s="38" t="n">
        <v>56</v>
      </c>
      <c r="K66" s="39" t="inlineStr">
        <is>
          <t>СК1</t>
        </is>
      </c>
      <c r="L66" s="38" t="n">
        <v>50</v>
      </c>
      <c r="M66" s="660" t="inlineStr">
        <is>
          <t>Вареные колбасы "Сливушка" Вес П/а ТМ "Вязанка"</t>
        </is>
      </c>
      <c r="N66" s="635" t="n"/>
      <c r="O66" s="635" t="n"/>
      <c r="P66" s="635" t="n"/>
      <c r="Q66" s="601" t="n"/>
      <c r="R66" s="40" t="inlineStr"/>
      <c r="S66" s="40" t="inlineStr"/>
      <c r="T66" s="41" t="inlineStr">
        <is>
          <t>кг</t>
        </is>
      </c>
      <c r="U66" s="636" t="n">
        <v>0</v>
      </c>
      <c r="V66" s="637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4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56" t="n">
        <v>4607091382952</v>
      </c>
      <c r="E67" s="601" t="n"/>
      <c r="F67" s="633" t="n">
        <v>0.5</v>
      </c>
      <c r="G67" s="38" t="n">
        <v>6</v>
      </c>
      <c r="H67" s="633" t="n">
        <v>3</v>
      </c>
      <c r="I67" s="633" t="n">
        <v>3.2</v>
      </c>
      <c r="J67" s="38" t="n">
        <v>156</v>
      </c>
      <c r="K67" s="39" t="inlineStr">
        <is>
          <t>СК1</t>
        </is>
      </c>
      <c r="L67" s="38" t="n">
        <v>50</v>
      </c>
      <c r="M67" s="66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7" s="635" t="n"/>
      <c r="O67" s="635" t="n"/>
      <c r="P67" s="635" t="n"/>
      <c r="Q67" s="601" t="n"/>
      <c r="R67" s="40" t="inlineStr"/>
      <c r="S67" s="40" t="inlineStr"/>
      <c r="T67" s="41" t="inlineStr">
        <is>
          <t>кг</t>
        </is>
      </c>
      <c r="U67" s="636" t="n">
        <v>0</v>
      </c>
      <c r="V67" s="637">
        <f>IFERROR(IF(U67="",0,CEILING((U67/$H67),1)*$H67),"")</f>
        <v/>
      </c>
      <c r="W67" s="42">
        <f>IFERROR(IF(V67=0,"",ROUNDUP(V67/H67,0)*0.00753),"")</f>
        <v/>
      </c>
      <c r="X67" s="69" t="inlineStr"/>
      <c r="Y67" s="70" t="inlineStr"/>
      <c r="AC67" s="95" t="inlineStr">
        <is>
          <t>КИ</t>
        </is>
      </c>
    </row>
    <row r="68" ht="27" customHeight="1">
      <c r="A68" s="64" t="inlineStr">
        <is>
          <t>SU001485</t>
        </is>
      </c>
      <c r="B68" s="64" t="inlineStr">
        <is>
          <t>P003008</t>
        </is>
      </c>
      <c r="C68" s="37" t="n">
        <v>4301011382</v>
      </c>
      <c r="D68" s="356" t="n">
        <v>4607091385687</v>
      </c>
      <c r="E68" s="601" t="n"/>
      <c r="F68" s="633" t="n">
        <v>0.4</v>
      </c>
      <c r="G68" s="38" t="n">
        <v>10</v>
      </c>
      <c r="H68" s="633" t="n">
        <v>4</v>
      </c>
      <c r="I68" s="633" t="n">
        <v>4.24</v>
      </c>
      <c r="J68" s="38" t="n">
        <v>120</v>
      </c>
      <c r="K68" s="39" t="inlineStr">
        <is>
          <t>СК3</t>
        </is>
      </c>
      <c r="L68" s="38" t="n">
        <v>50</v>
      </c>
      <c r="M68" s="662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8" s="635" t="n"/>
      <c r="O68" s="635" t="n"/>
      <c r="P68" s="635" t="n"/>
      <c r="Q68" s="601" t="n"/>
      <c r="R68" s="40" t="inlineStr"/>
      <c r="S68" s="40" t="inlineStr"/>
      <c r="T68" s="41" t="inlineStr">
        <is>
          <t>кг</t>
        </is>
      </c>
      <c r="U68" s="636" t="n">
        <v>80</v>
      </c>
      <c r="V68" s="637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96" t="inlineStr">
        <is>
          <t>КИ</t>
        </is>
      </c>
    </row>
    <row r="69" ht="27" customHeight="1">
      <c r="A69" s="64" t="inlineStr">
        <is>
          <t>SU002312</t>
        </is>
      </c>
      <c r="B69" s="64" t="inlineStr">
        <is>
          <t>P002577</t>
        </is>
      </c>
      <c r="C69" s="37" t="n">
        <v>4301011344</v>
      </c>
      <c r="D69" s="356" t="n">
        <v>4607091384604</v>
      </c>
      <c r="E69" s="601" t="n"/>
      <c r="F69" s="633" t="n">
        <v>0.4</v>
      </c>
      <c r="G69" s="38" t="n">
        <v>10</v>
      </c>
      <c r="H69" s="633" t="n">
        <v>4</v>
      </c>
      <c r="I69" s="633" t="n">
        <v>4.24</v>
      </c>
      <c r="J69" s="38" t="n">
        <v>120</v>
      </c>
      <c r="K69" s="39" t="inlineStr">
        <is>
          <t>СК1</t>
        </is>
      </c>
      <c r="L69" s="38" t="n">
        <v>50</v>
      </c>
      <c r="M69" s="663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9" s="635" t="n"/>
      <c r="O69" s="635" t="n"/>
      <c r="P69" s="635" t="n"/>
      <c r="Q69" s="601" t="n"/>
      <c r="R69" s="40" t="inlineStr"/>
      <c r="S69" s="40" t="inlineStr"/>
      <c r="T69" s="41" t="inlineStr">
        <is>
          <t>кг</t>
        </is>
      </c>
      <c r="U69" s="636" t="n">
        <v>0</v>
      </c>
      <c r="V69" s="637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7" t="inlineStr">
        <is>
          <t>КИ</t>
        </is>
      </c>
    </row>
    <row r="70" ht="27" customHeight="1">
      <c r="A70" s="64" t="inlineStr">
        <is>
          <t>SU002674</t>
        </is>
      </c>
      <c r="B70" s="64" t="inlineStr">
        <is>
          <t>P003045</t>
        </is>
      </c>
      <c r="C70" s="37" t="n">
        <v>4301011386</v>
      </c>
      <c r="D70" s="356" t="n">
        <v>4680115880283</v>
      </c>
      <c r="E70" s="601" t="n"/>
      <c r="F70" s="633" t="n">
        <v>0.6</v>
      </c>
      <c r="G70" s="38" t="n">
        <v>8</v>
      </c>
      <c r="H70" s="633" t="n">
        <v>4.8</v>
      </c>
      <c r="I70" s="633" t="n">
        <v>5.04</v>
      </c>
      <c r="J70" s="38" t="n">
        <v>120</v>
      </c>
      <c r="K70" s="39" t="inlineStr">
        <is>
          <t>СК1</t>
        </is>
      </c>
      <c r="L70" s="38" t="n">
        <v>45</v>
      </c>
      <c r="M70" s="664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0" s="635" t="n"/>
      <c r="O70" s="635" t="n"/>
      <c r="P70" s="635" t="n"/>
      <c r="Q70" s="601" t="n"/>
      <c r="R70" s="40" t="inlineStr"/>
      <c r="S70" s="40" t="inlineStr"/>
      <c r="T70" s="41" t="inlineStr">
        <is>
          <t>кг</t>
        </is>
      </c>
      <c r="U70" s="636" t="n">
        <v>0</v>
      </c>
      <c r="V70" s="637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8" t="inlineStr">
        <is>
          <t>КИ</t>
        </is>
      </c>
    </row>
    <row r="71" ht="27" customHeight="1">
      <c r="A71" s="64" t="inlineStr">
        <is>
          <t>SU000084</t>
        </is>
      </c>
      <c r="B71" s="64" t="inlineStr">
        <is>
          <t>P003074</t>
        </is>
      </c>
      <c r="C71" s="37" t="n">
        <v>4301011414</v>
      </c>
      <c r="D71" s="356" t="n">
        <v>4607091381986</v>
      </c>
      <c r="E71" s="601" t="n"/>
      <c r="F71" s="633" t="n">
        <v>0.5</v>
      </c>
      <c r="G71" s="38" t="n">
        <v>10</v>
      </c>
      <c r="H71" s="633" t="n">
        <v>5</v>
      </c>
      <c r="I71" s="633" t="n">
        <v>5.24</v>
      </c>
      <c r="J71" s="38" t="n">
        <v>120</v>
      </c>
      <c r="K71" s="39" t="inlineStr">
        <is>
          <t>СК1</t>
        </is>
      </c>
      <c r="L71" s="38" t="n">
        <v>45</v>
      </c>
      <c r="M71" s="665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1" s="635" t="n"/>
      <c r="O71" s="635" t="n"/>
      <c r="P71" s="635" t="n"/>
      <c r="Q71" s="601" t="n"/>
      <c r="R71" s="40" t="inlineStr"/>
      <c r="S71" s="40" t="inlineStr"/>
      <c r="T71" s="41" t="inlineStr">
        <is>
          <t>кг</t>
        </is>
      </c>
      <c r="U71" s="636" t="n">
        <v>0</v>
      </c>
      <c r="V71" s="637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9" t="inlineStr">
        <is>
          <t>КИ</t>
        </is>
      </c>
    </row>
    <row r="72" ht="27" customHeight="1">
      <c r="A72" s="64" t="inlineStr">
        <is>
          <t>SU001905</t>
        </is>
      </c>
      <c r="B72" s="64" t="inlineStr">
        <is>
          <t>P001685</t>
        </is>
      </c>
      <c r="C72" s="37" t="n">
        <v>4301011352</v>
      </c>
      <c r="D72" s="356" t="n">
        <v>4607091388466</v>
      </c>
      <c r="E72" s="601" t="n"/>
      <c r="F72" s="633" t="n">
        <v>0.45</v>
      </c>
      <c r="G72" s="38" t="n">
        <v>6</v>
      </c>
      <c r="H72" s="633" t="n">
        <v>2.7</v>
      </c>
      <c r="I72" s="633" t="n">
        <v>2.9</v>
      </c>
      <c r="J72" s="38" t="n">
        <v>156</v>
      </c>
      <c r="K72" s="39" t="inlineStr">
        <is>
          <t>СК3</t>
        </is>
      </c>
      <c r="L72" s="38" t="n">
        <v>45</v>
      </c>
      <c r="M72" s="666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2" s="635" t="n"/>
      <c r="O72" s="635" t="n"/>
      <c r="P72" s="635" t="n"/>
      <c r="Q72" s="601" t="n"/>
      <c r="R72" s="40" t="inlineStr"/>
      <c r="S72" s="40" t="inlineStr"/>
      <c r="T72" s="41" t="inlineStr">
        <is>
          <t>кг</t>
        </is>
      </c>
      <c r="U72" s="636" t="n">
        <v>0</v>
      </c>
      <c r="V72" s="637">
        <f>IFERROR(IF(U72="",0,CEILING((U72/$H72),1)*$H72),"")</f>
        <v/>
      </c>
      <c r="W72" s="42">
        <f>IFERROR(IF(V72=0,"",ROUNDUP(V72/H72,0)*0.00753),"")</f>
        <v/>
      </c>
      <c r="X72" s="69" t="inlineStr"/>
      <c r="Y72" s="70" t="inlineStr"/>
      <c r="AC72" s="100" t="inlineStr">
        <is>
          <t>КИ</t>
        </is>
      </c>
    </row>
    <row r="73" ht="27" customHeight="1">
      <c r="A73" s="64" t="inlineStr">
        <is>
          <t>SU002733</t>
        </is>
      </c>
      <c r="B73" s="64" t="inlineStr">
        <is>
          <t>P003102</t>
        </is>
      </c>
      <c r="C73" s="37" t="n">
        <v>4301011417</v>
      </c>
      <c r="D73" s="356" t="n">
        <v>4680115880269</v>
      </c>
      <c r="E73" s="601" t="n"/>
      <c r="F73" s="633" t="n">
        <v>0.375</v>
      </c>
      <c r="G73" s="38" t="n">
        <v>10</v>
      </c>
      <c r="H73" s="633" t="n">
        <v>3.75</v>
      </c>
      <c r="I73" s="633" t="n">
        <v>3.99</v>
      </c>
      <c r="J73" s="38" t="n">
        <v>120</v>
      </c>
      <c r="K73" s="39" t="inlineStr">
        <is>
          <t>СК3</t>
        </is>
      </c>
      <c r="L73" s="38" t="n">
        <v>50</v>
      </c>
      <c r="M73" s="667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3" s="635" t="n"/>
      <c r="O73" s="635" t="n"/>
      <c r="P73" s="635" t="n"/>
      <c r="Q73" s="601" t="n"/>
      <c r="R73" s="40" t="inlineStr"/>
      <c r="S73" s="40" t="inlineStr"/>
      <c r="T73" s="41" t="inlineStr">
        <is>
          <t>кг</t>
        </is>
      </c>
      <c r="U73" s="636" t="n">
        <v>0</v>
      </c>
      <c r="V73" s="637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101" t="inlineStr">
        <is>
          <t>КИ</t>
        </is>
      </c>
    </row>
    <row r="74" ht="16.5" customHeight="1">
      <c r="A74" s="64" t="inlineStr">
        <is>
          <t>SU002734</t>
        </is>
      </c>
      <c r="B74" s="64" t="inlineStr">
        <is>
          <t>P003103</t>
        </is>
      </c>
      <c r="C74" s="37" t="n">
        <v>4301011415</v>
      </c>
      <c r="D74" s="356" t="n">
        <v>4680115880429</v>
      </c>
      <c r="E74" s="601" t="n"/>
      <c r="F74" s="633" t="n">
        <v>0.45</v>
      </c>
      <c r="G74" s="38" t="n">
        <v>10</v>
      </c>
      <c r="H74" s="633" t="n">
        <v>4.5</v>
      </c>
      <c r="I74" s="633" t="n">
        <v>4.74</v>
      </c>
      <c r="J74" s="38" t="n">
        <v>120</v>
      </c>
      <c r="K74" s="39" t="inlineStr">
        <is>
          <t>СК3</t>
        </is>
      </c>
      <c r="L74" s="38" t="n">
        <v>50</v>
      </c>
      <c r="M74" s="668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4" s="635" t="n"/>
      <c r="O74" s="635" t="n"/>
      <c r="P74" s="635" t="n"/>
      <c r="Q74" s="601" t="n"/>
      <c r="R74" s="40" t="inlineStr"/>
      <c r="S74" s="40" t="inlineStr"/>
      <c r="T74" s="41" t="inlineStr">
        <is>
          <t>кг</t>
        </is>
      </c>
      <c r="U74" s="636" t="n">
        <v>0</v>
      </c>
      <c r="V74" s="637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102" t="inlineStr">
        <is>
          <t>КИ</t>
        </is>
      </c>
    </row>
    <row r="75" ht="16.5" customHeight="1">
      <c r="A75" s="64" t="inlineStr">
        <is>
          <t>SU002827</t>
        </is>
      </c>
      <c r="B75" s="64" t="inlineStr">
        <is>
          <t>P003233</t>
        </is>
      </c>
      <c r="C75" s="37" t="n">
        <v>4301011462</v>
      </c>
      <c r="D75" s="356" t="n">
        <v>4680115881457</v>
      </c>
      <c r="E75" s="601" t="n"/>
      <c r="F75" s="633" t="n">
        <v>0.75</v>
      </c>
      <c r="G75" s="38" t="n">
        <v>6</v>
      </c>
      <c r="H75" s="633" t="n">
        <v>4.5</v>
      </c>
      <c r="I75" s="633" t="n">
        <v>4.74</v>
      </c>
      <c r="J75" s="38" t="n">
        <v>120</v>
      </c>
      <c r="K75" s="39" t="inlineStr">
        <is>
          <t>СК3</t>
        </is>
      </c>
      <c r="L75" s="38" t="n">
        <v>50</v>
      </c>
      <c r="M75" s="669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5" s="635" t="n"/>
      <c r="O75" s="635" t="n"/>
      <c r="P75" s="635" t="n"/>
      <c r="Q75" s="601" t="n"/>
      <c r="R75" s="40" t="inlineStr"/>
      <c r="S75" s="40" t="inlineStr"/>
      <c r="T75" s="41" t="inlineStr">
        <is>
          <t>кг</t>
        </is>
      </c>
      <c r="U75" s="636" t="n">
        <v>0</v>
      </c>
      <c r="V75" s="637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103" t="inlineStr">
        <is>
          <t>КИ</t>
        </is>
      </c>
    </row>
    <row r="76">
      <c r="A76" s="364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638" t="n"/>
      <c r="M76" s="639" t="inlineStr">
        <is>
          <t>Итого</t>
        </is>
      </c>
      <c r="N76" s="609" t="n"/>
      <c r="O76" s="609" t="n"/>
      <c r="P76" s="609" t="n"/>
      <c r="Q76" s="609" t="n"/>
      <c r="R76" s="609" t="n"/>
      <c r="S76" s="610" t="n"/>
      <c r="T76" s="43" t="inlineStr">
        <is>
          <t>кор</t>
        </is>
      </c>
      <c r="U76" s="640">
        <f>IFERROR(U62/H62,"0")+IFERROR(U63/H63,"0")+IFERROR(U64/H64,"0")+IFERROR(U65/H65,"0")+IFERROR(U66/H66,"0")+IFERROR(U67/H67,"0")+IFERROR(U68/H68,"0")+IFERROR(U69/H69,"0")+IFERROR(U70/H70,"0")+IFERROR(U71/H71,"0")+IFERROR(U72/H72,"0")+IFERROR(U73/H73,"0")+IFERROR(U74/H74,"0")+IFERROR(U75/H75,"0")</f>
        <v/>
      </c>
      <c r="V76" s="640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</f>
        <v/>
      </c>
      <c r="W76" s="640">
        <f>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</f>
        <v/>
      </c>
      <c r="X76" s="641" t="n"/>
      <c r="Y76" s="641" t="n"/>
    </row>
    <row r="77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638" t="n"/>
      <c r="M77" s="639" t="inlineStr">
        <is>
          <t>Итого</t>
        </is>
      </c>
      <c r="N77" s="609" t="n"/>
      <c r="O77" s="609" t="n"/>
      <c r="P77" s="609" t="n"/>
      <c r="Q77" s="609" t="n"/>
      <c r="R77" s="609" t="n"/>
      <c r="S77" s="610" t="n"/>
      <c r="T77" s="43" t="inlineStr">
        <is>
          <t>кг</t>
        </is>
      </c>
      <c r="U77" s="640">
        <f>IFERROR(SUM(U62:U75),"0")</f>
        <v/>
      </c>
      <c r="V77" s="640">
        <f>IFERROR(SUM(V62:V75),"0")</f>
        <v/>
      </c>
      <c r="W77" s="43" t="n"/>
      <c r="X77" s="641" t="n"/>
      <c r="Y77" s="641" t="n"/>
    </row>
    <row r="78" ht="14.25" customHeight="1">
      <c r="A78" s="355" t="inlineStr">
        <is>
          <t>Ветчины</t>
        </is>
      </c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355" t="n"/>
      <c r="Y78" s="355" t="n"/>
    </row>
    <row r="79" ht="16.5" customHeight="1">
      <c r="A79" s="64" t="inlineStr">
        <is>
          <t>SU001944</t>
        </is>
      </c>
      <c r="B79" s="64" t="inlineStr">
        <is>
          <t>P001620</t>
        </is>
      </c>
      <c r="C79" s="37" t="n">
        <v>4301020204</v>
      </c>
      <c r="D79" s="356" t="n">
        <v>4607091388442</v>
      </c>
      <c r="E79" s="601" t="n"/>
      <c r="F79" s="633" t="n">
        <v>1.35</v>
      </c>
      <c r="G79" s="38" t="n">
        <v>8</v>
      </c>
      <c r="H79" s="633" t="n">
        <v>10.8</v>
      </c>
      <c r="I79" s="633" t="n">
        <v>11.28</v>
      </c>
      <c r="J79" s="38" t="n">
        <v>56</v>
      </c>
      <c r="K79" s="39" t="inlineStr">
        <is>
          <t>СК1</t>
        </is>
      </c>
      <c r="L79" s="38" t="n">
        <v>45</v>
      </c>
      <c r="M79" s="670">
        <f>HYPERLINK("https://abi.ru/products/Охлажденные/Вязанка/Вязанка/Ветчины/P001620/","Ветчины Вязанка с индейкой Вязанка Весовые Вектор Вязанка")</f>
        <v/>
      </c>
      <c r="N79" s="635" t="n"/>
      <c r="O79" s="635" t="n"/>
      <c r="P79" s="635" t="n"/>
      <c r="Q79" s="601" t="n"/>
      <c r="R79" s="40" t="inlineStr"/>
      <c r="S79" s="40" t="inlineStr"/>
      <c r="T79" s="41" t="inlineStr">
        <is>
          <t>кг</t>
        </is>
      </c>
      <c r="U79" s="636" t="n">
        <v>0</v>
      </c>
      <c r="V79" s="637">
        <f>IFERROR(IF(U79="",0,CEILING((U79/$H79),1)*$H79),"")</f>
        <v/>
      </c>
      <c r="W79" s="42">
        <f>IFERROR(IF(V79=0,"",ROUNDUP(V79/H79,0)*0.02175),"")</f>
        <v/>
      </c>
      <c r="X79" s="69" t="inlineStr"/>
      <c r="Y79" s="70" t="inlineStr"/>
      <c r="AC79" s="104" t="inlineStr">
        <is>
          <t>КИ</t>
        </is>
      </c>
    </row>
    <row r="80" ht="27" customHeight="1">
      <c r="A80" s="64" t="inlineStr">
        <is>
          <t>SU002488</t>
        </is>
      </c>
      <c r="B80" s="64" t="inlineStr">
        <is>
          <t>P002800</t>
        </is>
      </c>
      <c r="C80" s="37" t="n">
        <v>4301020189</v>
      </c>
      <c r="D80" s="356" t="n">
        <v>4607091384789</v>
      </c>
      <c r="E80" s="601" t="n"/>
      <c r="F80" s="633" t="n">
        <v>1</v>
      </c>
      <c r="G80" s="38" t="n">
        <v>6</v>
      </c>
      <c r="H80" s="633" t="n">
        <v>6</v>
      </c>
      <c r="I80" s="633" t="n">
        <v>6.36</v>
      </c>
      <c r="J80" s="38" t="n">
        <v>104</v>
      </c>
      <c r="K80" s="39" t="inlineStr">
        <is>
          <t>СК1</t>
        </is>
      </c>
      <c r="L80" s="38" t="n">
        <v>45</v>
      </c>
      <c r="M80" s="671" t="inlineStr">
        <is>
          <t>Ветчины Запекуша с сочным окороком Вязанка Весовые П/а Вязанка</t>
        </is>
      </c>
      <c r="N80" s="635" t="n"/>
      <c r="O80" s="635" t="n"/>
      <c r="P80" s="635" t="n"/>
      <c r="Q80" s="601" t="n"/>
      <c r="R80" s="40" t="inlineStr"/>
      <c r="S80" s="40" t="inlineStr"/>
      <c r="T80" s="41" t="inlineStr">
        <is>
          <t>кг</t>
        </is>
      </c>
      <c r="U80" s="636" t="n">
        <v>0</v>
      </c>
      <c r="V80" s="637">
        <f>IFERROR(IF(U80="",0,CEILING((U80/$H80),1)*$H80),"")</f>
        <v/>
      </c>
      <c r="W80" s="42">
        <f>IFERROR(IF(V80=0,"",ROUNDUP(V80/H80,0)*0.01196),"")</f>
        <v/>
      </c>
      <c r="X80" s="69" t="inlineStr"/>
      <c r="Y80" s="70" t="inlineStr"/>
      <c r="AC80" s="105" t="inlineStr">
        <is>
          <t>КИ</t>
        </is>
      </c>
    </row>
    <row r="81" ht="16.5" customHeight="1">
      <c r="A81" s="64" t="inlineStr">
        <is>
          <t>SU002833</t>
        </is>
      </c>
      <c r="B81" s="64" t="inlineStr">
        <is>
          <t>P003236</t>
        </is>
      </c>
      <c r="C81" s="37" t="n">
        <v>4301020235</v>
      </c>
      <c r="D81" s="356" t="n">
        <v>4680115881488</v>
      </c>
      <c r="E81" s="601" t="n"/>
      <c r="F81" s="633" t="n">
        <v>1.35</v>
      </c>
      <c r="G81" s="38" t="n">
        <v>8</v>
      </c>
      <c r="H81" s="633" t="n">
        <v>10.8</v>
      </c>
      <c r="I81" s="633" t="n">
        <v>11.28</v>
      </c>
      <c r="J81" s="38" t="n">
        <v>48</v>
      </c>
      <c r="K81" s="39" t="inlineStr">
        <is>
          <t>СК1</t>
        </is>
      </c>
      <c r="L81" s="38" t="n">
        <v>50</v>
      </c>
      <c r="M81" s="672">
        <f>HYPERLINK("https://abi.ru/products/Охлажденные/Вязанка/Вязанка/Ветчины/P003236/","Ветчины Сливушка с индейкой Вязанка вес П/а Вязанка")</f>
        <v/>
      </c>
      <c r="N81" s="635" t="n"/>
      <c r="O81" s="635" t="n"/>
      <c r="P81" s="635" t="n"/>
      <c r="Q81" s="601" t="n"/>
      <c r="R81" s="40" t="inlineStr"/>
      <c r="S81" s="40" t="inlineStr"/>
      <c r="T81" s="41" t="inlineStr">
        <is>
          <t>кг</t>
        </is>
      </c>
      <c r="U81" s="636" t="n">
        <v>0</v>
      </c>
      <c r="V81" s="637">
        <f>IFERROR(IF(U81="",0,CEILING((U81/$H81),1)*$H81),"")</f>
        <v/>
      </c>
      <c r="W81" s="42">
        <f>IFERROR(IF(V81=0,"",ROUNDUP(V81/H81,0)*0.02175),"")</f>
        <v/>
      </c>
      <c r="X81" s="69" t="inlineStr"/>
      <c r="Y81" s="70" t="inlineStr"/>
      <c r="AC81" s="106" t="inlineStr">
        <is>
          <t>КИ</t>
        </is>
      </c>
    </row>
    <row r="82" ht="27" customHeight="1">
      <c r="A82" s="64" t="inlineStr">
        <is>
          <t>SU002313</t>
        </is>
      </c>
      <c r="B82" s="64" t="inlineStr">
        <is>
          <t>P002583</t>
        </is>
      </c>
      <c r="C82" s="37" t="n">
        <v>4301020183</v>
      </c>
      <c r="D82" s="356" t="n">
        <v>4607091384765</v>
      </c>
      <c r="E82" s="601" t="n"/>
      <c r="F82" s="633" t="n">
        <v>0.42</v>
      </c>
      <c r="G82" s="38" t="n">
        <v>6</v>
      </c>
      <c r="H82" s="633" t="n">
        <v>2.52</v>
      </c>
      <c r="I82" s="633" t="n">
        <v>2.72</v>
      </c>
      <c r="J82" s="38" t="n">
        <v>156</v>
      </c>
      <c r="K82" s="39" t="inlineStr">
        <is>
          <t>СК1</t>
        </is>
      </c>
      <c r="L82" s="38" t="n">
        <v>45</v>
      </c>
      <c r="M82" s="673" t="inlineStr">
        <is>
          <t>Ветчины Запекуша с сочным окороком Вязанка Фикс.вес 0,42 п/а Вязанка</t>
        </is>
      </c>
      <c r="N82" s="635" t="n"/>
      <c r="O82" s="635" t="n"/>
      <c r="P82" s="635" t="n"/>
      <c r="Q82" s="601" t="n"/>
      <c r="R82" s="40" t="inlineStr"/>
      <c r="S82" s="40" t="inlineStr"/>
      <c r="T82" s="41" t="inlineStr">
        <is>
          <t>кг</t>
        </is>
      </c>
      <c r="U82" s="636" t="n">
        <v>0</v>
      </c>
      <c r="V82" s="637">
        <f>IFERROR(IF(U82="",0,CEILING((U82/$H82),1)*$H82),"")</f>
        <v/>
      </c>
      <c r="W82" s="42">
        <f>IFERROR(IF(V82=0,"",ROUNDUP(V82/H82,0)*0.00753),"")</f>
        <v/>
      </c>
      <c r="X82" s="69" t="inlineStr"/>
      <c r="Y82" s="70" t="inlineStr"/>
      <c r="AC82" s="107" t="inlineStr">
        <is>
          <t>КИ</t>
        </is>
      </c>
    </row>
    <row r="83" ht="27" customHeight="1">
      <c r="A83" s="64" t="inlineStr">
        <is>
          <t>SU002735</t>
        </is>
      </c>
      <c r="B83" s="64" t="inlineStr">
        <is>
          <t>P003107</t>
        </is>
      </c>
      <c r="C83" s="37" t="n">
        <v>4301020217</v>
      </c>
      <c r="D83" s="356" t="n">
        <v>4680115880658</v>
      </c>
      <c r="E83" s="601" t="n"/>
      <c r="F83" s="633" t="n">
        <v>0.4</v>
      </c>
      <c r="G83" s="38" t="n">
        <v>6</v>
      </c>
      <c r="H83" s="633" t="n">
        <v>2.4</v>
      </c>
      <c r="I83" s="633" t="n">
        <v>2.6</v>
      </c>
      <c r="J83" s="38" t="n">
        <v>156</v>
      </c>
      <c r="K83" s="39" t="inlineStr">
        <is>
          <t>СК1</t>
        </is>
      </c>
      <c r="L83" s="38" t="n">
        <v>50</v>
      </c>
      <c r="M83" s="674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3" s="635" t="n"/>
      <c r="O83" s="635" t="n"/>
      <c r="P83" s="635" t="n"/>
      <c r="Q83" s="601" t="n"/>
      <c r="R83" s="40" t="inlineStr"/>
      <c r="S83" s="40" t="inlineStr"/>
      <c r="T83" s="41" t="inlineStr">
        <is>
          <t>кг</t>
        </is>
      </c>
      <c r="U83" s="636" t="n">
        <v>0</v>
      </c>
      <c r="V83" s="637">
        <f>IFERROR(IF(U83="",0,CEILING((U83/$H83),1)*$H83),"")</f>
        <v/>
      </c>
      <c r="W83" s="42">
        <f>IFERROR(IF(V83=0,"",ROUNDUP(V83/H83,0)*0.00753),"")</f>
        <v/>
      </c>
      <c r="X83" s="69" t="inlineStr"/>
      <c r="Y83" s="70" t="inlineStr"/>
      <c r="AC83" s="108" t="inlineStr">
        <is>
          <t>КИ</t>
        </is>
      </c>
    </row>
    <row r="84" ht="27" customHeight="1">
      <c r="A84" s="64" t="inlineStr">
        <is>
          <t>SU000082</t>
        </is>
      </c>
      <c r="B84" s="64" t="inlineStr">
        <is>
          <t>P003164</t>
        </is>
      </c>
      <c r="C84" s="37" t="n">
        <v>4301020223</v>
      </c>
      <c r="D84" s="356" t="n">
        <v>4607091381962</v>
      </c>
      <c r="E84" s="601" t="n"/>
      <c r="F84" s="633" t="n">
        <v>0.5</v>
      </c>
      <c r="G84" s="38" t="n">
        <v>6</v>
      </c>
      <c r="H84" s="633" t="n">
        <v>3</v>
      </c>
      <c r="I84" s="633" t="n">
        <v>3.2</v>
      </c>
      <c r="J84" s="38" t="n">
        <v>156</v>
      </c>
      <c r="K84" s="39" t="inlineStr">
        <is>
          <t>СК1</t>
        </is>
      </c>
      <c r="L84" s="38" t="n">
        <v>50</v>
      </c>
      <c r="M84" s="675">
        <f>HYPERLINK("https://abi.ru/products/Охлажденные/Вязанка/Вязанка/Ветчины/P003164/","Ветчины Столичная Вязанка Фикс.вес 0,5 Вектор Вязанка")</f>
        <v/>
      </c>
      <c r="N84" s="635" t="n"/>
      <c r="O84" s="635" t="n"/>
      <c r="P84" s="635" t="n"/>
      <c r="Q84" s="601" t="n"/>
      <c r="R84" s="40" t="inlineStr"/>
      <c r="S84" s="40" t="inlineStr"/>
      <c r="T84" s="41" t="inlineStr">
        <is>
          <t>кг</t>
        </is>
      </c>
      <c r="U84" s="636" t="n">
        <v>300</v>
      </c>
      <c r="V84" s="637">
        <f>IFERROR(IF(U84="",0,CEILING((U84/$H84),1)*$H84),"")</f>
        <v/>
      </c>
      <c r="W84" s="42">
        <f>IFERROR(IF(V84=0,"",ROUNDUP(V84/H84,0)*0.00753),"")</f>
        <v/>
      </c>
      <c r="X84" s="69" t="inlineStr"/>
      <c r="Y84" s="70" t="inlineStr"/>
      <c r="AC84" s="109" t="inlineStr">
        <is>
          <t>КИ</t>
        </is>
      </c>
    </row>
    <row r="85">
      <c r="A85" s="364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638" t="n"/>
      <c r="M85" s="639" t="inlineStr">
        <is>
          <t>Итого</t>
        </is>
      </c>
      <c r="N85" s="609" t="n"/>
      <c r="O85" s="609" t="n"/>
      <c r="P85" s="609" t="n"/>
      <c r="Q85" s="609" t="n"/>
      <c r="R85" s="609" t="n"/>
      <c r="S85" s="610" t="n"/>
      <c r="T85" s="43" t="inlineStr">
        <is>
          <t>кор</t>
        </is>
      </c>
      <c r="U85" s="640">
        <f>IFERROR(U79/H79,"0")+IFERROR(U80/H80,"0")+IFERROR(U81/H81,"0")+IFERROR(U82/H82,"0")+IFERROR(U83/H83,"0")+IFERROR(U84/H84,"0")</f>
        <v/>
      </c>
      <c r="V85" s="640">
        <f>IFERROR(V79/H79,"0")+IFERROR(V80/H80,"0")+IFERROR(V81/H81,"0")+IFERROR(V82/H82,"0")+IFERROR(V83/H83,"0")+IFERROR(V84/H84,"0")</f>
        <v/>
      </c>
      <c r="W85" s="640">
        <f>IFERROR(IF(W79="",0,W79),"0")+IFERROR(IF(W80="",0,W80),"0")+IFERROR(IF(W81="",0,W81),"0")+IFERROR(IF(W82="",0,W82),"0")+IFERROR(IF(W83="",0,W83),"0")+IFERROR(IF(W84="",0,W84),"0")</f>
        <v/>
      </c>
      <c r="X85" s="641" t="n"/>
      <c r="Y85" s="641" t="n"/>
    </row>
    <row r="86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638" t="n"/>
      <c r="M86" s="639" t="inlineStr">
        <is>
          <t>Итого</t>
        </is>
      </c>
      <c r="N86" s="609" t="n"/>
      <c r="O86" s="609" t="n"/>
      <c r="P86" s="609" t="n"/>
      <c r="Q86" s="609" t="n"/>
      <c r="R86" s="609" t="n"/>
      <c r="S86" s="610" t="n"/>
      <c r="T86" s="43" t="inlineStr">
        <is>
          <t>кг</t>
        </is>
      </c>
      <c r="U86" s="640">
        <f>IFERROR(SUM(U79:U84),"0")</f>
        <v/>
      </c>
      <c r="V86" s="640">
        <f>IFERROR(SUM(V79:V84),"0")</f>
        <v/>
      </c>
      <c r="W86" s="43" t="n"/>
      <c r="X86" s="641" t="n"/>
      <c r="Y86" s="641" t="n"/>
    </row>
    <row r="87" ht="14.25" customHeight="1">
      <c r="A87" s="355" t="inlineStr">
        <is>
          <t>Копченые колбасы</t>
        </is>
      </c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355" t="n"/>
      <c r="Y87" s="355" t="n"/>
    </row>
    <row r="88" ht="16.5" customHeight="1">
      <c r="A88" s="64" t="inlineStr">
        <is>
          <t>SU000064</t>
        </is>
      </c>
      <c r="B88" s="64" t="inlineStr">
        <is>
          <t>P001841</t>
        </is>
      </c>
      <c r="C88" s="37" t="n">
        <v>4301030895</v>
      </c>
      <c r="D88" s="356" t="n">
        <v>4607091387667</v>
      </c>
      <c r="E88" s="601" t="n"/>
      <c r="F88" s="633" t="n">
        <v>0.9</v>
      </c>
      <c r="G88" s="38" t="n">
        <v>10</v>
      </c>
      <c r="H88" s="633" t="n">
        <v>9</v>
      </c>
      <c r="I88" s="633" t="n">
        <v>9.630000000000001</v>
      </c>
      <c r="J88" s="38" t="n">
        <v>56</v>
      </c>
      <c r="K88" s="39" t="inlineStr">
        <is>
          <t>СК1</t>
        </is>
      </c>
      <c r="L88" s="38" t="n">
        <v>40</v>
      </c>
      <c r="M88" s="676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8" s="635" t="n"/>
      <c r="O88" s="635" t="n"/>
      <c r="P88" s="635" t="n"/>
      <c r="Q88" s="601" t="n"/>
      <c r="R88" s="40" t="inlineStr"/>
      <c r="S88" s="40" t="inlineStr"/>
      <c r="T88" s="41" t="inlineStr">
        <is>
          <t>кг</t>
        </is>
      </c>
      <c r="U88" s="636" t="n">
        <v>0</v>
      </c>
      <c r="V88" s="637">
        <f>IFERROR(IF(U88="",0,CEILING((U88/$H88),1)*$H88),"")</f>
        <v/>
      </c>
      <c r="W88" s="42">
        <f>IFERROR(IF(V88=0,"",ROUNDUP(V88/H88,0)*0.02175),"")</f>
        <v/>
      </c>
      <c r="X88" s="69" t="inlineStr"/>
      <c r="Y88" s="70" t="inlineStr"/>
      <c r="AC88" s="110" t="inlineStr">
        <is>
          <t>КИ</t>
        </is>
      </c>
    </row>
    <row r="89" ht="27" customHeight="1">
      <c r="A89" s="64" t="inlineStr">
        <is>
          <t>SU000664</t>
        </is>
      </c>
      <c r="B89" s="64" t="inlineStr">
        <is>
          <t>P002177</t>
        </is>
      </c>
      <c r="C89" s="37" t="n">
        <v>4301030961</v>
      </c>
      <c r="D89" s="356" t="n">
        <v>4607091387636</v>
      </c>
      <c r="E89" s="601" t="n"/>
      <c r="F89" s="633" t="n">
        <v>0.7</v>
      </c>
      <c r="G89" s="38" t="n">
        <v>6</v>
      </c>
      <c r="H89" s="633" t="n">
        <v>4.2</v>
      </c>
      <c r="I89" s="633" t="n">
        <v>4.5</v>
      </c>
      <c r="J89" s="38" t="n">
        <v>120</v>
      </c>
      <c r="K89" s="39" t="inlineStr">
        <is>
          <t>СК2</t>
        </is>
      </c>
      <c r="L89" s="38" t="n">
        <v>40</v>
      </c>
      <c r="M89" s="677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9" s="635" t="n"/>
      <c r="O89" s="635" t="n"/>
      <c r="P89" s="635" t="n"/>
      <c r="Q89" s="601" t="n"/>
      <c r="R89" s="40" t="inlineStr"/>
      <c r="S89" s="40" t="inlineStr"/>
      <c r="T89" s="41" t="inlineStr">
        <is>
          <t>кг</t>
        </is>
      </c>
      <c r="U89" s="636" t="n">
        <v>0</v>
      </c>
      <c r="V89" s="637">
        <f>IFERROR(IF(U89="",0,CEILING((U89/$H89),1)*$H89),"")</f>
        <v/>
      </c>
      <c r="W89" s="42">
        <f>IFERROR(IF(V89=0,"",ROUNDUP(V89/H89,0)*0.00937),"")</f>
        <v/>
      </c>
      <c r="X89" s="69" t="inlineStr"/>
      <c r="Y89" s="70" t="inlineStr"/>
      <c r="AC89" s="111" t="inlineStr">
        <is>
          <t>КИ</t>
        </is>
      </c>
    </row>
    <row r="90" ht="27" customHeight="1">
      <c r="A90" s="64" t="inlineStr">
        <is>
          <t>SU002308</t>
        </is>
      </c>
      <c r="B90" s="64" t="inlineStr">
        <is>
          <t>P002572</t>
        </is>
      </c>
      <c r="C90" s="37" t="n">
        <v>4301031078</v>
      </c>
      <c r="D90" s="356" t="n">
        <v>4607091384727</v>
      </c>
      <c r="E90" s="601" t="n"/>
      <c r="F90" s="633" t="n">
        <v>0.8</v>
      </c>
      <c r="G90" s="38" t="n">
        <v>6</v>
      </c>
      <c r="H90" s="633" t="n">
        <v>4.8</v>
      </c>
      <c r="I90" s="633" t="n">
        <v>5.16</v>
      </c>
      <c r="J90" s="38" t="n">
        <v>104</v>
      </c>
      <c r="K90" s="39" t="inlineStr">
        <is>
          <t>СК2</t>
        </is>
      </c>
      <c r="L90" s="38" t="n">
        <v>45</v>
      </c>
      <c r="M90" s="678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0" s="635" t="n"/>
      <c r="O90" s="635" t="n"/>
      <c r="P90" s="635" t="n"/>
      <c r="Q90" s="601" t="n"/>
      <c r="R90" s="40" t="inlineStr"/>
      <c r="S90" s="40" t="inlineStr"/>
      <c r="T90" s="41" t="inlineStr">
        <is>
          <t>кг</t>
        </is>
      </c>
      <c r="U90" s="636" t="n">
        <v>0</v>
      </c>
      <c r="V90" s="637">
        <f>IFERROR(IF(U90="",0,CEILING((U90/$H90),1)*$H90),"")</f>
        <v/>
      </c>
      <c r="W90" s="42">
        <f>IFERROR(IF(V90=0,"",ROUNDUP(V90/H90,0)*0.01196),"")</f>
        <v/>
      </c>
      <c r="X90" s="69" t="inlineStr"/>
      <c r="Y90" s="70" t="inlineStr"/>
      <c r="AC90" s="112" t="inlineStr">
        <is>
          <t>КИ</t>
        </is>
      </c>
    </row>
    <row r="91" ht="27" customHeight="1">
      <c r="A91" s="64" t="inlineStr">
        <is>
          <t>SU002310</t>
        </is>
      </c>
      <c r="B91" s="64" t="inlineStr">
        <is>
          <t>P002574</t>
        </is>
      </c>
      <c r="C91" s="37" t="n">
        <v>4301031080</v>
      </c>
      <c r="D91" s="356" t="n">
        <v>4607091386745</v>
      </c>
      <c r="E91" s="601" t="n"/>
      <c r="F91" s="633" t="n">
        <v>0.8</v>
      </c>
      <c r="G91" s="38" t="n">
        <v>6</v>
      </c>
      <c r="H91" s="633" t="n">
        <v>4.8</v>
      </c>
      <c r="I91" s="633" t="n">
        <v>5.16</v>
      </c>
      <c r="J91" s="38" t="n">
        <v>104</v>
      </c>
      <c r="K91" s="39" t="inlineStr">
        <is>
          <t>СК2</t>
        </is>
      </c>
      <c r="L91" s="38" t="n">
        <v>45</v>
      </c>
      <c r="M91" s="679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1" s="635" t="n"/>
      <c r="O91" s="635" t="n"/>
      <c r="P91" s="635" t="n"/>
      <c r="Q91" s="601" t="n"/>
      <c r="R91" s="40" t="inlineStr"/>
      <c r="S91" s="40" t="inlineStr"/>
      <c r="T91" s="41" t="inlineStr">
        <is>
          <t>кг</t>
        </is>
      </c>
      <c r="U91" s="636" t="n">
        <v>0</v>
      </c>
      <c r="V91" s="637">
        <f>IFERROR(IF(U91="",0,CEILING((U91/$H91),1)*$H91),"")</f>
        <v/>
      </c>
      <c r="W91" s="42">
        <f>IFERROR(IF(V91=0,"",ROUNDUP(V91/H91,0)*0.01196),"")</f>
        <v/>
      </c>
      <c r="X91" s="69" t="inlineStr"/>
      <c r="Y91" s="70" t="inlineStr"/>
      <c r="AC91" s="113" t="inlineStr">
        <is>
          <t>КИ</t>
        </is>
      </c>
    </row>
    <row r="92" ht="16.5" customHeight="1">
      <c r="A92" s="64" t="inlineStr">
        <is>
          <t>SU000097</t>
        </is>
      </c>
      <c r="B92" s="64" t="inlineStr">
        <is>
          <t>P002179</t>
        </is>
      </c>
      <c r="C92" s="37" t="n">
        <v>4301030963</v>
      </c>
      <c r="D92" s="356" t="n">
        <v>4607091382426</v>
      </c>
      <c r="E92" s="601" t="n"/>
      <c r="F92" s="633" t="n">
        <v>0.9</v>
      </c>
      <c r="G92" s="38" t="n">
        <v>10</v>
      </c>
      <c r="H92" s="633" t="n">
        <v>9</v>
      </c>
      <c r="I92" s="633" t="n">
        <v>9.630000000000001</v>
      </c>
      <c r="J92" s="38" t="n">
        <v>56</v>
      </c>
      <c r="K92" s="39" t="inlineStr">
        <is>
          <t>СК2</t>
        </is>
      </c>
      <c r="L92" s="38" t="n">
        <v>40</v>
      </c>
      <c r="M92" s="680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2" s="635" t="n"/>
      <c r="O92" s="635" t="n"/>
      <c r="P92" s="635" t="n"/>
      <c r="Q92" s="601" t="n"/>
      <c r="R92" s="40" t="inlineStr"/>
      <c r="S92" s="40" t="inlineStr"/>
      <c r="T92" s="41" t="inlineStr">
        <is>
          <t>кг</t>
        </is>
      </c>
      <c r="U92" s="636" t="n">
        <v>0</v>
      </c>
      <c r="V92" s="637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114" t="inlineStr">
        <is>
          <t>КИ</t>
        </is>
      </c>
    </row>
    <row r="93" ht="27" customHeight="1">
      <c r="A93" s="64" t="inlineStr">
        <is>
          <t>SU000665</t>
        </is>
      </c>
      <c r="B93" s="64" t="inlineStr">
        <is>
          <t>P002178</t>
        </is>
      </c>
      <c r="C93" s="37" t="n">
        <v>4301030962</v>
      </c>
      <c r="D93" s="356" t="n">
        <v>4607091386547</v>
      </c>
      <c r="E93" s="601" t="n"/>
      <c r="F93" s="633" t="n">
        <v>0.35</v>
      </c>
      <c r="G93" s="38" t="n">
        <v>8</v>
      </c>
      <c r="H93" s="633" t="n">
        <v>2.8</v>
      </c>
      <c r="I93" s="633" t="n">
        <v>2.94</v>
      </c>
      <c r="J93" s="38" t="n">
        <v>234</v>
      </c>
      <c r="K93" s="39" t="inlineStr">
        <is>
          <t>СК2</t>
        </is>
      </c>
      <c r="L93" s="38" t="n">
        <v>40</v>
      </c>
      <c r="M93" s="681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3" s="635" t="n"/>
      <c r="O93" s="635" t="n"/>
      <c r="P93" s="635" t="n"/>
      <c r="Q93" s="601" t="n"/>
      <c r="R93" s="40" t="inlineStr"/>
      <c r="S93" s="40" t="inlineStr"/>
      <c r="T93" s="41" t="inlineStr">
        <is>
          <t>кг</t>
        </is>
      </c>
      <c r="U93" s="636" t="n">
        <v>0</v>
      </c>
      <c r="V93" s="637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115" t="inlineStr">
        <is>
          <t>КИ</t>
        </is>
      </c>
    </row>
    <row r="94" ht="27" customHeight="1">
      <c r="A94" s="64" t="inlineStr">
        <is>
          <t>SU002307</t>
        </is>
      </c>
      <c r="B94" s="64" t="inlineStr">
        <is>
          <t>P002571</t>
        </is>
      </c>
      <c r="C94" s="37" t="n">
        <v>4301031077</v>
      </c>
      <c r="D94" s="356" t="n">
        <v>4607091384703</v>
      </c>
      <c r="E94" s="601" t="n"/>
      <c r="F94" s="633" t="n">
        <v>0.35</v>
      </c>
      <c r="G94" s="38" t="n">
        <v>6</v>
      </c>
      <c r="H94" s="633" t="n">
        <v>2.1</v>
      </c>
      <c r="I94" s="633" t="n">
        <v>2.2</v>
      </c>
      <c r="J94" s="38" t="n">
        <v>234</v>
      </c>
      <c r="K94" s="39" t="inlineStr">
        <is>
          <t>СК2</t>
        </is>
      </c>
      <c r="L94" s="38" t="n">
        <v>45</v>
      </c>
      <c r="M94" s="682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4" s="635" t="n"/>
      <c r="O94" s="635" t="n"/>
      <c r="P94" s="635" t="n"/>
      <c r="Q94" s="601" t="n"/>
      <c r="R94" s="40" t="inlineStr"/>
      <c r="S94" s="40" t="inlineStr"/>
      <c r="T94" s="41" t="inlineStr">
        <is>
          <t>кг</t>
        </is>
      </c>
      <c r="U94" s="636" t="n">
        <v>0</v>
      </c>
      <c r="V94" s="637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  <c r="AC94" s="116" t="inlineStr">
        <is>
          <t>КИ</t>
        </is>
      </c>
    </row>
    <row r="95" ht="27" customHeight="1">
      <c r="A95" s="64" t="inlineStr">
        <is>
          <t>SU002309</t>
        </is>
      </c>
      <c r="B95" s="64" t="inlineStr">
        <is>
          <t>P002573</t>
        </is>
      </c>
      <c r="C95" s="37" t="n">
        <v>4301031079</v>
      </c>
      <c r="D95" s="356" t="n">
        <v>4607091384734</v>
      </c>
      <c r="E95" s="601" t="n"/>
      <c r="F95" s="633" t="n">
        <v>0.35</v>
      </c>
      <c r="G95" s="38" t="n">
        <v>6</v>
      </c>
      <c r="H95" s="633" t="n">
        <v>2.1</v>
      </c>
      <c r="I95" s="633" t="n">
        <v>2.2</v>
      </c>
      <c r="J95" s="38" t="n">
        <v>234</v>
      </c>
      <c r="K95" s="39" t="inlineStr">
        <is>
          <t>СК2</t>
        </is>
      </c>
      <c r="L95" s="38" t="n">
        <v>45</v>
      </c>
      <c r="M95" s="683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5" s="635" t="n"/>
      <c r="O95" s="635" t="n"/>
      <c r="P95" s="635" t="n"/>
      <c r="Q95" s="601" t="n"/>
      <c r="R95" s="40" t="inlineStr"/>
      <c r="S95" s="40" t="inlineStr"/>
      <c r="T95" s="41" t="inlineStr">
        <is>
          <t>кг</t>
        </is>
      </c>
      <c r="U95" s="636" t="n">
        <v>0</v>
      </c>
      <c r="V95" s="637">
        <f>IFERROR(IF(U95="",0,CEILING((U95/$H95),1)*$H95),"")</f>
        <v/>
      </c>
      <c r="W95" s="42">
        <f>IFERROR(IF(V95=0,"",ROUNDUP(V95/H95,0)*0.00502),"")</f>
        <v/>
      </c>
      <c r="X95" s="69" t="inlineStr"/>
      <c r="Y95" s="70" t="inlineStr"/>
      <c r="AC95" s="117" t="inlineStr">
        <is>
          <t>КИ</t>
        </is>
      </c>
    </row>
    <row r="96" ht="27" customHeight="1">
      <c r="A96" s="64" t="inlineStr">
        <is>
          <t>SU001605</t>
        </is>
      </c>
      <c r="B96" s="64" t="inlineStr">
        <is>
          <t>P002180</t>
        </is>
      </c>
      <c r="C96" s="37" t="n">
        <v>4301030964</v>
      </c>
      <c r="D96" s="356" t="n">
        <v>4607091382464</v>
      </c>
      <c r="E96" s="601" t="n"/>
      <c r="F96" s="633" t="n">
        <v>0.35</v>
      </c>
      <c r="G96" s="38" t="n">
        <v>8</v>
      </c>
      <c r="H96" s="633" t="n">
        <v>2.8</v>
      </c>
      <c r="I96" s="633" t="n">
        <v>2.964</v>
      </c>
      <c r="J96" s="38" t="n">
        <v>234</v>
      </c>
      <c r="K96" s="39" t="inlineStr">
        <is>
          <t>СК2</t>
        </is>
      </c>
      <c r="L96" s="38" t="n">
        <v>40</v>
      </c>
      <c r="M96" s="684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6" s="635" t="n"/>
      <c r="O96" s="635" t="n"/>
      <c r="P96" s="635" t="n"/>
      <c r="Q96" s="601" t="n"/>
      <c r="R96" s="40" t="inlineStr"/>
      <c r="S96" s="40" t="inlineStr"/>
      <c r="T96" s="41" t="inlineStr">
        <is>
          <t>кг</t>
        </is>
      </c>
      <c r="U96" s="636" t="n">
        <v>0</v>
      </c>
      <c r="V96" s="637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118" t="inlineStr">
        <is>
          <t>КИ</t>
        </is>
      </c>
    </row>
    <row r="97">
      <c r="A97" s="364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638" t="n"/>
      <c r="M97" s="639" t="inlineStr">
        <is>
          <t>Итого</t>
        </is>
      </c>
      <c r="N97" s="609" t="n"/>
      <c r="O97" s="609" t="n"/>
      <c r="P97" s="609" t="n"/>
      <c r="Q97" s="609" t="n"/>
      <c r="R97" s="609" t="n"/>
      <c r="S97" s="610" t="n"/>
      <c r="T97" s="43" t="inlineStr">
        <is>
          <t>кор</t>
        </is>
      </c>
      <c r="U97" s="640">
        <f>IFERROR(U88/H88,"0")+IFERROR(U89/H89,"0")+IFERROR(U90/H90,"0")+IFERROR(U91/H91,"0")+IFERROR(U92/H92,"0")+IFERROR(U93/H93,"0")+IFERROR(U94/H94,"0")+IFERROR(U95/H95,"0")+IFERROR(U96/H96,"0")</f>
        <v/>
      </c>
      <c r="V97" s="640">
        <f>IFERROR(V88/H88,"0")+IFERROR(V89/H89,"0")+IFERROR(V90/H90,"0")+IFERROR(V91/H91,"0")+IFERROR(V92/H92,"0")+IFERROR(V93/H93,"0")+IFERROR(V94/H94,"0")+IFERROR(V95/H95,"0")+IFERROR(V96/H96,"0")</f>
        <v/>
      </c>
      <c r="W97" s="640">
        <f>IFERROR(IF(W88="",0,W88),"0")+IFERROR(IF(W89="",0,W89),"0")+IFERROR(IF(W90="",0,W90),"0")+IFERROR(IF(W91="",0,W91),"0")+IFERROR(IF(W92="",0,W92),"0")+IFERROR(IF(W93="",0,W93),"0")+IFERROR(IF(W94="",0,W94),"0")+IFERROR(IF(W95="",0,W95),"0")+IFERROR(IF(W96="",0,W96),"0")</f>
        <v/>
      </c>
      <c r="X97" s="641" t="n"/>
      <c r="Y97" s="641" t="n"/>
    </row>
    <row r="9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638" t="n"/>
      <c r="M98" s="639" t="inlineStr">
        <is>
          <t>Итого</t>
        </is>
      </c>
      <c r="N98" s="609" t="n"/>
      <c r="O98" s="609" t="n"/>
      <c r="P98" s="609" t="n"/>
      <c r="Q98" s="609" t="n"/>
      <c r="R98" s="609" t="n"/>
      <c r="S98" s="610" t="n"/>
      <c r="T98" s="43" t="inlineStr">
        <is>
          <t>кг</t>
        </is>
      </c>
      <c r="U98" s="640">
        <f>IFERROR(SUM(U88:U96),"0")</f>
        <v/>
      </c>
      <c r="V98" s="640">
        <f>IFERROR(SUM(V88:V96),"0")</f>
        <v/>
      </c>
      <c r="W98" s="43" t="n"/>
      <c r="X98" s="641" t="n"/>
      <c r="Y98" s="641" t="n"/>
    </row>
    <row r="99" ht="14.25" customHeight="1">
      <c r="A99" s="355" t="inlineStr">
        <is>
          <t>Сосиски</t>
        </is>
      </c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355" t="n"/>
      <c r="Y99" s="355" t="n"/>
    </row>
    <row r="100" ht="27" customHeight="1">
      <c r="A100" s="64" t="inlineStr">
        <is>
          <t>SU001523</t>
        </is>
      </c>
      <c r="B100" s="64" t="inlineStr">
        <is>
          <t>P003328</t>
        </is>
      </c>
      <c r="C100" s="37" t="n">
        <v>4301051437</v>
      </c>
      <c r="D100" s="356" t="n">
        <v>4607091386967</v>
      </c>
      <c r="E100" s="601" t="n"/>
      <c r="F100" s="633" t="n">
        <v>1.35</v>
      </c>
      <c r="G100" s="38" t="n">
        <v>6</v>
      </c>
      <c r="H100" s="633" t="n">
        <v>8.1</v>
      </c>
      <c r="I100" s="633" t="n">
        <v>8.664</v>
      </c>
      <c r="J100" s="38" t="n">
        <v>56</v>
      </c>
      <c r="K100" s="39" t="inlineStr">
        <is>
          <t>СК3</t>
        </is>
      </c>
      <c r="L100" s="38" t="n">
        <v>45</v>
      </c>
      <c r="M100" s="685" t="inlineStr">
        <is>
          <t>Сосиски Молокуши (Вязанка Молочные) Вязанка Весовые П/а мгс Вязанка</t>
        </is>
      </c>
      <c r="N100" s="635" t="n"/>
      <c r="O100" s="635" t="n"/>
      <c r="P100" s="635" t="n"/>
      <c r="Q100" s="601" t="n"/>
      <c r="R100" s="40" t="inlineStr"/>
      <c r="S100" s="40" t="inlineStr"/>
      <c r="T100" s="41" t="inlineStr">
        <is>
          <t>кг</t>
        </is>
      </c>
      <c r="U100" s="636" t="n">
        <v>200</v>
      </c>
      <c r="V100" s="637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  <c r="AC100" s="119" t="inlineStr">
        <is>
          <t>КИ</t>
        </is>
      </c>
    </row>
    <row r="101" ht="16.5" customHeight="1">
      <c r="A101" s="64" t="inlineStr">
        <is>
          <t>SU001351</t>
        </is>
      </c>
      <c r="B101" s="64" t="inlineStr">
        <is>
          <t>P003025</t>
        </is>
      </c>
      <c r="C101" s="37" t="n">
        <v>4301051311</v>
      </c>
      <c r="D101" s="356" t="n">
        <v>4607091385304</v>
      </c>
      <c r="E101" s="601" t="n"/>
      <c r="F101" s="633" t="n">
        <v>1.35</v>
      </c>
      <c r="G101" s="38" t="n">
        <v>6</v>
      </c>
      <c r="H101" s="633" t="n">
        <v>8.1</v>
      </c>
      <c r="I101" s="633" t="n">
        <v>8.664</v>
      </c>
      <c r="J101" s="38" t="n">
        <v>56</v>
      </c>
      <c r="K101" s="39" t="inlineStr">
        <is>
          <t>СК2</t>
        </is>
      </c>
      <c r="L101" s="38" t="n">
        <v>40</v>
      </c>
      <c r="M101" s="686">
        <f>HYPERLINK("https://abi.ru/products/Охлажденные/Вязанка/Вязанка/Сосиски/P003025/","Сосиски Рубленые Вязанка Весовые п/а мгс Вязанка")</f>
        <v/>
      </c>
      <c r="N101" s="635" t="n"/>
      <c r="O101" s="635" t="n"/>
      <c r="P101" s="635" t="n"/>
      <c r="Q101" s="601" t="n"/>
      <c r="R101" s="40" t="inlineStr"/>
      <c r="S101" s="40" t="inlineStr"/>
      <c r="T101" s="41" t="inlineStr">
        <is>
          <t>кг</t>
        </is>
      </c>
      <c r="U101" s="636" t="n">
        <v>0</v>
      </c>
      <c r="V101" s="637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  <c r="AC101" s="120" t="inlineStr">
        <is>
          <t>КИ</t>
        </is>
      </c>
    </row>
    <row r="102" ht="16.5" customHeight="1">
      <c r="A102" s="64" t="inlineStr">
        <is>
          <t>SU001527</t>
        </is>
      </c>
      <c r="B102" s="64" t="inlineStr">
        <is>
          <t>P002217</t>
        </is>
      </c>
      <c r="C102" s="37" t="n">
        <v>4301051306</v>
      </c>
      <c r="D102" s="356" t="n">
        <v>4607091386264</v>
      </c>
      <c r="E102" s="601" t="n"/>
      <c r="F102" s="633" t="n">
        <v>0.5</v>
      </c>
      <c r="G102" s="38" t="n">
        <v>6</v>
      </c>
      <c r="H102" s="633" t="n">
        <v>3</v>
      </c>
      <c r="I102" s="633" t="n">
        <v>3.278</v>
      </c>
      <c r="J102" s="38" t="n">
        <v>156</v>
      </c>
      <c r="K102" s="39" t="inlineStr">
        <is>
          <t>СК2</t>
        </is>
      </c>
      <c r="L102" s="38" t="n">
        <v>31</v>
      </c>
      <c r="M102" s="687">
        <f>HYPERLINK("https://abi.ru/products/Охлажденные/Вязанка/Вязанка/Сосиски/P002217/","Сосиски Венские Вязанка Фикс.вес 0,5 NDX мгс Вязанка")</f>
        <v/>
      </c>
      <c r="N102" s="635" t="n"/>
      <c r="O102" s="635" t="n"/>
      <c r="P102" s="635" t="n"/>
      <c r="Q102" s="601" t="n"/>
      <c r="R102" s="40" t="inlineStr"/>
      <c r="S102" s="40" t="inlineStr"/>
      <c r="T102" s="41" t="inlineStr">
        <is>
          <t>кг</t>
        </is>
      </c>
      <c r="U102" s="636" t="n">
        <v>0</v>
      </c>
      <c r="V102" s="637">
        <f>IFERROR(IF(U102="",0,CEILING((U102/$H102),1)*$H102),"")</f>
        <v/>
      </c>
      <c r="W102" s="42">
        <f>IFERROR(IF(V102=0,"",ROUNDUP(V102/H102,0)*0.00753),"")</f>
        <v/>
      </c>
      <c r="X102" s="69" t="inlineStr"/>
      <c r="Y102" s="70" t="inlineStr"/>
      <c r="AC102" s="121" t="inlineStr">
        <is>
          <t>КИ</t>
        </is>
      </c>
    </row>
    <row r="103" ht="27" customHeight="1">
      <c r="A103" s="64" t="inlineStr">
        <is>
          <t>SU001718</t>
        </is>
      </c>
      <c r="B103" s="64" t="inlineStr">
        <is>
          <t>P003327</t>
        </is>
      </c>
      <c r="C103" s="37" t="n">
        <v>4301051436</v>
      </c>
      <c r="D103" s="356" t="n">
        <v>4607091385731</v>
      </c>
      <c r="E103" s="601" t="n"/>
      <c r="F103" s="633" t="n">
        <v>0.45</v>
      </c>
      <c r="G103" s="38" t="n">
        <v>6</v>
      </c>
      <c r="H103" s="633" t="n">
        <v>2.7</v>
      </c>
      <c r="I103" s="633" t="n">
        <v>2.972</v>
      </c>
      <c r="J103" s="38" t="n">
        <v>156</v>
      </c>
      <c r="K103" s="39" t="inlineStr">
        <is>
          <t>СК3</t>
        </is>
      </c>
      <c r="L103" s="38" t="n">
        <v>45</v>
      </c>
      <c r="M103" s="688" t="inlineStr">
        <is>
          <t>Сосиски Молокуши (Вязанка Молочные) Вязанка Фикс.вес 0,45 П/а мгс Вязанка</t>
        </is>
      </c>
      <c r="N103" s="635" t="n"/>
      <c r="O103" s="635" t="n"/>
      <c r="P103" s="635" t="n"/>
      <c r="Q103" s="601" t="n"/>
      <c r="R103" s="40" t="inlineStr"/>
      <c r="S103" s="40" t="inlineStr"/>
      <c r="T103" s="41" t="inlineStr">
        <is>
          <t>кг</t>
        </is>
      </c>
      <c r="U103" s="636" t="n">
        <v>0</v>
      </c>
      <c r="V103" s="637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122" t="inlineStr">
        <is>
          <t>КИ</t>
        </is>
      </c>
    </row>
    <row r="104" ht="27" customHeight="1">
      <c r="A104" s="64" t="inlineStr">
        <is>
          <t>SU002658</t>
        </is>
      </c>
      <c r="B104" s="64" t="inlineStr">
        <is>
          <t>P003326</t>
        </is>
      </c>
      <c r="C104" s="37" t="n">
        <v>4301051439</v>
      </c>
      <c r="D104" s="356" t="n">
        <v>4680115880214</v>
      </c>
      <c r="E104" s="601" t="n"/>
      <c r="F104" s="633" t="n">
        <v>0.45</v>
      </c>
      <c r="G104" s="38" t="n">
        <v>6</v>
      </c>
      <c r="H104" s="633" t="n">
        <v>2.7</v>
      </c>
      <c r="I104" s="633" t="n">
        <v>2.988</v>
      </c>
      <c r="J104" s="38" t="n">
        <v>120</v>
      </c>
      <c r="K104" s="39" t="inlineStr">
        <is>
          <t>СК3</t>
        </is>
      </c>
      <c r="L104" s="38" t="n">
        <v>45</v>
      </c>
      <c r="M104" s="689" t="inlineStr">
        <is>
          <t>Сосиски Молокуши миникушай Вязанка Ф/в 0,45 амилюкс мгс Вязанка</t>
        </is>
      </c>
      <c r="N104" s="635" t="n"/>
      <c r="O104" s="635" t="n"/>
      <c r="P104" s="635" t="n"/>
      <c r="Q104" s="601" t="n"/>
      <c r="R104" s="40" t="inlineStr"/>
      <c r="S104" s="40" t="inlineStr"/>
      <c r="T104" s="41" t="inlineStr">
        <is>
          <t>кг</t>
        </is>
      </c>
      <c r="U104" s="636" t="n">
        <v>0</v>
      </c>
      <c r="V104" s="637">
        <f>IFERROR(IF(U104="",0,CEILING((U104/$H104),1)*$H104),"")</f>
        <v/>
      </c>
      <c r="W104" s="42">
        <f>IFERROR(IF(V104=0,"",ROUNDUP(V104/H104,0)*0.00937),"")</f>
        <v/>
      </c>
      <c r="X104" s="69" t="inlineStr"/>
      <c r="Y104" s="70" t="inlineStr"/>
      <c r="AC104" s="123" t="inlineStr">
        <is>
          <t>КИ</t>
        </is>
      </c>
    </row>
    <row r="105" ht="27" customHeight="1">
      <c r="A105" s="64" t="inlineStr">
        <is>
          <t>SU002769</t>
        </is>
      </c>
      <c r="B105" s="64" t="inlineStr">
        <is>
          <t>P003324</t>
        </is>
      </c>
      <c r="C105" s="37" t="n">
        <v>4301051438</v>
      </c>
      <c r="D105" s="356" t="n">
        <v>4680115880894</v>
      </c>
      <c r="E105" s="601" t="n"/>
      <c r="F105" s="633" t="n">
        <v>0.33</v>
      </c>
      <c r="G105" s="38" t="n">
        <v>6</v>
      </c>
      <c r="H105" s="633" t="n">
        <v>1.98</v>
      </c>
      <c r="I105" s="633" t="n">
        <v>2.258</v>
      </c>
      <c r="J105" s="38" t="n">
        <v>156</v>
      </c>
      <c r="K105" s="39" t="inlineStr">
        <is>
          <t>СК3</t>
        </is>
      </c>
      <c r="L105" s="38" t="n">
        <v>45</v>
      </c>
      <c r="M105" s="690" t="inlineStr">
        <is>
          <t>Сосиски Молокуши Миникушай Вязанка фикс.вес 0,33 п/а Вязанка</t>
        </is>
      </c>
      <c r="N105" s="635" t="n"/>
      <c r="O105" s="635" t="n"/>
      <c r="P105" s="635" t="n"/>
      <c r="Q105" s="601" t="n"/>
      <c r="R105" s="40" t="inlineStr"/>
      <c r="S105" s="40" t="inlineStr"/>
      <c r="T105" s="41" t="inlineStr">
        <is>
          <t>кг</t>
        </is>
      </c>
      <c r="U105" s="636" t="n">
        <v>0</v>
      </c>
      <c r="V105" s="637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124" t="inlineStr">
        <is>
          <t>КИ</t>
        </is>
      </c>
    </row>
    <row r="106" ht="27" customHeight="1">
      <c r="A106" s="64" t="inlineStr">
        <is>
          <t>SU001354</t>
        </is>
      </c>
      <c r="B106" s="64" t="inlineStr">
        <is>
          <t>P003030</t>
        </is>
      </c>
      <c r="C106" s="37" t="n">
        <v>4301051313</v>
      </c>
      <c r="D106" s="356" t="n">
        <v>4607091385427</v>
      </c>
      <c r="E106" s="601" t="n"/>
      <c r="F106" s="633" t="n">
        <v>0.5</v>
      </c>
      <c r="G106" s="38" t="n">
        <v>6</v>
      </c>
      <c r="H106" s="633" t="n">
        <v>3</v>
      </c>
      <c r="I106" s="633" t="n">
        <v>3.272</v>
      </c>
      <c r="J106" s="38" t="n">
        <v>156</v>
      </c>
      <c r="K106" s="39" t="inlineStr">
        <is>
          <t>СК2</t>
        </is>
      </c>
      <c r="L106" s="38" t="n">
        <v>40</v>
      </c>
      <c r="M106" s="691">
        <f>HYPERLINK("https://abi.ru/products/Охлажденные/Вязанка/Вязанка/Сосиски/P003030/","Сосиски Рубленые Вязанка Фикс.вес 0,5 п/а мгс Вязанка")</f>
        <v/>
      </c>
      <c r="N106" s="635" t="n"/>
      <c r="O106" s="635" t="n"/>
      <c r="P106" s="635" t="n"/>
      <c r="Q106" s="601" t="n"/>
      <c r="R106" s="40" t="inlineStr"/>
      <c r="S106" s="40" t="inlineStr"/>
      <c r="T106" s="41" t="inlineStr">
        <is>
          <t>кг</t>
        </is>
      </c>
      <c r="U106" s="636" t="n">
        <v>0</v>
      </c>
      <c r="V106" s="637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5" t="inlineStr">
        <is>
          <t>КИ</t>
        </is>
      </c>
    </row>
    <row r="107">
      <c r="A107" s="364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638" t="n"/>
      <c r="M107" s="639" t="inlineStr">
        <is>
          <t>Итого</t>
        </is>
      </c>
      <c r="N107" s="609" t="n"/>
      <c r="O107" s="609" t="n"/>
      <c r="P107" s="609" t="n"/>
      <c r="Q107" s="609" t="n"/>
      <c r="R107" s="609" t="n"/>
      <c r="S107" s="610" t="n"/>
      <c r="T107" s="43" t="inlineStr">
        <is>
          <t>кор</t>
        </is>
      </c>
      <c r="U107" s="640">
        <f>IFERROR(U100/H100,"0")+IFERROR(U101/H101,"0")+IFERROR(U102/H102,"0")+IFERROR(U103/H103,"0")+IFERROR(U104/H104,"0")+IFERROR(U105/H105,"0")+IFERROR(U106/H106,"0")</f>
        <v/>
      </c>
      <c r="V107" s="640">
        <f>IFERROR(V100/H100,"0")+IFERROR(V101/H101,"0")+IFERROR(V102/H102,"0")+IFERROR(V103/H103,"0")+IFERROR(V104/H104,"0")+IFERROR(V105/H105,"0")+IFERROR(V106/H106,"0")</f>
        <v/>
      </c>
      <c r="W107" s="640">
        <f>IFERROR(IF(W100="",0,W100),"0")+IFERROR(IF(W101="",0,W101),"0")+IFERROR(IF(W102="",0,W102),"0")+IFERROR(IF(W103="",0,W103),"0")+IFERROR(IF(W104="",0,W104),"0")+IFERROR(IF(W105="",0,W105),"0")+IFERROR(IF(W106="",0,W106),"0")</f>
        <v/>
      </c>
      <c r="X107" s="641" t="n"/>
      <c r="Y107" s="641" t="n"/>
    </row>
    <row r="10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638" t="n"/>
      <c r="M108" s="639" t="inlineStr">
        <is>
          <t>Итого</t>
        </is>
      </c>
      <c r="N108" s="609" t="n"/>
      <c r="O108" s="609" t="n"/>
      <c r="P108" s="609" t="n"/>
      <c r="Q108" s="609" t="n"/>
      <c r="R108" s="609" t="n"/>
      <c r="S108" s="610" t="n"/>
      <c r="T108" s="43" t="inlineStr">
        <is>
          <t>кг</t>
        </is>
      </c>
      <c r="U108" s="640">
        <f>IFERROR(SUM(U100:U106),"0")</f>
        <v/>
      </c>
      <c r="V108" s="640">
        <f>IFERROR(SUM(V100:V106),"0")</f>
        <v/>
      </c>
      <c r="W108" s="43" t="n"/>
      <c r="X108" s="641" t="n"/>
      <c r="Y108" s="641" t="n"/>
    </row>
    <row r="109" ht="14.25" customHeight="1">
      <c r="A109" s="355" t="inlineStr">
        <is>
          <t>Сардельки</t>
        </is>
      </c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355" t="n"/>
      <c r="Y109" s="355" t="n"/>
    </row>
    <row r="110" ht="27" customHeight="1">
      <c r="A110" s="64" t="inlineStr">
        <is>
          <t>SU002071</t>
        </is>
      </c>
      <c r="B110" s="64" t="inlineStr">
        <is>
          <t>P002233</t>
        </is>
      </c>
      <c r="C110" s="37" t="n">
        <v>4301060296</v>
      </c>
      <c r="D110" s="356" t="n">
        <v>4607091383065</v>
      </c>
      <c r="E110" s="601" t="n"/>
      <c r="F110" s="633" t="n">
        <v>0.83</v>
      </c>
      <c r="G110" s="38" t="n">
        <v>4</v>
      </c>
      <c r="H110" s="633" t="n">
        <v>3.32</v>
      </c>
      <c r="I110" s="633" t="n">
        <v>3.582</v>
      </c>
      <c r="J110" s="38" t="n">
        <v>120</v>
      </c>
      <c r="K110" s="39" t="inlineStr">
        <is>
          <t>СК2</t>
        </is>
      </c>
      <c r="L110" s="38" t="n">
        <v>30</v>
      </c>
      <c r="M110" s="692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0" s="635" t="n"/>
      <c r="O110" s="635" t="n"/>
      <c r="P110" s="635" t="n"/>
      <c r="Q110" s="601" t="n"/>
      <c r="R110" s="40" t="inlineStr"/>
      <c r="S110" s="40" t="inlineStr"/>
      <c r="T110" s="41" t="inlineStr">
        <is>
          <t>кг</t>
        </is>
      </c>
      <c r="U110" s="636" t="n">
        <v>0</v>
      </c>
      <c r="V110" s="637">
        <f>IFERROR(IF(U110="",0,CEILING((U110/$H110),1)*$H110),"")</f>
        <v/>
      </c>
      <c r="W110" s="42">
        <f>IFERROR(IF(V110=0,"",ROUNDUP(V110/H110,0)*0.00937),"")</f>
        <v/>
      </c>
      <c r="X110" s="69" t="inlineStr"/>
      <c r="Y110" s="70" t="inlineStr"/>
      <c r="AC110" s="126" t="inlineStr">
        <is>
          <t>КИ</t>
        </is>
      </c>
    </row>
    <row r="111" ht="27" customHeight="1">
      <c r="A111" s="64" t="inlineStr">
        <is>
          <t>SU001831</t>
        </is>
      </c>
      <c r="B111" s="64" t="inlineStr">
        <is>
          <t>P002042</t>
        </is>
      </c>
      <c r="C111" s="37" t="n">
        <v>4301060282</v>
      </c>
      <c r="D111" s="356" t="n">
        <v>4607091380699</v>
      </c>
      <c r="E111" s="601" t="n"/>
      <c r="F111" s="633" t="n">
        <v>1.3</v>
      </c>
      <c r="G111" s="38" t="n">
        <v>6</v>
      </c>
      <c r="H111" s="633" t="n">
        <v>7.8</v>
      </c>
      <c r="I111" s="633" t="n">
        <v>8.364000000000001</v>
      </c>
      <c r="J111" s="38" t="n">
        <v>56</v>
      </c>
      <c r="K111" s="39" t="inlineStr">
        <is>
          <t>СК2</t>
        </is>
      </c>
      <c r="L111" s="38" t="n">
        <v>30</v>
      </c>
      <c r="M111" s="693">
        <f>HYPERLINK("https://abi.ru/products/Охлажденные/Вязанка/Вязанка/Сардельки/P002042/","Сардельки Стародворские Вязанка Весовые NDX мгс Вязанка")</f>
        <v/>
      </c>
      <c r="N111" s="635" t="n"/>
      <c r="O111" s="635" t="n"/>
      <c r="P111" s="635" t="n"/>
      <c r="Q111" s="601" t="n"/>
      <c r="R111" s="40" t="inlineStr"/>
      <c r="S111" s="40" t="inlineStr"/>
      <c r="T111" s="41" t="inlineStr">
        <is>
          <t>кг</t>
        </is>
      </c>
      <c r="U111" s="636" t="n">
        <v>78</v>
      </c>
      <c r="V111" s="637">
        <f>IFERROR(IF(U111="",0,CEILING((U111/$H111),1)*$H111),"")</f>
        <v/>
      </c>
      <c r="W111" s="42">
        <f>IFERROR(IF(V111=0,"",ROUNDUP(V111/H111,0)*0.02175),"")</f>
        <v/>
      </c>
      <c r="X111" s="69" t="inlineStr"/>
      <c r="Y111" s="70" t="inlineStr"/>
      <c r="AC111" s="127" t="inlineStr">
        <is>
          <t>КИ</t>
        </is>
      </c>
    </row>
    <row r="112" ht="16.5" customHeight="1">
      <c r="A112" s="64" t="inlineStr">
        <is>
          <t>SU002367</t>
        </is>
      </c>
      <c r="B112" s="64" t="inlineStr">
        <is>
          <t>P002644</t>
        </is>
      </c>
      <c r="C112" s="37" t="n">
        <v>4301060309</v>
      </c>
      <c r="D112" s="356" t="n">
        <v>4680115880238</v>
      </c>
      <c r="E112" s="601" t="n"/>
      <c r="F112" s="633" t="n">
        <v>0.33</v>
      </c>
      <c r="G112" s="38" t="n">
        <v>6</v>
      </c>
      <c r="H112" s="633" t="n">
        <v>1.98</v>
      </c>
      <c r="I112" s="633" t="n">
        <v>2.258</v>
      </c>
      <c r="J112" s="38" t="n">
        <v>156</v>
      </c>
      <c r="K112" s="39" t="inlineStr">
        <is>
          <t>СК2</t>
        </is>
      </c>
      <c r="L112" s="38" t="n">
        <v>40</v>
      </c>
      <c r="M112" s="694" t="inlineStr">
        <is>
          <t>Сардельки Сливушки #минидельки ТМ Вязанка айпил мгс ф/в 0,33 кг</t>
        </is>
      </c>
      <c r="N112" s="635" t="n"/>
      <c r="O112" s="635" t="n"/>
      <c r="P112" s="635" t="n"/>
      <c r="Q112" s="601" t="n"/>
      <c r="R112" s="40" t="inlineStr"/>
      <c r="S112" s="40" t="inlineStr"/>
      <c r="T112" s="41" t="inlineStr">
        <is>
          <t>кг</t>
        </is>
      </c>
      <c r="U112" s="636" t="n">
        <v>0</v>
      </c>
      <c r="V112" s="637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128" t="inlineStr">
        <is>
          <t>КИ</t>
        </is>
      </c>
    </row>
    <row r="113" ht="27" customHeight="1">
      <c r="A113" s="64" t="inlineStr">
        <is>
          <t>SU001500</t>
        </is>
      </c>
      <c r="B113" s="64" t="inlineStr">
        <is>
          <t>P002045</t>
        </is>
      </c>
      <c r="C113" s="37" t="n">
        <v>4301060304</v>
      </c>
      <c r="D113" s="356" t="n">
        <v>4607091385922</v>
      </c>
      <c r="E113" s="601" t="n"/>
      <c r="F113" s="633" t="n">
        <v>0.47</v>
      </c>
      <c r="G113" s="38" t="n">
        <v>6</v>
      </c>
      <c r="H113" s="633" t="n">
        <v>2.82</v>
      </c>
      <c r="I113" s="633" t="n">
        <v>3.098</v>
      </c>
      <c r="J113" s="38" t="n">
        <v>156</v>
      </c>
      <c r="K113" s="39" t="inlineStr">
        <is>
          <t>СК2</t>
        </is>
      </c>
      <c r="L113" s="38" t="n">
        <v>30</v>
      </c>
      <c r="M113" s="695">
        <f>HYPERLINK("https://abi.ru/products/Охлажденные/Вязанка/Вязанка/Сардельки/P002045/","Сардельки Стародворские Вязанка Фикс.вес 0,47 NDX мгс Вязанка")</f>
        <v/>
      </c>
      <c r="N113" s="635" t="n"/>
      <c r="O113" s="635" t="n"/>
      <c r="P113" s="635" t="n"/>
      <c r="Q113" s="601" t="n"/>
      <c r="R113" s="40" t="inlineStr"/>
      <c r="S113" s="40" t="inlineStr"/>
      <c r="T113" s="41" t="inlineStr">
        <is>
          <t>кг</t>
        </is>
      </c>
      <c r="U113" s="636" t="n">
        <v>0</v>
      </c>
      <c r="V113" s="637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129" t="inlineStr">
        <is>
          <t>КИ</t>
        </is>
      </c>
    </row>
    <row r="114">
      <c r="A114" s="364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638" t="n"/>
      <c r="M114" s="639" t="inlineStr">
        <is>
          <t>Итого</t>
        </is>
      </c>
      <c r="N114" s="609" t="n"/>
      <c r="O114" s="609" t="n"/>
      <c r="P114" s="609" t="n"/>
      <c r="Q114" s="609" t="n"/>
      <c r="R114" s="609" t="n"/>
      <c r="S114" s="610" t="n"/>
      <c r="T114" s="43" t="inlineStr">
        <is>
          <t>кор</t>
        </is>
      </c>
      <c r="U114" s="640">
        <f>IFERROR(U110/H110,"0")+IFERROR(U111/H111,"0")+IFERROR(U112/H112,"0")+IFERROR(U113/H113,"0")</f>
        <v/>
      </c>
      <c r="V114" s="640">
        <f>IFERROR(V110/H110,"0")+IFERROR(V111/H111,"0")+IFERROR(V112/H112,"0")+IFERROR(V113/H113,"0")</f>
        <v/>
      </c>
      <c r="W114" s="640">
        <f>IFERROR(IF(W110="",0,W110),"0")+IFERROR(IF(W111="",0,W111),"0")+IFERROR(IF(W112="",0,W112),"0")+IFERROR(IF(W113="",0,W113),"0")</f>
        <v/>
      </c>
      <c r="X114" s="641" t="n"/>
      <c r="Y114" s="641" t="n"/>
    </row>
    <row r="115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38" t="n"/>
      <c r="M115" s="639" t="inlineStr">
        <is>
          <t>Итого</t>
        </is>
      </c>
      <c r="N115" s="609" t="n"/>
      <c r="O115" s="609" t="n"/>
      <c r="P115" s="609" t="n"/>
      <c r="Q115" s="609" t="n"/>
      <c r="R115" s="609" t="n"/>
      <c r="S115" s="610" t="n"/>
      <c r="T115" s="43" t="inlineStr">
        <is>
          <t>кг</t>
        </is>
      </c>
      <c r="U115" s="640">
        <f>IFERROR(SUM(U110:U113),"0")</f>
        <v/>
      </c>
      <c r="V115" s="640">
        <f>IFERROR(SUM(V110:V113),"0")</f>
        <v/>
      </c>
      <c r="W115" s="43" t="n"/>
      <c r="X115" s="641" t="n"/>
      <c r="Y115" s="641" t="n"/>
    </row>
    <row r="116" ht="16.5" customHeight="1">
      <c r="A116" s="354" t="inlineStr">
        <is>
          <t>Сливушки</t>
        </is>
      </c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354" t="n"/>
      <c r="Y116" s="354" t="n"/>
    </row>
    <row r="117" ht="14.25" customHeight="1">
      <c r="A117" s="355" t="inlineStr">
        <is>
          <t>Сосиски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55" t="n"/>
      <c r="Y117" s="355" t="n"/>
    </row>
    <row r="118" ht="27" customHeight="1">
      <c r="A118" s="64" t="inlineStr">
        <is>
          <t>SU001721</t>
        </is>
      </c>
      <c r="B118" s="64" t="inlineStr">
        <is>
          <t>P003161</t>
        </is>
      </c>
      <c r="C118" s="37" t="n">
        <v>4301051360</v>
      </c>
      <c r="D118" s="356" t="n">
        <v>4607091385168</v>
      </c>
      <c r="E118" s="601" t="n"/>
      <c r="F118" s="633" t="n">
        <v>1.35</v>
      </c>
      <c r="G118" s="38" t="n">
        <v>6</v>
      </c>
      <c r="H118" s="633" t="n">
        <v>8.1</v>
      </c>
      <c r="I118" s="633" t="n">
        <v>8.657999999999999</v>
      </c>
      <c r="J118" s="38" t="n">
        <v>56</v>
      </c>
      <c r="K118" s="39" t="inlineStr">
        <is>
          <t>СК3</t>
        </is>
      </c>
      <c r="L118" s="38" t="n">
        <v>45</v>
      </c>
      <c r="M118" s="696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18" s="635" t="n"/>
      <c r="O118" s="635" t="n"/>
      <c r="P118" s="635" t="n"/>
      <c r="Q118" s="601" t="n"/>
      <c r="R118" s="40" t="inlineStr"/>
      <c r="S118" s="40" t="inlineStr"/>
      <c r="T118" s="41" t="inlineStr">
        <is>
          <t>кг</t>
        </is>
      </c>
      <c r="U118" s="636" t="n">
        <v>300</v>
      </c>
      <c r="V118" s="637">
        <f>IFERROR(IF(U118="",0,CEILING((U118/$H118),1)*$H118),"")</f>
        <v/>
      </c>
      <c r="W118" s="42">
        <f>IFERROR(IF(V118=0,"",ROUNDUP(V118/H118,0)*0.02175),"")</f>
        <v/>
      </c>
      <c r="X118" s="69" t="inlineStr"/>
      <c r="Y118" s="70" t="inlineStr"/>
      <c r="AC118" s="130" t="inlineStr">
        <is>
          <t>КИ</t>
        </is>
      </c>
    </row>
    <row r="119" ht="16.5" customHeight="1">
      <c r="A119" s="64" t="inlineStr">
        <is>
          <t>SU002139</t>
        </is>
      </c>
      <c r="B119" s="64" t="inlineStr">
        <is>
          <t>P003162</t>
        </is>
      </c>
      <c r="C119" s="37" t="n">
        <v>4301051362</v>
      </c>
      <c r="D119" s="356" t="n">
        <v>4607091383256</v>
      </c>
      <c r="E119" s="601" t="n"/>
      <c r="F119" s="633" t="n">
        <v>0.33</v>
      </c>
      <c r="G119" s="38" t="n">
        <v>6</v>
      </c>
      <c r="H119" s="633" t="n">
        <v>1.98</v>
      </c>
      <c r="I119" s="633" t="n">
        <v>2.246</v>
      </c>
      <c r="J119" s="38" t="n">
        <v>156</v>
      </c>
      <c r="K119" s="39" t="inlineStr">
        <is>
          <t>СК3</t>
        </is>
      </c>
      <c r="L119" s="38" t="n">
        <v>45</v>
      </c>
      <c r="M119" s="697">
        <f>HYPERLINK("https://abi.ru/products/Охлажденные/Вязанка/Сливушки/Сосиски/P003162/","Сосиски Сливочные Сливушки Фикс.вес 0,33 П/а мгс Вязанка")</f>
        <v/>
      </c>
      <c r="N119" s="635" t="n"/>
      <c r="O119" s="635" t="n"/>
      <c r="P119" s="635" t="n"/>
      <c r="Q119" s="601" t="n"/>
      <c r="R119" s="40" t="inlineStr"/>
      <c r="S119" s="40" t="inlineStr"/>
      <c r="T119" s="41" t="inlineStr">
        <is>
          <t>кг</t>
        </is>
      </c>
      <c r="U119" s="636" t="n">
        <v>0</v>
      </c>
      <c r="V119" s="637">
        <f>IFERROR(IF(U119="",0,CEILING((U119/$H119),1)*$H119),"")</f>
        <v/>
      </c>
      <c r="W119" s="42">
        <f>IFERROR(IF(V119=0,"",ROUNDUP(V119/H119,0)*0.00753),"")</f>
        <v/>
      </c>
      <c r="X119" s="69" t="inlineStr"/>
      <c r="Y119" s="70" t="inlineStr"/>
      <c r="AC119" s="131" t="inlineStr">
        <is>
          <t>КИ</t>
        </is>
      </c>
    </row>
    <row r="120" ht="16.5" customHeight="1">
      <c r="A120" s="64" t="inlineStr">
        <is>
          <t>SU001720</t>
        </is>
      </c>
      <c r="B120" s="64" t="inlineStr">
        <is>
          <t>P003160</t>
        </is>
      </c>
      <c r="C120" s="37" t="n">
        <v>4301051358</v>
      </c>
      <c r="D120" s="356" t="n">
        <v>4607091385748</v>
      </c>
      <c r="E120" s="601" t="n"/>
      <c r="F120" s="633" t="n">
        <v>0.45</v>
      </c>
      <c r="G120" s="38" t="n">
        <v>6</v>
      </c>
      <c r="H120" s="633" t="n">
        <v>2.7</v>
      </c>
      <c r="I120" s="633" t="n">
        <v>2.972</v>
      </c>
      <c r="J120" s="38" t="n">
        <v>156</v>
      </c>
      <c r="K120" s="39" t="inlineStr">
        <is>
          <t>СК3</t>
        </is>
      </c>
      <c r="L120" s="38" t="n">
        <v>45</v>
      </c>
      <c r="M120" s="698">
        <f>HYPERLINK("https://abi.ru/products/Охлажденные/Вязанка/Сливушки/Сосиски/P003160/","Сосиски Сливочные Сливушки Фикс.вес 0,45 П/а мгс Вязанка")</f>
        <v/>
      </c>
      <c r="N120" s="635" t="n"/>
      <c r="O120" s="635" t="n"/>
      <c r="P120" s="635" t="n"/>
      <c r="Q120" s="601" t="n"/>
      <c r="R120" s="40" t="inlineStr"/>
      <c r="S120" s="40" t="inlineStr"/>
      <c r="T120" s="41" t="inlineStr">
        <is>
          <t>кг</t>
        </is>
      </c>
      <c r="U120" s="636" t="n">
        <v>0</v>
      </c>
      <c r="V120" s="637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132" t="inlineStr">
        <is>
          <t>КИ</t>
        </is>
      </c>
    </row>
    <row r="121" ht="16.5" customHeight="1">
      <c r="A121" s="64" t="inlineStr">
        <is>
          <t>SU002438</t>
        </is>
      </c>
      <c r="B121" s="64" t="inlineStr">
        <is>
          <t>P003163</t>
        </is>
      </c>
      <c r="C121" s="37" t="n">
        <v>4301051364</v>
      </c>
      <c r="D121" s="356" t="n">
        <v>4607091384581</v>
      </c>
      <c r="E121" s="601" t="n"/>
      <c r="F121" s="633" t="n">
        <v>0.67</v>
      </c>
      <c r="G121" s="38" t="n">
        <v>4</v>
      </c>
      <c r="H121" s="633" t="n">
        <v>2.68</v>
      </c>
      <c r="I121" s="633" t="n">
        <v>2.942</v>
      </c>
      <c r="J121" s="38" t="n">
        <v>120</v>
      </c>
      <c r="K121" s="39" t="inlineStr">
        <is>
          <t>СК3</t>
        </is>
      </c>
      <c r="L121" s="38" t="n">
        <v>45</v>
      </c>
      <c r="M121" s="699">
        <f>HYPERLINK("https://abi.ru/products/Охлажденные/Вязанка/Сливушки/Сосиски/P003163/","Сосиски Сливочные Сливушки Фикс.вес 0,67 П/а мгс Вязанка")</f>
        <v/>
      </c>
      <c r="N121" s="635" t="n"/>
      <c r="O121" s="635" t="n"/>
      <c r="P121" s="635" t="n"/>
      <c r="Q121" s="601" t="n"/>
      <c r="R121" s="40" t="inlineStr"/>
      <c r="S121" s="40" t="inlineStr"/>
      <c r="T121" s="41" t="inlineStr">
        <is>
          <t>кг</t>
        </is>
      </c>
      <c r="U121" s="636" t="n">
        <v>0</v>
      </c>
      <c r="V121" s="637">
        <f>IFERROR(IF(U121="",0,CEILING((U121/$H121),1)*$H121),"")</f>
        <v/>
      </c>
      <c r="W121" s="42">
        <f>IFERROR(IF(V121=0,"",ROUNDUP(V121/H121,0)*0.00937),"")</f>
        <v/>
      </c>
      <c r="X121" s="69" t="inlineStr"/>
      <c r="Y121" s="70" t="inlineStr"/>
      <c r="AC121" s="133" t="inlineStr">
        <is>
          <t>КИ</t>
        </is>
      </c>
    </row>
    <row r="122">
      <c r="A122" s="364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638" t="n"/>
      <c r="M122" s="639" t="inlineStr">
        <is>
          <t>Итого</t>
        </is>
      </c>
      <c r="N122" s="609" t="n"/>
      <c r="O122" s="609" t="n"/>
      <c r="P122" s="609" t="n"/>
      <c r="Q122" s="609" t="n"/>
      <c r="R122" s="609" t="n"/>
      <c r="S122" s="610" t="n"/>
      <c r="T122" s="43" t="inlineStr">
        <is>
          <t>кор</t>
        </is>
      </c>
      <c r="U122" s="640">
        <f>IFERROR(U118/H118,"0")+IFERROR(U119/H119,"0")+IFERROR(U120/H120,"0")+IFERROR(U121/H121,"0")</f>
        <v/>
      </c>
      <c r="V122" s="640">
        <f>IFERROR(V118/H118,"0")+IFERROR(V119/H119,"0")+IFERROR(V120/H120,"0")+IFERROR(V121/H121,"0")</f>
        <v/>
      </c>
      <c r="W122" s="640">
        <f>IFERROR(IF(W118="",0,W118),"0")+IFERROR(IF(W119="",0,W119),"0")+IFERROR(IF(W120="",0,W120),"0")+IFERROR(IF(W121="",0,W121),"0")</f>
        <v/>
      </c>
      <c r="X122" s="641" t="n"/>
      <c r="Y122" s="641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38" t="n"/>
      <c r="M123" s="639" t="inlineStr">
        <is>
          <t>Итого</t>
        </is>
      </c>
      <c r="N123" s="609" t="n"/>
      <c r="O123" s="609" t="n"/>
      <c r="P123" s="609" t="n"/>
      <c r="Q123" s="609" t="n"/>
      <c r="R123" s="609" t="n"/>
      <c r="S123" s="610" t="n"/>
      <c r="T123" s="43" t="inlineStr">
        <is>
          <t>кг</t>
        </is>
      </c>
      <c r="U123" s="640">
        <f>IFERROR(SUM(U118:U121),"0")</f>
        <v/>
      </c>
      <c r="V123" s="640">
        <f>IFERROR(SUM(V118:V121),"0")</f>
        <v/>
      </c>
      <c r="W123" s="43" t="n"/>
      <c r="X123" s="641" t="n"/>
      <c r="Y123" s="641" t="n"/>
    </row>
    <row r="124" ht="27.75" customHeight="1">
      <c r="A124" s="353" t="inlineStr">
        <is>
          <t>Стародворье</t>
        </is>
      </c>
      <c r="B124" s="632" t="n"/>
      <c r="C124" s="632" t="n"/>
      <c r="D124" s="632" t="n"/>
      <c r="E124" s="632" t="n"/>
      <c r="F124" s="632" t="n"/>
      <c r="G124" s="632" t="n"/>
      <c r="H124" s="632" t="n"/>
      <c r="I124" s="632" t="n"/>
      <c r="J124" s="632" t="n"/>
      <c r="K124" s="632" t="n"/>
      <c r="L124" s="632" t="n"/>
      <c r="M124" s="632" t="n"/>
      <c r="N124" s="632" t="n"/>
      <c r="O124" s="632" t="n"/>
      <c r="P124" s="632" t="n"/>
      <c r="Q124" s="632" t="n"/>
      <c r="R124" s="632" t="n"/>
      <c r="S124" s="632" t="n"/>
      <c r="T124" s="632" t="n"/>
      <c r="U124" s="632" t="n"/>
      <c r="V124" s="632" t="n"/>
      <c r="W124" s="632" t="n"/>
      <c r="X124" s="55" t="n"/>
      <c r="Y124" s="55" t="n"/>
    </row>
    <row r="125" ht="16.5" customHeight="1">
      <c r="A125" s="354" t="inlineStr">
        <is>
          <t>Золоченная в печи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354" t="n"/>
      <c r="Y125" s="354" t="n"/>
    </row>
    <row r="126" ht="14.25" customHeight="1">
      <c r="A126" s="355" t="inlineStr">
        <is>
          <t>Вареные колбасы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55" t="n"/>
      <c r="Y126" s="355" t="n"/>
    </row>
    <row r="127" ht="27" customHeight="1">
      <c r="A127" s="64" t="inlineStr">
        <is>
          <t>SU002201</t>
        </is>
      </c>
      <c r="B127" s="64" t="inlineStr">
        <is>
          <t>P002567</t>
        </is>
      </c>
      <c r="C127" s="37" t="n">
        <v>4301011223</v>
      </c>
      <c r="D127" s="356" t="n">
        <v>4607091383423</v>
      </c>
      <c r="E127" s="601" t="n"/>
      <c r="F127" s="633" t="n">
        <v>1.35</v>
      </c>
      <c r="G127" s="38" t="n">
        <v>8</v>
      </c>
      <c r="H127" s="633" t="n">
        <v>10.8</v>
      </c>
      <c r="I127" s="633" t="n">
        <v>11.376</v>
      </c>
      <c r="J127" s="38" t="n">
        <v>56</v>
      </c>
      <c r="K127" s="39" t="inlineStr">
        <is>
          <t>СК3</t>
        </is>
      </c>
      <c r="L127" s="38" t="n">
        <v>35</v>
      </c>
      <c r="M127" s="700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7" s="635" t="n"/>
      <c r="O127" s="635" t="n"/>
      <c r="P127" s="635" t="n"/>
      <c r="Q127" s="601" t="n"/>
      <c r="R127" s="40" t="inlineStr"/>
      <c r="S127" s="40" t="inlineStr"/>
      <c r="T127" s="41" t="inlineStr">
        <is>
          <t>кг</t>
        </is>
      </c>
      <c r="U127" s="636" t="n">
        <v>0</v>
      </c>
      <c r="V127" s="637">
        <f>IFERROR(IF(U127="",0,CEILING((U127/$H127),1)*$H127),"")</f>
        <v/>
      </c>
      <c r="W127" s="42">
        <f>IFERROR(IF(V127=0,"",ROUNDUP(V127/H127,0)*0.02175),"")</f>
        <v/>
      </c>
      <c r="X127" s="69" t="inlineStr"/>
      <c r="Y127" s="70" t="inlineStr"/>
      <c r="AC127" s="134" t="inlineStr">
        <is>
          <t>КИ</t>
        </is>
      </c>
    </row>
    <row r="128" ht="27" customHeight="1">
      <c r="A128" s="64" t="inlineStr">
        <is>
          <t>SU002203</t>
        </is>
      </c>
      <c r="B128" s="64" t="inlineStr">
        <is>
          <t>P002568</t>
        </is>
      </c>
      <c r="C128" s="37" t="n">
        <v>4301011338</v>
      </c>
      <c r="D128" s="356" t="n">
        <v>4607091381405</v>
      </c>
      <c r="E128" s="601" t="n"/>
      <c r="F128" s="633" t="n">
        <v>1.35</v>
      </c>
      <c r="G128" s="38" t="n">
        <v>8</v>
      </c>
      <c r="H128" s="633" t="n">
        <v>10.8</v>
      </c>
      <c r="I128" s="633" t="n">
        <v>11.376</v>
      </c>
      <c r="J128" s="38" t="n">
        <v>56</v>
      </c>
      <c r="K128" s="39" t="inlineStr">
        <is>
          <t>СК2</t>
        </is>
      </c>
      <c r="L128" s="38" t="n">
        <v>35</v>
      </c>
      <c r="M128" s="701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28" s="635" t="n"/>
      <c r="O128" s="635" t="n"/>
      <c r="P128" s="635" t="n"/>
      <c r="Q128" s="601" t="n"/>
      <c r="R128" s="40" t="inlineStr"/>
      <c r="S128" s="40" t="inlineStr"/>
      <c r="T128" s="41" t="inlineStr">
        <is>
          <t>кг</t>
        </is>
      </c>
      <c r="U128" s="636" t="n">
        <v>0</v>
      </c>
      <c r="V128" s="637">
        <f>IFERROR(IF(U128="",0,CEILING((U128/$H128),1)*$H128),"")</f>
        <v/>
      </c>
      <c r="W128" s="42">
        <f>IFERROR(IF(V128=0,"",ROUNDUP(V128/H128,0)*0.02175),"")</f>
        <v/>
      </c>
      <c r="X128" s="69" t="inlineStr"/>
      <c r="Y128" s="70" t="inlineStr"/>
      <c r="AC128" s="135" t="inlineStr">
        <is>
          <t>КИ</t>
        </is>
      </c>
    </row>
    <row r="129" ht="27" customHeight="1">
      <c r="A129" s="64" t="inlineStr">
        <is>
          <t>SU002216</t>
        </is>
      </c>
      <c r="B129" s="64" t="inlineStr">
        <is>
          <t>P002400</t>
        </is>
      </c>
      <c r="C129" s="37" t="n">
        <v>4301011333</v>
      </c>
      <c r="D129" s="356" t="n">
        <v>4607091386516</v>
      </c>
      <c r="E129" s="601" t="n"/>
      <c r="F129" s="633" t="n">
        <v>1.4</v>
      </c>
      <c r="G129" s="38" t="n">
        <v>8</v>
      </c>
      <c r="H129" s="633" t="n">
        <v>11.2</v>
      </c>
      <c r="I129" s="633" t="n">
        <v>11.776</v>
      </c>
      <c r="J129" s="38" t="n">
        <v>56</v>
      </c>
      <c r="K129" s="39" t="inlineStr">
        <is>
          <t>СК2</t>
        </is>
      </c>
      <c r="L129" s="38" t="n">
        <v>30</v>
      </c>
      <c r="M129" s="702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29" s="635" t="n"/>
      <c r="O129" s="635" t="n"/>
      <c r="P129" s="635" t="n"/>
      <c r="Q129" s="601" t="n"/>
      <c r="R129" s="40" t="inlineStr"/>
      <c r="S129" s="40" t="inlineStr"/>
      <c r="T129" s="41" t="inlineStr">
        <is>
          <t>кг</t>
        </is>
      </c>
      <c r="U129" s="636" t="n">
        <v>0</v>
      </c>
      <c r="V129" s="637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136" t="inlineStr">
        <is>
          <t>КИ</t>
        </is>
      </c>
    </row>
    <row r="130">
      <c r="A130" s="364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638" t="n"/>
      <c r="M130" s="639" t="inlineStr">
        <is>
          <t>Итого</t>
        </is>
      </c>
      <c r="N130" s="609" t="n"/>
      <c r="O130" s="609" t="n"/>
      <c r="P130" s="609" t="n"/>
      <c r="Q130" s="609" t="n"/>
      <c r="R130" s="609" t="n"/>
      <c r="S130" s="610" t="n"/>
      <c r="T130" s="43" t="inlineStr">
        <is>
          <t>кор</t>
        </is>
      </c>
      <c r="U130" s="640">
        <f>IFERROR(U127/H127,"0")+IFERROR(U128/H128,"0")+IFERROR(U129/H129,"0")</f>
        <v/>
      </c>
      <c r="V130" s="640">
        <f>IFERROR(V127/H127,"0")+IFERROR(V128/H128,"0")+IFERROR(V129/H129,"0")</f>
        <v/>
      </c>
      <c r="W130" s="640">
        <f>IFERROR(IF(W127="",0,W127),"0")+IFERROR(IF(W128="",0,W128),"0")+IFERROR(IF(W129="",0,W129),"0")</f>
        <v/>
      </c>
      <c r="X130" s="641" t="n"/>
      <c r="Y130" s="641" t="n"/>
    </row>
    <row r="131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38" t="n"/>
      <c r="M131" s="639" t="inlineStr">
        <is>
          <t>Итого</t>
        </is>
      </c>
      <c r="N131" s="609" t="n"/>
      <c r="O131" s="609" t="n"/>
      <c r="P131" s="609" t="n"/>
      <c r="Q131" s="609" t="n"/>
      <c r="R131" s="609" t="n"/>
      <c r="S131" s="610" t="n"/>
      <c r="T131" s="43" t="inlineStr">
        <is>
          <t>кг</t>
        </is>
      </c>
      <c r="U131" s="640">
        <f>IFERROR(SUM(U127:U129),"0")</f>
        <v/>
      </c>
      <c r="V131" s="640">
        <f>IFERROR(SUM(V127:V129),"0")</f>
        <v/>
      </c>
      <c r="W131" s="43" t="n"/>
      <c r="X131" s="641" t="n"/>
      <c r="Y131" s="641" t="n"/>
    </row>
    <row r="132" ht="16.5" customHeight="1">
      <c r="A132" s="354" t="inlineStr">
        <is>
          <t>Бордо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354" t="n"/>
      <c r="Y132" s="354" t="n"/>
    </row>
    <row r="133" ht="14.25" customHeight="1">
      <c r="A133" s="355" t="inlineStr">
        <is>
          <t>Вареные колбасы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55" t="n"/>
      <c r="Y133" s="355" t="n"/>
    </row>
    <row r="134" ht="16.5" customHeight="1">
      <c r="A134" s="64" t="inlineStr">
        <is>
          <t>SU002824</t>
        </is>
      </c>
      <c r="B134" s="64" t="inlineStr">
        <is>
          <t>P003231</t>
        </is>
      </c>
      <c r="C134" s="37" t="n">
        <v>4301011450</v>
      </c>
      <c r="D134" s="356" t="n">
        <v>4680115881402</v>
      </c>
      <c r="E134" s="601" t="n"/>
      <c r="F134" s="633" t="n">
        <v>1.35</v>
      </c>
      <c r="G134" s="38" t="n">
        <v>8</v>
      </c>
      <c r="H134" s="633" t="n">
        <v>10.8</v>
      </c>
      <c r="I134" s="633" t="n">
        <v>11.28</v>
      </c>
      <c r="J134" s="38" t="n">
        <v>56</v>
      </c>
      <c r="K134" s="39" t="inlineStr">
        <is>
          <t>СК1</t>
        </is>
      </c>
      <c r="L134" s="38" t="n">
        <v>55</v>
      </c>
      <c r="M134" s="703" t="inlineStr">
        <is>
          <t>Вареные колбасы "Сочинка" Весовой п/а ТМ "Стародворье"</t>
        </is>
      </c>
      <c r="N134" s="635" t="n"/>
      <c r="O134" s="635" t="n"/>
      <c r="P134" s="635" t="n"/>
      <c r="Q134" s="601" t="n"/>
      <c r="R134" s="40" t="inlineStr"/>
      <c r="S134" s="40" t="inlineStr"/>
      <c r="T134" s="41" t="inlineStr">
        <is>
          <t>кг</t>
        </is>
      </c>
      <c r="U134" s="636" t="n">
        <v>0</v>
      </c>
      <c r="V134" s="637">
        <f>IFERROR(IF(U134="",0,CEILING((U134/$H134),1)*$H134),"")</f>
        <v/>
      </c>
      <c r="W134" s="42">
        <f>IFERROR(IF(V134=0,"",ROUNDUP(V134/H134,0)*0.02175),"")</f>
        <v/>
      </c>
      <c r="X134" s="69" t="inlineStr"/>
      <c r="Y134" s="70" t="inlineStr">
        <is>
          <t>Новинка</t>
        </is>
      </c>
      <c r="AC134" s="137" t="inlineStr">
        <is>
          <t>КИ</t>
        </is>
      </c>
    </row>
    <row r="135" ht="27" customHeight="1">
      <c r="A135" s="64" t="inlineStr">
        <is>
          <t>SU000057</t>
        </is>
      </c>
      <c r="B135" s="64" t="inlineStr">
        <is>
          <t>P002047</t>
        </is>
      </c>
      <c r="C135" s="37" t="n">
        <v>4301011346</v>
      </c>
      <c r="D135" s="356" t="n">
        <v>4607091387445</v>
      </c>
      <c r="E135" s="601" t="n"/>
      <c r="F135" s="633" t="n">
        <v>0.9</v>
      </c>
      <c r="G135" s="38" t="n">
        <v>10</v>
      </c>
      <c r="H135" s="633" t="n">
        <v>9</v>
      </c>
      <c r="I135" s="633" t="n">
        <v>9.630000000000001</v>
      </c>
      <c r="J135" s="38" t="n">
        <v>56</v>
      </c>
      <c r="K135" s="39" t="inlineStr">
        <is>
          <t>СК1</t>
        </is>
      </c>
      <c r="L135" s="38" t="n">
        <v>31</v>
      </c>
      <c r="M135" s="704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5" s="635" t="n"/>
      <c r="O135" s="635" t="n"/>
      <c r="P135" s="635" t="n"/>
      <c r="Q135" s="601" t="n"/>
      <c r="R135" s="40" t="inlineStr"/>
      <c r="S135" s="40" t="inlineStr"/>
      <c r="T135" s="41" t="inlineStr">
        <is>
          <t>кг</t>
        </is>
      </c>
      <c r="U135" s="636" t="n">
        <v>0</v>
      </c>
      <c r="V135" s="637">
        <f>IFERROR(IF(U135="",0,CEILING((U135/$H135),1)*$H135),"")</f>
        <v/>
      </c>
      <c r="W135" s="42">
        <f>IFERROR(IF(V135=0,"",ROUNDUP(V135/H135,0)*0.02175),"")</f>
        <v/>
      </c>
      <c r="X135" s="69" t="inlineStr"/>
      <c r="Y135" s="70" t="inlineStr"/>
      <c r="AC135" s="138" t="inlineStr">
        <is>
          <t>КИ</t>
        </is>
      </c>
    </row>
    <row r="136" ht="27" customHeight="1">
      <c r="A136" s="64" t="inlineStr">
        <is>
          <t>SU001777</t>
        </is>
      </c>
      <c r="B136" s="64" t="inlineStr">
        <is>
          <t>P002226</t>
        </is>
      </c>
      <c r="C136" s="37" t="n">
        <v>4301011362</v>
      </c>
      <c r="D136" s="356" t="n">
        <v>4607091386004</v>
      </c>
      <c r="E136" s="601" t="n"/>
      <c r="F136" s="633" t="n">
        <v>1.35</v>
      </c>
      <c r="G136" s="38" t="n">
        <v>8</v>
      </c>
      <c r="H136" s="633" t="n">
        <v>10.8</v>
      </c>
      <c r="I136" s="633" t="n">
        <v>11.28</v>
      </c>
      <c r="J136" s="38" t="n">
        <v>48</v>
      </c>
      <c r="K136" s="39" t="inlineStr">
        <is>
          <t>ВЗ</t>
        </is>
      </c>
      <c r="L136" s="38" t="n">
        <v>55</v>
      </c>
      <c r="M136" s="705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6" s="635" t="n"/>
      <c r="O136" s="635" t="n"/>
      <c r="P136" s="635" t="n"/>
      <c r="Q136" s="601" t="n"/>
      <c r="R136" s="40" t="inlineStr"/>
      <c r="S136" s="40" t="inlineStr"/>
      <c r="T136" s="41" t="inlineStr">
        <is>
          <t>кг</t>
        </is>
      </c>
      <c r="U136" s="636" t="n">
        <v>1200</v>
      </c>
      <c r="V136" s="637">
        <f>IFERROR(IF(U136="",0,CEILING((U136/$H136),1)*$H136),"")</f>
        <v/>
      </c>
      <c r="W136" s="42">
        <f>IFERROR(IF(V136=0,"",ROUNDUP(V136/H136,0)*0.02039),"")</f>
        <v/>
      </c>
      <c r="X136" s="69" t="inlineStr"/>
      <c r="Y136" s="70" t="inlineStr"/>
      <c r="AC136" s="139" t="inlineStr">
        <is>
          <t>КИ</t>
        </is>
      </c>
    </row>
    <row r="137" ht="27" customHeight="1">
      <c r="A137" s="64" t="inlineStr">
        <is>
          <t>SU001777</t>
        </is>
      </c>
      <c r="B137" s="64" t="inlineStr">
        <is>
          <t>P001777</t>
        </is>
      </c>
      <c r="C137" s="37" t="n">
        <v>4301011308</v>
      </c>
      <c r="D137" s="356" t="n">
        <v>4607091386004</v>
      </c>
      <c r="E137" s="601" t="n"/>
      <c r="F137" s="633" t="n">
        <v>1.35</v>
      </c>
      <c r="G137" s="38" t="n">
        <v>8</v>
      </c>
      <c r="H137" s="633" t="n">
        <v>10.8</v>
      </c>
      <c r="I137" s="633" t="n">
        <v>11.28</v>
      </c>
      <c r="J137" s="38" t="n">
        <v>56</v>
      </c>
      <c r="K137" s="39" t="inlineStr">
        <is>
          <t>СК1</t>
        </is>
      </c>
      <c r="L137" s="38" t="n">
        <v>55</v>
      </c>
      <c r="M137" s="706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37" s="635" t="n"/>
      <c r="O137" s="635" t="n"/>
      <c r="P137" s="635" t="n"/>
      <c r="Q137" s="601" t="n"/>
      <c r="R137" s="40" t="inlineStr"/>
      <c r="S137" s="40" t="inlineStr"/>
      <c r="T137" s="41" t="inlineStr">
        <is>
          <t>кг</t>
        </is>
      </c>
      <c r="U137" s="636" t="n">
        <v>0</v>
      </c>
      <c r="V137" s="637">
        <f>IFERROR(IF(U137="",0,CEILING((U137/$H137),1)*$H137),"")</f>
        <v/>
      </c>
      <c r="W137" s="42">
        <f>IFERROR(IF(V137=0,"",ROUNDUP(V137/H137,0)*0.02175),"")</f>
        <v/>
      </c>
      <c r="X137" s="69" t="inlineStr"/>
      <c r="Y137" s="70" t="inlineStr"/>
      <c r="AC137" s="140" t="inlineStr">
        <is>
          <t>КИ</t>
        </is>
      </c>
    </row>
    <row r="138" ht="27" customHeight="1">
      <c r="A138" s="64" t="inlineStr">
        <is>
          <t>SU000058</t>
        </is>
      </c>
      <c r="B138" s="64" t="inlineStr">
        <is>
          <t>P002048</t>
        </is>
      </c>
      <c r="C138" s="37" t="n">
        <v>4301011347</v>
      </c>
      <c r="D138" s="356" t="n">
        <v>4607091386073</v>
      </c>
      <c r="E138" s="601" t="n"/>
      <c r="F138" s="633" t="n">
        <v>0.9</v>
      </c>
      <c r="G138" s="38" t="n">
        <v>10</v>
      </c>
      <c r="H138" s="633" t="n">
        <v>9</v>
      </c>
      <c r="I138" s="633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07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38" s="635" t="n"/>
      <c r="O138" s="635" t="n"/>
      <c r="P138" s="635" t="n"/>
      <c r="Q138" s="601" t="n"/>
      <c r="R138" s="40" t="inlineStr"/>
      <c r="S138" s="40" t="inlineStr"/>
      <c r="T138" s="41" t="inlineStr">
        <is>
          <t>кг</t>
        </is>
      </c>
      <c r="U138" s="636" t="n">
        <v>0</v>
      </c>
      <c r="V138" s="637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41" t="inlineStr">
        <is>
          <t>КИ</t>
        </is>
      </c>
    </row>
    <row r="139" ht="27" customHeight="1">
      <c r="A139" s="64" t="inlineStr">
        <is>
          <t>SU001780</t>
        </is>
      </c>
      <c r="B139" s="64" t="inlineStr">
        <is>
          <t>P003075</t>
        </is>
      </c>
      <c r="C139" s="37" t="n">
        <v>4301011395</v>
      </c>
      <c r="D139" s="356" t="n">
        <v>4607091387322</v>
      </c>
      <c r="E139" s="601" t="n"/>
      <c r="F139" s="633" t="n">
        <v>1.35</v>
      </c>
      <c r="G139" s="38" t="n">
        <v>8</v>
      </c>
      <c r="H139" s="633" t="n">
        <v>10.8</v>
      </c>
      <c r="I139" s="633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08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39" s="635" t="n"/>
      <c r="O139" s="635" t="n"/>
      <c r="P139" s="635" t="n"/>
      <c r="Q139" s="601" t="n"/>
      <c r="R139" s="40" t="inlineStr"/>
      <c r="S139" s="40" t="inlineStr"/>
      <c r="T139" s="41" t="inlineStr">
        <is>
          <t>кг</t>
        </is>
      </c>
      <c r="U139" s="636" t="n">
        <v>0</v>
      </c>
      <c r="V139" s="637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42" t="inlineStr">
        <is>
          <t>КИ</t>
        </is>
      </c>
    </row>
    <row r="140" ht="27" customHeight="1">
      <c r="A140" s="64" t="inlineStr">
        <is>
          <t>SU001780</t>
        </is>
      </c>
      <c r="B140" s="64" t="inlineStr">
        <is>
          <t>P001780</t>
        </is>
      </c>
      <c r="C140" s="37" t="n">
        <v>4301010928</v>
      </c>
      <c r="D140" s="356" t="n">
        <v>4607091387322</v>
      </c>
      <c r="E140" s="601" t="n"/>
      <c r="F140" s="633" t="n">
        <v>1.35</v>
      </c>
      <c r="G140" s="38" t="n">
        <v>8</v>
      </c>
      <c r="H140" s="633" t="n">
        <v>10.8</v>
      </c>
      <c r="I140" s="633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09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0" s="635" t="n"/>
      <c r="O140" s="635" t="n"/>
      <c r="P140" s="635" t="n"/>
      <c r="Q140" s="601" t="n"/>
      <c r="R140" s="40" t="inlineStr"/>
      <c r="S140" s="40" t="inlineStr"/>
      <c r="T140" s="41" t="inlineStr">
        <is>
          <t>кг</t>
        </is>
      </c>
      <c r="U140" s="636" t="n">
        <v>100</v>
      </c>
      <c r="V140" s="637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3" t="inlineStr">
        <is>
          <t>КИ</t>
        </is>
      </c>
    </row>
    <row r="141" ht="27" customHeight="1">
      <c r="A141" s="64" t="inlineStr">
        <is>
          <t>SU001778</t>
        </is>
      </c>
      <c r="B141" s="64" t="inlineStr">
        <is>
          <t>P001778</t>
        </is>
      </c>
      <c r="C141" s="37" t="n">
        <v>4301011311</v>
      </c>
      <c r="D141" s="356" t="n">
        <v>4607091387377</v>
      </c>
      <c r="E141" s="601" t="n"/>
      <c r="F141" s="633" t="n">
        <v>1.35</v>
      </c>
      <c r="G141" s="38" t="n">
        <v>8</v>
      </c>
      <c r="H141" s="633" t="n">
        <v>10.8</v>
      </c>
      <c r="I141" s="633" t="n">
        <v>11.28</v>
      </c>
      <c r="J141" s="38" t="n">
        <v>56</v>
      </c>
      <c r="K141" s="39" t="inlineStr">
        <is>
          <t>СК1</t>
        </is>
      </c>
      <c r="L141" s="38" t="n">
        <v>55</v>
      </c>
      <c r="M141" s="710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1" s="635" t="n"/>
      <c r="O141" s="635" t="n"/>
      <c r="P141" s="635" t="n"/>
      <c r="Q141" s="601" t="n"/>
      <c r="R141" s="40" t="inlineStr"/>
      <c r="S141" s="40" t="inlineStr"/>
      <c r="T141" s="41" t="inlineStr">
        <is>
          <t>кг</t>
        </is>
      </c>
      <c r="U141" s="636" t="n">
        <v>0</v>
      </c>
      <c r="V141" s="637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4" t="inlineStr">
        <is>
          <t>КИ</t>
        </is>
      </c>
    </row>
    <row r="142" ht="27" customHeight="1">
      <c r="A142" s="64" t="inlineStr">
        <is>
          <t>SU000043</t>
        </is>
      </c>
      <c r="B142" s="64" t="inlineStr">
        <is>
          <t>P001807</t>
        </is>
      </c>
      <c r="C142" s="37" t="n">
        <v>4301010945</v>
      </c>
      <c r="D142" s="356" t="n">
        <v>4607091387353</v>
      </c>
      <c r="E142" s="601" t="n"/>
      <c r="F142" s="633" t="n">
        <v>1.35</v>
      </c>
      <c r="G142" s="38" t="n">
        <v>8</v>
      </c>
      <c r="H142" s="633" t="n">
        <v>10.8</v>
      </c>
      <c r="I142" s="633" t="n">
        <v>11.28</v>
      </c>
      <c r="J142" s="38" t="n">
        <v>56</v>
      </c>
      <c r="K142" s="39" t="inlineStr">
        <is>
          <t>СК1</t>
        </is>
      </c>
      <c r="L142" s="38" t="n">
        <v>55</v>
      </c>
      <c r="M142" s="711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2" s="635" t="n"/>
      <c r="O142" s="635" t="n"/>
      <c r="P142" s="635" t="n"/>
      <c r="Q142" s="601" t="n"/>
      <c r="R142" s="40" t="inlineStr"/>
      <c r="S142" s="40" t="inlineStr"/>
      <c r="T142" s="41" t="inlineStr">
        <is>
          <t>кг</t>
        </is>
      </c>
      <c r="U142" s="636" t="n">
        <v>0</v>
      </c>
      <c r="V142" s="637">
        <f>IFERROR(IF(U142="",0,CEILING((U142/$H142),1)*$H142),"")</f>
        <v/>
      </c>
      <c r="W142" s="42">
        <f>IFERROR(IF(V142=0,"",ROUNDUP(V142/H142,0)*0.02175),"")</f>
        <v/>
      </c>
      <c r="X142" s="69" t="inlineStr"/>
      <c r="Y142" s="70" t="inlineStr"/>
      <c r="AC142" s="145" t="inlineStr">
        <is>
          <t>КИ</t>
        </is>
      </c>
    </row>
    <row r="143" ht="27" customHeight="1">
      <c r="A143" s="64" t="inlineStr">
        <is>
          <t>SU001800</t>
        </is>
      </c>
      <c r="B143" s="64" t="inlineStr">
        <is>
          <t>P001800</t>
        </is>
      </c>
      <c r="C143" s="37" t="n">
        <v>4301011328</v>
      </c>
      <c r="D143" s="356" t="n">
        <v>4607091386011</v>
      </c>
      <c r="E143" s="601" t="n"/>
      <c r="F143" s="633" t="n">
        <v>0.5</v>
      </c>
      <c r="G143" s="38" t="n">
        <v>10</v>
      </c>
      <c r="H143" s="633" t="n">
        <v>5</v>
      </c>
      <c r="I143" s="633" t="n">
        <v>5.21</v>
      </c>
      <c r="J143" s="38" t="n">
        <v>120</v>
      </c>
      <c r="K143" s="39" t="inlineStr">
        <is>
          <t>СК2</t>
        </is>
      </c>
      <c r="L143" s="38" t="n">
        <v>55</v>
      </c>
      <c r="M143" s="712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3" s="635" t="n"/>
      <c r="O143" s="635" t="n"/>
      <c r="P143" s="635" t="n"/>
      <c r="Q143" s="601" t="n"/>
      <c r="R143" s="40" t="inlineStr"/>
      <c r="S143" s="40" t="inlineStr"/>
      <c r="T143" s="41" t="inlineStr">
        <is>
          <t>кг</t>
        </is>
      </c>
      <c r="U143" s="636" t="n">
        <v>0</v>
      </c>
      <c r="V143" s="637">
        <f>IFERROR(IF(U143="",0,CEILING((U143/$H143),1)*$H143),"")</f>
        <v/>
      </c>
      <c r="W143" s="42">
        <f>IFERROR(IF(V143=0,"",ROUNDUP(V143/H143,0)*0.00937),"")</f>
        <v/>
      </c>
      <c r="X143" s="69" t="inlineStr"/>
      <c r="Y143" s="70" t="inlineStr"/>
      <c r="AC143" s="146" t="inlineStr">
        <is>
          <t>КИ</t>
        </is>
      </c>
    </row>
    <row r="144" ht="27" customHeight="1">
      <c r="A144" s="64" t="inlineStr">
        <is>
          <t>SU001805</t>
        </is>
      </c>
      <c r="B144" s="64" t="inlineStr">
        <is>
          <t>P001805</t>
        </is>
      </c>
      <c r="C144" s="37" t="n">
        <v>4301011329</v>
      </c>
      <c r="D144" s="356" t="n">
        <v>4607091387308</v>
      </c>
      <c r="E144" s="601" t="n"/>
      <c r="F144" s="633" t="n">
        <v>0.5</v>
      </c>
      <c r="G144" s="38" t="n">
        <v>10</v>
      </c>
      <c r="H144" s="633" t="n">
        <v>5</v>
      </c>
      <c r="I144" s="633" t="n">
        <v>5.21</v>
      </c>
      <c r="J144" s="38" t="n">
        <v>120</v>
      </c>
      <c r="K144" s="39" t="inlineStr">
        <is>
          <t>СК2</t>
        </is>
      </c>
      <c r="L144" s="38" t="n">
        <v>55</v>
      </c>
      <c r="M144" s="713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4" s="635" t="n"/>
      <c r="O144" s="635" t="n"/>
      <c r="P144" s="635" t="n"/>
      <c r="Q144" s="601" t="n"/>
      <c r="R144" s="40" t="inlineStr"/>
      <c r="S144" s="40" t="inlineStr"/>
      <c r="T144" s="41" t="inlineStr">
        <is>
          <t>кг</t>
        </is>
      </c>
      <c r="U144" s="636" t="n">
        <v>0</v>
      </c>
      <c r="V144" s="637">
        <f>IFERROR(IF(U144="",0,CEILING((U144/$H144),1)*$H144),"")</f>
        <v/>
      </c>
      <c r="W144" s="42">
        <f>IFERROR(IF(V144=0,"",ROUNDUP(V144/H144,0)*0.00937),"")</f>
        <v/>
      </c>
      <c r="X144" s="69" t="inlineStr"/>
      <c r="Y144" s="70" t="inlineStr"/>
      <c r="AC144" s="147" t="inlineStr">
        <is>
          <t>КИ</t>
        </is>
      </c>
    </row>
    <row r="145" ht="27" customHeight="1">
      <c r="A145" s="64" t="inlineStr">
        <is>
          <t>SU001829</t>
        </is>
      </c>
      <c r="B145" s="64" t="inlineStr">
        <is>
          <t>P001829</t>
        </is>
      </c>
      <c r="C145" s="37" t="n">
        <v>4301011049</v>
      </c>
      <c r="D145" s="356" t="n">
        <v>4607091387339</v>
      </c>
      <c r="E145" s="601" t="n"/>
      <c r="F145" s="633" t="n">
        <v>0.5</v>
      </c>
      <c r="G145" s="38" t="n">
        <v>10</v>
      </c>
      <c r="H145" s="633" t="n">
        <v>5</v>
      </c>
      <c r="I145" s="633" t="n">
        <v>5.24</v>
      </c>
      <c r="J145" s="38" t="n">
        <v>120</v>
      </c>
      <c r="K145" s="39" t="inlineStr">
        <is>
          <t>СК1</t>
        </is>
      </c>
      <c r="L145" s="38" t="n">
        <v>55</v>
      </c>
      <c r="M145" s="714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5" s="635" t="n"/>
      <c r="O145" s="635" t="n"/>
      <c r="P145" s="635" t="n"/>
      <c r="Q145" s="601" t="n"/>
      <c r="R145" s="40" t="inlineStr"/>
      <c r="S145" s="40" t="inlineStr"/>
      <c r="T145" s="41" t="inlineStr">
        <is>
          <t>кг</t>
        </is>
      </c>
      <c r="U145" s="636" t="n">
        <v>0</v>
      </c>
      <c r="V145" s="637">
        <f>IFERROR(IF(U145="",0,CEILING((U145/$H145),1)*$H145),"")</f>
        <v/>
      </c>
      <c r="W145" s="42">
        <f>IFERROR(IF(V145=0,"",ROUNDUP(V145/H145,0)*0.00937),"")</f>
        <v/>
      </c>
      <c r="X145" s="69" t="inlineStr"/>
      <c r="Y145" s="70" t="inlineStr"/>
      <c r="AC145" s="148" t="inlineStr">
        <is>
          <t>КИ</t>
        </is>
      </c>
    </row>
    <row r="146" ht="27" customHeight="1">
      <c r="A146" s="64" t="inlineStr">
        <is>
          <t>SU002894</t>
        </is>
      </c>
      <c r="B146" s="64" t="inlineStr">
        <is>
          <t>P003314</t>
        </is>
      </c>
      <c r="C146" s="37" t="n">
        <v>4301011573</v>
      </c>
      <c r="D146" s="356" t="n">
        <v>4680115881938</v>
      </c>
      <c r="E146" s="601" t="n"/>
      <c r="F146" s="633" t="n">
        <v>0.4</v>
      </c>
      <c r="G146" s="38" t="n">
        <v>10</v>
      </c>
      <c r="H146" s="633" t="n">
        <v>4</v>
      </c>
      <c r="I146" s="633" t="n">
        <v>4.24</v>
      </c>
      <c r="J146" s="38" t="n">
        <v>120</v>
      </c>
      <c r="K146" s="39" t="inlineStr">
        <is>
          <t>СК1</t>
        </is>
      </c>
      <c r="L146" s="38" t="n">
        <v>90</v>
      </c>
      <c r="M146" s="715" t="inlineStr">
        <is>
          <t>Вареные колбасы пастеризованная "Стародворская без шпика" Фикс.вес 0,4 п/а ТМ " Стародворье"</t>
        </is>
      </c>
      <c r="N146" s="635" t="n"/>
      <c r="O146" s="635" t="n"/>
      <c r="P146" s="635" t="n"/>
      <c r="Q146" s="601" t="n"/>
      <c r="R146" s="40" t="inlineStr"/>
      <c r="S146" s="40" t="inlineStr"/>
      <c r="T146" s="41" t="inlineStr">
        <is>
          <t>кг</t>
        </is>
      </c>
      <c r="U146" s="636" t="n">
        <v>0</v>
      </c>
      <c r="V146" s="637">
        <f>IFERROR(IF(U146="",0,CEILING((U146/$H146),1)*$H146),"")</f>
        <v/>
      </c>
      <c r="W146" s="42">
        <f>IFERROR(IF(V146=0,"",ROUNDUP(V146/H146,0)*0.00937),"")</f>
        <v/>
      </c>
      <c r="X146" s="69" t="inlineStr"/>
      <c r="Y146" s="70" t="inlineStr"/>
      <c r="AC146" s="149" t="inlineStr">
        <is>
          <t>КИ</t>
        </is>
      </c>
    </row>
    <row r="147" ht="27" customHeight="1">
      <c r="A147" s="64" t="inlineStr">
        <is>
          <t>SU002823</t>
        </is>
      </c>
      <c r="B147" s="64" t="inlineStr">
        <is>
          <t>P003230</t>
        </is>
      </c>
      <c r="C147" s="37" t="n">
        <v>4301011454</v>
      </c>
      <c r="D147" s="356" t="n">
        <v>4680115881396</v>
      </c>
      <c r="E147" s="601" t="n"/>
      <c r="F147" s="633" t="n">
        <v>0.45</v>
      </c>
      <c r="G147" s="38" t="n">
        <v>6</v>
      </c>
      <c r="H147" s="633" t="n">
        <v>2.7</v>
      </c>
      <c r="I147" s="633" t="n">
        <v>2.9</v>
      </c>
      <c r="J147" s="38" t="n">
        <v>156</v>
      </c>
      <c r="K147" s="39" t="inlineStr">
        <is>
          <t>СК2</t>
        </is>
      </c>
      <c r="L147" s="38" t="n">
        <v>55</v>
      </c>
      <c r="M147" s="716" t="inlineStr">
        <is>
          <t>Вареные колбасы Сочинка с сочным окороком ТМ Стародворье ф/в 0,45 кг</t>
        </is>
      </c>
      <c r="N147" s="635" t="n"/>
      <c r="O147" s="635" t="n"/>
      <c r="P147" s="635" t="n"/>
      <c r="Q147" s="601" t="n"/>
      <c r="R147" s="40" t="inlineStr"/>
      <c r="S147" s="40" t="inlineStr"/>
      <c r="T147" s="41" t="inlineStr">
        <is>
          <t>кг</t>
        </is>
      </c>
      <c r="U147" s="636" t="n">
        <v>0</v>
      </c>
      <c r="V147" s="637">
        <f>IFERROR(IF(U147="",0,CEILING((U147/$H147),1)*$H147),"")</f>
        <v/>
      </c>
      <c r="W147" s="42">
        <f>IFERROR(IF(V147=0,"",ROUNDUP(V147/H147,0)*0.00753),"")</f>
        <v/>
      </c>
      <c r="X147" s="69" t="inlineStr"/>
      <c r="Y147" s="70" t="inlineStr"/>
      <c r="AC147" s="150" t="inlineStr">
        <is>
          <t>КИ</t>
        </is>
      </c>
    </row>
    <row r="148" ht="27" customHeight="1">
      <c r="A148" s="64" t="inlineStr">
        <is>
          <t>SU000078</t>
        </is>
      </c>
      <c r="B148" s="64" t="inlineStr">
        <is>
          <t>P001806</t>
        </is>
      </c>
      <c r="C148" s="37" t="n">
        <v>4301010944</v>
      </c>
      <c r="D148" s="356" t="n">
        <v>4607091387346</v>
      </c>
      <c r="E148" s="601" t="n"/>
      <c r="F148" s="633" t="n">
        <v>0.4</v>
      </c>
      <c r="G148" s="38" t="n">
        <v>10</v>
      </c>
      <c r="H148" s="633" t="n">
        <v>4</v>
      </c>
      <c r="I148" s="633" t="n">
        <v>4.24</v>
      </c>
      <c r="J148" s="38" t="n">
        <v>120</v>
      </c>
      <c r="K148" s="39" t="inlineStr">
        <is>
          <t>СК1</t>
        </is>
      </c>
      <c r="L148" s="38" t="n">
        <v>55</v>
      </c>
      <c r="M148" s="717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48" s="635" t="n"/>
      <c r="O148" s="635" t="n"/>
      <c r="P148" s="635" t="n"/>
      <c r="Q148" s="601" t="n"/>
      <c r="R148" s="40" t="inlineStr"/>
      <c r="S148" s="40" t="inlineStr"/>
      <c r="T148" s="41" t="inlineStr">
        <is>
          <t>кг</t>
        </is>
      </c>
      <c r="U148" s="636" t="n">
        <v>0</v>
      </c>
      <c r="V148" s="637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51" t="inlineStr">
        <is>
          <t>КИ</t>
        </is>
      </c>
    </row>
    <row r="149">
      <c r="A149" s="364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38" t="n"/>
      <c r="M149" s="639" t="inlineStr">
        <is>
          <t>Итого</t>
        </is>
      </c>
      <c r="N149" s="609" t="n"/>
      <c r="O149" s="609" t="n"/>
      <c r="P149" s="609" t="n"/>
      <c r="Q149" s="609" t="n"/>
      <c r="R149" s="609" t="n"/>
      <c r="S149" s="610" t="n"/>
      <c r="T149" s="43" t="inlineStr">
        <is>
          <t>кор</t>
        </is>
      </c>
      <c r="U149" s="640">
        <f>IFERROR(U134/H134,"0")+IFERROR(U135/H135,"0")+IFERROR(U136/H136,"0")+IFERROR(U137/H137,"0")+IFERROR(U138/H138,"0")+IFERROR(U139/H139,"0")+IFERROR(U140/H140,"0")+IFERROR(U141/H141,"0")+IFERROR(U142/H142,"0")+IFERROR(U143/H143,"0")+IFERROR(U144/H144,"0")+IFERROR(U145/H145,"0")+IFERROR(U146/H146,"0")+IFERROR(U147/H147,"0")+IFERROR(U148/H148,"0")</f>
        <v/>
      </c>
      <c r="V149" s="640">
        <f>IFERROR(V134/H134,"0")+IFERROR(V135/H135,"0")+IFERROR(V136/H136,"0")+IFERROR(V137/H137,"0")+IFERROR(V138/H138,"0")+IFERROR(V139/H139,"0")+IFERROR(V140/H140,"0")+IFERROR(V141/H141,"0")+IFERROR(V142/H142,"0")+IFERROR(V143/H143,"0")+IFERROR(V144/H144,"0")+IFERROR(V145/H145,"0")+IFERROR(V146/H146,"0")+IFERROR(V147/H147,"0")+IFERROR(V148/H148,"0")</f>
        <v/>
      </c>
      <c r="W149" s="640">
        <f>IFERROR(IF(W134="",0,W134),"0")+IFERROR(IF(W135="",0,W135),"0")+IFERROR(IF(W136="",0,W136),"0")+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</f>
        <v/>
      </c>
      <c r="X149" s="641" t="n"/>
      <c r="Y149" s="641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38" t="n"/>
      <c r="M150" s="639" t="inlineStr">
        <is>
          <t>Итого</t>
        </is>
      </c>
      <c r="N150" s="609" t="n"/>
      <c r="O150" s="609" t="n"/>
      <c r="P150" s="609" t="n"/>
      <c r="Q150" s="609" t="n"/>
      <c r="R150" s="609" t="n"/>
      <c r="S150" s="610" t="n"/>
      <c r="T150" s="43" t="inlineStr">
        <is>
          <t>кг</t>
        </is>
      </c>
      <c r="U150" s="640">
        <f>IFERROR(SUM(U134:U148),"0")</f>
        <v/>
      </c>
      <c r="V150" s="640">
        <f>IFERROR(SUM(V134:V148),"0")</f>
        <v/>
      </c>
      <c r="W150" s="43" t="n"/>
      <c r="X150" s="641" t="n"/>
      <c r="Y150" s="641" t="n"/>
    </row>
    <row r="151" ht="14.25" customHeight="1">
      <c r="A151" s="355" t="inlineStr">
        <is>
          <t>Ветчины</t>
        </is>
      </c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355" t="n"/>
      <c r="Y151" s="355" t="n"/>
    </row>
    <row r="152" ht="27" customHeight="1">
      <c r="A152" s="64" t="inlineStr">
        <is>
          <t>SU002788</t>
        </is>
      </c>
      <c r="B152" s="64" t="inlineStr">
        <is>
          <t>P003190</t>
        </is>
      </c>
      <c r="C152" s="37" t="n">
        <v>4301020254</v>
      </c>
      <c r="D152" s="356" t="n">
        <v>4680115881914</v>
      </c>
      <c r="E152" s="601" t="n"/>
      <c r="F152" s="633" t="n">
        <v>0.4</v>
      </c>
      <c r="G152" s="38" t="n">
        <v>10</v>
      </c>
      <c r="H152" s="633" t="n">
        <v>4</v>
      </c>
      <c r="I152" s="633" t="n">
        <v>4.24</v>
      </c>
      <c r="J152" s="38" t="n">
        <v>120</v>
      </c>
      <c r="K152" s="39" t="inlineStr">
        <is>
          <t>СК1</t>
        </is>
      </c>
      <c r="L152" s="38" t="n">
        <v>90</v>
      </c>
      <c r="M152" s="718" t="inlineStr">
        <is>
          <t>Ветчины пастеризованная "Нежная с филе" Фикс.вес 0,4 п/а ТМ "Особый рецепт"</t>
        </is>
      </c>
      <c r="N152" s="635" t="n"/>
      <c r="O152" s="635" t="n"/>
      <c r="P152" s="635" t="n"/>
      <c r="Q152" s="601" t="n"/>
      <c r="R152" s="40" t="inlineStr"/>
      <c r="S152" s="40" t="inlineStr"/>
      <c r="T152" s="41" t="inlineStr">
        <is>
          <t>кг</t>
        </is>
      </c>
      <c r="U152" s="636" t="n">
        <v>0</v>
      </c>
      <c r="V152" s="637">
        <f>IFERROR(IF(U152="",0,CEILING((U152/$H152),1)*$H152),"")</f>
        <v/>
      </c>
      <c r="W152" s="42">
        <f>IFERROR(IF(V152=0,"",ROUNDUP(V152/H152,0)*0.00937),"")</f>
        <v/>
      </c>
      <c r="X152" s="69" t="inlineStr"/>
      <c r="Y152" s="70" t="inlineStr"/>
      <c r="AC152" s="152" t="inlineStr">
        <is>
          <t>КИ</t>
        </is>
      </c>
    </row>
    <row r="153" ht="16.5" customHeight="1">
      <c r="A153" s="64" t="inlineStr">
        <is>
          <t>SU002757</t>
        </is>
      </c>
      <c r="B153" s="64" t="inlineStr">
        <is>
          <t>P003128</t>
        </is>
      </c>
      <c r="C153" s="37" t="n">
        <v>4301020220</v>
      </c>
      <c r="D153" s="356" t="n">
        <v>4680115880764</v>
      </c>
      <c r="E153" s="601" t="n"/>
      <c r="F153" s="633" t="n">
        <v>0.35</v>
      </c>
      <c r="G153" s="38" t="n">
        <v>6</v>
      </c>
      <c r="H153" s="633" t="n">
        <v>2.1</v>
      </c>
      <c r="I153" s="633" t="n">
        <v>2.3</v>
      </c>
      <c r="J153" s="38" t="n">
        <v>156</v>
      </c>
      <c r="K153" s="39" t="inlineStr">
        <is>
          <t>СК1</t>
        </is>
      </c>
      <c r="L153" s="38" t="n">
        <v>50</v>
      </c>
      <c r="M153" s="719" t="inlineStr">
        <is>
          <t>Ветчина Сочинка с сочным окороком ТМ Стародворье полиамид ф/в 0,35 кг</t>
        </is>
      </c>
      <c r="N153" s="635" t="n"/>
      <c r="O153" s="635" t="n"/>
      <c r="P153" s="635" t="n"/>
      <c r="Q153" s="601" t="n"/>
      <c r="R153" s="40" t="inlineStr"/>
      <c r="S153" s="40" t="inlineStr"/>
      <c r="T153" s="41" t="inlineStr">
        <is>
          <t>кг</t>
        </is>
      </c>
      <c r="U153" s="636" t="n">
        <v>0</v>
      </c>
      <c r="V153" s="637">
        <f>IFERROR(IF(U153="",0,CEILING((U153/$H153),1)*$H153),"")</f>
        <v/>
      </c>
      <c r="W153" s="42">
        <f>IFERROR(IF(V153=0,"",ROUNDUP(V153/H153,0)*0.00753),"")</f>
        <v/>
      </c>
      <c r="X153" s="69" t="inlineStr"/>
      <c r="Y153" s="70" t="inlineStr"/>
      <c r="AC153" s="153" t="inlineStr">
        <is>
          <t>КИ</t>
        </is>
      </c>
    </row>
    <row r="154">
      <c r="A154" s="364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38" t="n"/>
      <c r="M154" s="639" t="inlineStr">
        <is>
          <t>Итого</t>
        </is>
      </c>
      <c r="N154" s="609" t="n"/>
      <c r="O154" s="609" t="n"/>
      <c r="P154" s="609" t="n"/>
      <c r="Q154" s="609" t="n"/>
      <c r="R154" s="609" t="n"/>
      <c r="S154" s="610" t="n"/>
      <c r="T154" s="43" t="inlineStr">
        <is>
          <t>кор</t>
        </is>
      </c>
      <c r="U154" s="640">
        <f>IFERROR(U152/H152,"0")+IFERROR(U153/H153,"0")</f>
        <v/>
      </c>
      <c r="V154" s="640">
        <f>IFERROR(V152/H152,"0")+IFERROR(V153/H153,"0")</f>
        <v/>
      </c>
      <c r="W154" s="640">
        <f>IFERROR(IF(W152="",0,W152),"0")+IFERROR(IF(W153="",0,W153),"0")</f>
        <v/>
      </c>
      <c r="X154" s="641" t="n"/>
      <c r="Y154" s="641" t="n"/>
    </row>
    <row r="155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38" t="n"/>
      <c r="M155" s="639" t="inlineStr">
        <is>
          <t>Итого</t>
        </is>
      </c>
      <c r="N155" s="609" t="n"/>
      <c r="O155" s="609" t="n"/>
      <c r="P155" s="609" t="n"/>
      <c r="Q155" s="609" t="n"/>
      <c r="R155" s="609" t="n"/>
      <c r="S155" s="610" t="n"/>
      <c r="T155" s="43" t="inlineStr">
        <is>
          <t>кг</t>
        </is>
      </c>
      <c r="U155" s="640">
        <f>IFERROR(SUM(U152:U153),"0")</f>
        <v/>
      </c>
      <c r="V155" s="640">
        <f>IFERROR(SUM(V152:V153),"0")</f>
        <v/>
      </c>
      <c r="W155" s="43" t="n"/>
      <c r="X155" s="641" t="n"/>
      <c r="Y155" s="641" t="n"/>
    </row>
    <row r="156" ht="14.25" customHeight="1">
      <c r="A156" s="355" t="inlineStr">
        <is>
          <t>Копченые колбасы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355" t="n"/>
      <c r="Y156" s="355" t="n"/>
    </row>
    <row r="157" ht="27" customHeight="1">
      <c r="A157" s="64" t="inlineStr">
        <is>
          <t>SU001820</t>
        </is>
      </c>
      <c r="B157" s="64" t="inlineStr">
        <is>
          <t>P001820</t>
        </is>
      </c>
      <c r="C157" s="37" t="n">
        <v>4301030878</v>
      </c>
      <c r="D157" s="356" t="n">
        <v>4607091387193</v>
      </c>
      <c r="E157" s="601" t="n"/>
      <c r="F157" s="633" t="n">
        <v>0.7</v>
      </c>
      <c r="G157" s="38" t="n">
        <v>6</v>
      </c>
      <c r="H157" s="633" t="n">
        <v>4.2</v>
      </c>
      <c r="I157" s="633" t="n">
        <v>4.46</v>
      </c>
      <c r="J157" s="38" t="n">
        <v>156</v>
      </c>
      <c r="K157" s="39" t="inlineStr">
        <is>
          <t>СК2</t>
        </is>
      </c>
      <c r="L157" s="38" t="n">
        <v>35</v>
      </c>
      <c r="M157" s="720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57" s="635" t="n"/>
      <c r="O157" s="635" t="n"/>
      <c r="P157" s="635" t="n"/>
      <c r="Q157" s="601" t="n"/>
      <c r="R157" s="40" t="inlineStr"/>
      <c r="S157" s="40" t="inlineStr"/>
      <c r="T157" s="41" t="inlineStr">
        <is>
          <t>кг</t>
        </is>
      </c>
      <c r="U157" s="636" t="n">
        <v>300</v>
      </c>
      <c r="V157" s="637">
        <f>IFERROR(IF(U157="",0,CEILING((U157/$H157),1)*$H157),"")</f>
        <v/>
      </c>
      <c r="W157" s="42">
        <f>IFERROR(IF(V157=0,"",ROUNDUP(V157/H157,0)*0.00753),"")</f>
        <v/>
      </c>
      <c r="X157" s="69" t="inlineStr"/>
      <c r="Y157" s="70" t="inlineStr"/>
      <c r="AC157" s="154" t="inlineStr">
        <is>
          <t>КИ</t>
        </is>
      </c>
    </row>
    <row r="158" ht="27" customHeight="1">
      <c r="A158" s="64" t="inlineStr">
        <is>
          <t>SU001822</t>
        </is>
      </c>
      <c r="B158" s="64" t="inlineStr">
        <is>
          <t>P003013</t>
        </is>
      </c>
      <c r="C158" s="37" t="n">
        <v>4301031153</v>
      </c>
      <c r="D158" s="356" t="n">
        <v>4607091387230</v>
      </c>
      <c r="E158" s="601" t="n"/>
      <c r="F158" s="633" t="n">
        <v>0.7</v>
      </c>
      <c r="G158" s="38" t="n">
        <v>6</v>
      </c>
      <c r="H158" s="633" t="n">
        <v>4.2</v>
      </c>
      <c r="I158" s="633" t="n">
        <v>4.46</v>
      </c>
      <c r="J158" s="38" t="n">
        <v>156</v>
      </c>
      <c r="K158" s="39" t="inlineStr">
        <is>
          <t>СК2</t>
        </is>
      </c>
      <c r="L158" s="38" t="n">
        <v>40</v>
      </c>
      <c r="M158" s="721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58" s="635" t="n"/>
      <c r="O158" s="635" t="n"/>
      <c r="P158" s="635" t="n"/>
      <c r="Q158" s="601" t="n"/>
      <c r="R158" s="40" t="inlineStr"/>
      <c r="S158" s="40" t="inlineStr"/>
      <c r="T158" s="41" t="inlineStr">
        <is>
          <t>кг</t>
        </is>
      </c>
      <c r="U158" s="636" t="n">
        <v>400</v>
      </c>
      <c r="V158" s="637">
        <f>IFERROR(IF(U158="",0,CEILING((U158/$H158),1)*$H158),"")</f>
        <v/>
      </c>
      <c r="W158" s="42">
        <f>IFERROR(IF(V158=0,"",ROUNDUP(V158/H158,0)*0.00753),"")</f>
        <v/>
      </c>
      <c r="X158" s="69" t="inlineStr"/>
      <c r="Y158" s="70" t="inlineStr"/>
      <c r="AC158" s="155" t="inlineStr">
        <is>
          <t>КИ</t>
        </is>
      </c>
    </row>
    <row r="159" ht="27" customHeight="1">
      <c r="A159" s="64" t="inlineStr">
        <is>
          <t>SU002756</t>
        </is>
      </c>
      <c r="B159" s="64" t="inlineStr">
        <is>
          <t>P003179</t>
        </is>
      </c>
      <c r="C159" s="37" t="n">
        <v>4301031191</v>
      </c>
      <c r="D159" s="356" t="n">
        <v>4680115880993</v>
      </c>
      <c r="E159" s="601" t="n"/>
      <c r="F159" s="633" t="n">
        <v>0.7</v>
      </c>
      <c r="G159" s="38" t="n">
        <v>6</v>
      </c>
      <c r="H159" s="633" t="n">
        <v>4.2</v>
      </c>
      <c r="I159" s="633" t="n">
        <v>4.46</v>
      </c>
      <c r="J159" s="38" t="n">
        <v>156</v>
      </c>
      <c r="K159" s="39" t="inlineStr">
        <is>
          <t>СК2</t>
        </is>
      </c>
      <c r="L159" s="38" t="n">
        <v>40</v>
      </c>
      <c r="M159" s="722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59" s="635" t="n"/>
      <c r="O159" s="635" t="n"/>
      <c r="P159" s="635" t="n"/>
      <c r="Q159" s="601" t="n"/>
      <c r="R159" s="40" t="inlineStr"/>
      <c r="S159" s="40" t="inlineStr"/>
      <c r="T159" s="41" t="inlineStr">
        <is>
          <t>кг</t>
        </is>
      </c>
      <c r="U159" s="636" t="n">
        <v>50</v>
      </c>
      <c r="V159" s="637">
        <f>IFERROR(IF(U159="",0,CEILING((U159/$H159),1)*$H159),"")</f>
        <v/>
      </c>
      <c r="W159" s="42">
        <f>IFERROR(IF(V159=0,"",ROUNDUP(V159/H159,0)*0.00753),"")</f>
        <v/>
      </c>
      <c r="X159" s="69" t="inlineStr"/>
      <c r="Y159" s="70" t="inlineStr"/>
      <c r="AC159" s="156" t="inlineStr">
        <is>
          <t>КИ</t>
        </is>
      </c>
    </row>
    <row r="160" ht="27" customHeight="1">
      <c r="A160" s="64" t="inlineStr">
        <is>
          <t>SU002876</t>
        </is>
      </c>
      <c r="B160" s="64" t="inlineStr">
        <is>
          <t>P003276</t>
        </is>
      </c>
      <c r="C160" s="37" t="n">
        <v>4301031204</v>
      </c>
      <c r="D160" s="356" t="n">
        <v>4680115881761</v>
      </c>
      <c r="E160" s="601" t="n"/>
      <c r="F160" s="633" t="n">
        <v>0.7</v>
      </c>
      <c r="G160" s="38" t="n">
        <v>6</v>
      </c>
      <c r="H160" s="633" t="n">
        <v>4.2</v>
      </c>
      <c r="I160" s="633" t="n">
        <v>4.46</v>
      </c>
      <c r="J160" s="38" t="n">
        <v>156</v>
      </c>
      <c r="K160" s="39" t="inlineStr">
        <is>
          <t>СК2</t>
        </is>
      </c>
      <c r="L160" s="38" t="n">
        <v>40</v>
      </c>
      <c r="M160" s="723" t="inlineStr">
        <is>
          <t>Копченые колбасы Салями Мясорубская с рубленым шпиком Бордо Весовой фиброуз Стародворье</t>
        </is>
      </c>
      <c r="N160" s="635" t="n"/>
      <c r="O160" s="635" t="n"/>
      <c r="P160" s="635" t="n"/>
      <c r="Q160" s="601" t="n"/>
      <c r="R160" s="40" t="inlineStr"/>
      <c r="S160" s="40" t="inlineStr"/>
      <c r="T160" s="41" t="inlineStr">
        <is>
          <t>кг</t>
        </is>
      </c>
      <c r="U160" s="636" t="n">
        <v>50</v>
      </c>
      <c r="V160" s="637">
        <f>IFERROR(IF(U160="",0,CEILING((U160/$H160),1)*$H160),"")</f>
        <v/>
      </c>
      <c r="W160" s="42">
        <f>IFERROR(IF(V160=0,"",ROUNDUP(V160/H160,0)*0.00753),"")</f>
        <v/>
      </c>
      <c r="X160" s="69" t="inlineStr"/>
      <c r="Y160" s="70" t="inlineStr"/>
      <c r="AC160" s="157" t="inlineStr">
        <is>
          <t>КИ</t>
        </is>
      </c>
    </row>
    <row r="161" ht="27" customHeight="1">
      <c r="A161" s="64" t="inlineStr">
        <is>
          <t>SU002847</t>
        </is>
      </c>
      <c r="B161" s="64" t="inlineStr">
        <is>
          <t>P003259</t>
        </is>
      </c>
      <c r="C161" s="37" t="n">
        <v>4301031201</v>
      </c>
      <c r="D161" s="356" t="n">
        <v>4680115881563</v>
      </c>
      <c r="E161" s="601" t="n"/>
      <c r="F161" s="633" t="n">
        <v>0.7</v>
      </c>
      <c r="G161" s="38" t="n">
        <v>6</v>
      </c>
      <c r="H161" s="633" t="n">
        <v>4.2</v>
      </c>
      <c r="I161" s="633" t="n">
        <v>4.4</v>
      </c>
      <c r="J161" s="38" t="n">
        <v>156</v>
      </c>
      <c r="K161" s="39" t="inlineStr">
        <is>
          <t>СК2</t>
        </is>
      </c>
      <c r="L161" s="38" t="n">
        <v>40</v>
      </c>
      <c r="M161" s="724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1" s="635" t="n"/>
      <c r="O161" s="635" t="n"/>
      <c r="P161" s="635" t="n"/>
      <c r="Q161" s="601" t="n"/>
      <c r="R161" s="40" t="inlineStr"/>
      <c r="S161" s="40" t="inlineStr"/>
      <c r="T161" s="41" t="inlineStr">
        <is>
          <t>кг</t>
        </is>
      </c>
      <c r="U161" s="636" t="n">
        <v>0</v>
      </c>
      <c r="V161" s="637">
        <f>IFERROR(IF(U161="",0,CEILING((U161/$H161),1)*$H161),"")</f>
        <v/>
      </c>
      <c r="W161" s="42">
        <f>IFERROR(IF(V161=0,"",ROUNDUP(V161/H161,0)*0.00753),"")</f>
        <v/>
      </c>
      <c r="X161" s="69" t="inlineStr"/>
      <c r="Y161" s="70" t="inlineStr"/>
      <c r="AC161" s="158" t="inlineStr">
        <is>
          <t>КИ</t>
        </is>
      </c>
    </row>
    <row r="162" ht="27" customHeight="1">
      <c r="A162" s="64" t="inlineStr">
        <is>
          <t>SU002941</t>
        </is>
      </c>
      <c r="B162" s="64" t="inlineStr">
        <is>
          <t>P003387</t>
        </is>
      </c>
      <c r="C162" s="37" t="n">
        <v>4301031224</v>
      </c>
      <c r="D162" s="356" t="n">
        <v>4680115882683</v>
      </c>
      <c r="E162" s="601" t="n"/>
      <c r="F162" s="633" t="n">
        <v>0.9</v>
      </c>
      <c r="G162" s="38" t="n">
        <v>6</v>
      </c>
      <c r="H162" s="633" t="n">
        <v>5.4</v>
      </c>
      <c r="I162" s="633" t="n">
        <v>5.61</v>
      </c>
      <c r="J162" s="38" t="n">
        <v>120</v>
      </c>
      <c r="K162" s="39" t="inlineStr">
        <is>
          <t>СК2</t>
        </is>
      </c>
      <c r="L162" s="38" t="n">
        <v>40</v>
      </c>
      <c r="M162" s="725" t="inlineStr">
        <is>
          <t>В/к колбасы "Сочинка по-европейски с сочной грудинкой" Весовой фиброуз ТМ "Стародворье"</t>
        </is>
      </c>
      <c r="N162" s="635" t="n"/>
      <c r="O162" s="635" t="n"/>
      <c r="P162" s="635" t="n"/>
      <c r="Q162" s="601" t="n"/>
      <c r="R162" s="40" t="inlineStr"/>
      <c r="S162" s="40" t="inlineStr"/>
      <c r="T162" s="41" t="inlineStr">
        <is>
          <t>кг</t>
        </is>
      </c>
      <c r="U162" s="636" t="n">
        <v>0</v>
      </c>
      <c r="V162" s="637">
        <f>IFERROR(IF(U162="",0,CEILING((U162/$H162),1)*$H162),"")</f>
        <v/>
      </c>
      <c r="W162" s="42">
        <f>IFERROR(IF(V162=0,"",ROUNDUP(V162/H162,0)*0.00937),"")</f>
        <v/>
      </c>
      <c r="X162" s="69" t="inlineStr"/>
      <c r="Y162" s="70" t="inlineStr"/>
      <c r="AC162" s="159" t="inlineStr">
        <is>
          <t>КИ</t>
        </is>
      </c>
    </row>
    <row r="163" ht="27" customHeight="1">
      <c r="A163" s="64" t="inlineStr">
        <is>
          <t>SU002943</t>
        </is>
      </c>
      <c r="B163" s="64" t="inlineStr">
        <is>
          <t>P003401</t>
        </is>
      </c>
      <c r="C163" s="37" t="n">
        <v>4301031230</v>
      </c>
      <c r="D163" s="356" t="n">
        <v>4680115882690</v>
      </c>
      <c r="E163" s="601" t="n"/>
      <c r="F163" s="633" t="n">
        <v>0.9</v>
      </c>
      <c r="G163" s="38" t="n">
        <v>6</v>
      </c>
      <c r="H163" s="633" t="n">
        <v>5.4</v>
      </c>
      <c r="I163" s="633" t="n">
        <v>5.61</v>
      </c>
      <c r="J163" s="38" t="n">
        <v>120</v>
      </c>
      <c r="K163" s="39" t="inlineStr">
        <is>
          <t>СК2</t>
        </is>
      </c>
      <c r="L163" s="38" t="n">
        <v>40</v>
      </c>
      <c r="M163" s="726" t="inlineStr">
        <is>
          <t>В/к колбасы "Сочинка по-фински с сочным окороком" Весовой фиброуз ТМ "Стародворье"</t>
        </is>
      </c>
      <c r="N163" s="635" t="n"/>
      <c r="O163" s="635" t="n"/>
      <c r="P163" s="635" t="n"/>
      <c r="Q163" s="601" t="n"/>
      <c r="R163" s="40" t="inlineStr"/>
      <c r="S163" s="40" t="inlineStr"/>
      <c r="T163" s="41" t="inlineStr">
        <is>
          <t>кг</t>
        </is>
      </c>
      <c r="U163" s="636" t="n">
        <v>0</v>
      </c>
      <c r="V163" s="637">
        <f>IFERROR(IF(U163="",0,CEILING((U163/$H163),1)*$H163),"")</f>
        <v/>
      </c>
      <c r="W163" s="42">
        <f>IFERROR(IF(V163=0,"",ROUNDUP(V163/H163,0)*0.00937),"")</f>
        <v/>
      </c>
      <c r="X163" s="69" t="inlineStr"/>
      <c r="Y163" s="70" t="inlineStr"/>
      <c r="AC163" s="160" t="inlineStr">
        <is>
          <t>КИ</t>
        </is>
      </c>
    </row>
    <row r="164" ht="27" customHeight="1">
      <c r="A164" s="64" t="inlineStr">
        <is>
          <t>SU002945</t>
        </is>
      </c>
      <c r="B164" s="64" t="inlineStr">
        <is>
          <t>P003383</t>
        </is>
      </c>
      <c r="C164" s="37" t="n">
        <v>4301031220</v>
      </c>
      <c r="D164" s="356" t="n">
        <v>4680115882669</v>
      </c>
      <c r="E164" s="601" t="n"/>
      <c r="F164" s="633" t="n">
        <v>0.9</v>
      </c>
      <c r="G164" s="38" t="n">
        <v>6</v>
      </c>
      <c r="H164" s="633" t="n">
        <v>5.4</v>
      </c>
      <c r="I164" s="633" t="n">
        <v>5.61</v>
      </c>
      <c r="J164" s="38" t="n">
        <v>120</v>
      </c>
      <c r="K164" s="39" t="inlineStr">
        <is>
          <t>СК2</t>
        </is>
      </c>
      <c r="L164" s="38" t="n">
        <v>40</v>
      </c>
      <c r="M164" s="727" t="inlineStr">
        <is>
          <t>П/к колбасы "Сочинка зернистая с сочной грудинкой" Весовой фиброуз ТМ "Стародворье"</t>
        </is>
      </c>
      <c r="N164" s="635" t="n"/>
      <c r="O164" s="635" t="n"/>
      <c r="P164" s="635" t="n"/>
      <c r="Q164" s="601" t="n"/>
      <c r="R164" s="40" t="inlineStr"/>
      <c r="S164" s="40" t="inlineStr"/>
      <c r="T164" s="41" t="inlineStr">
        <is>
          <t>кг</t>
        </is>
      </c>
      <c r="U164" s="636" t="n">
        <v>0</v>
      </c>
      <c r="V164" s="637">
        <f>IFERROR(IF(U164="",0,CEILING((U164/$H164),1)*$H164),"")</f>
        <v/>
      </c>
      <c r="W164" s="42">
        <f>IFERROR(IF(V164=0,"",ROUNDUP(V164/H164,0)*0.00937),"")</f>
        <v/>
      </c>
      <c r="X164" s="69" t="inlineStr"/>
      <c r="Y164" s="70" t="inlineStr"/>
      <c r="AC164" s="161" t="inlineStr">
        <is>
          <t>КИ</t>
        </is>
      </c>
    </row>
    <row r="165" ht="27" customHeight="1">
      <c r="A165" s="64" t="inlineStr">
        <is>
          <t>SU002947</t>
        </is>
      </c>
      <c r="B165" s="64" t="inlineStr">
        <is>
          <t>P003384</t>
        </is>
      </c>
      <c r="C165" s="37" t="n">
        <v>4301031221</v>
      </c>
      <c r="D165" s="356" t="n">
        <v>4680115882676</v>
      </c>
      <c r="E165" s="601" t="n"/>
      <c r="F165" s="633" t="n">
        <v>0.9</v>
      </c>
      <c r="G165" s="38" t="n">
        <v>6</v>
      </c>
      <c r="H165" s="633" t="n">
        <v>5.4</v>
      </c>
      <c r="I165" s="633" t="n">
        <v>5.61</v>
      </c>
      <c r="J165" s="38" t="n">
        <v>120</v>
      </c>
      <c r="K165" s="39" t="inlineStr">
        <is>
          <t>СК2</t>
        </is>
      </c>
      <c r="L165" s="38" t="n">
        <v>40</v>
      </c>
      <c r="M165" s="728" t="inlineStr">
        <is>
          <t>П/к колбасы "Сочинка рубленая с сочным окороком" Весовой фиброуз ТМ "Стародворье"</t>
        </is>
      </c>
      <c r="N165" s="635" t="n"/>
      <c r="O165" s="635" t="n"/>
      <c r="P165" s="635" t="n"/>
      <c r="Q165" s="601" t="n"/>
      <c r="R165" s="40" t="inlineStr"/>
      <c r="S165" s="40" t="inlineStr"/>
      <c r="T165" s="41" t="inlineStr">
        <is>
          <t>кг</t>
        </is>
      </c>
      <c r="U165" s="636" t="n">
        <v>0</v>
      </c>
      <c r="V165" s="637">
        <f>IFERROR(IF(U165="",0,CEILING((U165/$H165),1)*$H165),"")</f>
        <v/>
      </c>
      <c r="W165" s="42">
        <f>IFERROR(IF(V165=0,"",ROUNDUP(V165/H165,0)*0.00937),"")</f>
        <v/>
      </c>
      <c r="X165" s="69" t="inlineStr"/>
      <c r="Y165" s="70" t="inlineStr"/>
      <c r="AC165" s="162" t="inlineStr">
        <is>
          <t>КИ</t>
        </is>
      </c>
    </row>
    <row r="166" ht="27" customHeight="1">
      <c r="A166" s="64" t="inlineStr">
        <is>
          <t>SU002579</t>
        </is>
      </c>
      <c r="B166" s="64" t="inlineStr">
        <is>
          <t>P003012</t>
        </is>
      </c>
      <c r="C166" s="37" t="n">
        <v>4301031152</v>
      </c>
      <c r="D166" s="356" t="n">
        <v>4607091387285</v>
      </c>
      <c r="E166" s="601" t="n"/>
      <c r="F166" s="633" t="n">
        <v>0.35</v>
      </c>
      <c r="G166" s="38" t="n">
        <v>6</v>
      </c>
      <c r="H166" s="633" t="n">
        <v>2.1</v>
      </c>
      <c r="I166" s="633" t="n">
        <v>2.23</v>
      </c>
      <c r="J166" s="38" t="n">
        <v>234</v>
      </c>
      <c r="K166" s="39" t="inlineStr">
        <is>
          <t>СК2</t>
        </is>
      </c>
      <c r="L166" s="38" t="n">
        <v>40</v>
      </c>
      <c r="M166" s="729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66" s="635" t="n"/>
      <c r="O166" s="635" t="n"/>
      <c r="P166" s="635" t="n"/>
      <c r="Q166" s="601" t="n"/>
      <c r="R166" s="40" t="inlineStr"/>
      <c r="S166" s="40" t="inlineStr"/>
      <c r="T166" s="41" t="inlineStr">
        <is>
          <t>кг</t>
        </is>
      </c>
      <c r="U166" s="636" t="n">
        <v>0</v>
      </c>
      <c r="V166" s="637">
        <f>IFERROR(IF(U166="",0,CEILING((U166/$H166),1)*$H166),"")</f>
        <v/>
      </c>
      <c r="W166" s="42">
        <f>IFERROR(IF(V166=0,"",ROUNDUP(V166/H166,0)*0.00502),"")</f>
        <v/>
      </c>
      <c r="X166" s="69" t="inlineStr"/>
      <c r="Y166" s="70" t="inlineStr"/>
      <c r="AC166" s="163" t="inlineStr">
        <is>
          <t>КИ</t>
        </is>
      </c>
    </row>
    <row r="167" ht="27" customHeight="1">
      <c r="A167" s="64" t="inlineStr">
        <is>
          <t>SU002660</t>
        </is>
      </c>
      <c r="B167" s="64" t="inlineStr">
        <is>
          <t>P003256</t>
        </is>
      </c>
      <c r="C167" s="37" t="n">
        <v>4301031199</v>
      </c>
      <c r="D167" s="356" t="n">
        <v>4680115880986</v>
      </c>
      <c r="E167" s="601" t="n"/>
      <c r="F167" s="633" t="n">
        <v>0.35</v>
      </c>
      <c r="G167" s="38" t="n">
        <v>6</v>
      </c>
      <c r="H167" s="633" t="n">
        <v>2.1</v>
      </c>
      <c r="I167" s="633" t="n">
        <v>2.23</v>
      </c>
      <c r="J167" s="38" t="n">
        <v>234</v>
      </c>
      <c r="K167" s="39" t="inlineStr">
        <is>
          <t>СК2</t>
        </is>
      </c>
      <c r="L167" s="38" t="n">
        <v>40</v>
      </c>
      <c r="M167" s="730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67" s="635" t="n"/>
      <c r="O167" s="635" t="n"/>
      <c r="P167" s="635" t="n"/>
      <c r="Q167" s="601" t="n"/>
      <c r="R167" s="40" t="inlineStr"/>
      <c r="S167" s="40" t="inlineStr"/>
      <c r="T167" s="41" t="inlineStr">
        <is>
          <t>кг</t>
        </is>
      </c>
      <c r="U167" s="636" t="n">
        <v>0</v>
      </c>
      <c r="V167" s="637">
        <f>IFERROR(IF(U167="",0,CEILING((U167/$H167),1)*$H167),"")</f>
        <v/>
      </c>
      <c r="W167" s="42">
        <f>IFERROR(IF(V167=0,"",ROUNDUP(V167/H167,0)*0.00502),"")</f>
        <v/>
      </c>
      <c r="X167" s="69" t="inlineStr"/>
      <c r="Y167" s="70" t="inlineStr"/>
      <c r="AC167" s="164" t="inlineStr">
        <is>
          <t>КИ</t>
        </is>
      </c>
    </row>
    <row r="168" ht="27" customHeight="1">
      <c r="A168" s="64" t="inlineStr">
        <is>
          <t>SU002826</t>
        </is>
      </c>
      <c r="B168" s="64" t="inlineStr">
        <is>
          <t>P003178</t>
        </is>
      </c>
      <c r="C168" s="37" t="n">
        <v>4301031190</v>
      </c>
      <c r="D168" s="356" t="n">
        <v>4680115880207</v>
      </c>
      <c r="E168" s="601" t="n"/>
      <c r="F168" s="633" t="n">
        <v>0.4</v>
      </c>
      <c r="G168" s="38" t="n">
        <v>6</v>
      </c>
      <c r="H168" s="633" t="n">
        <v>2.4</v>
      </c>
      <c r="I168" s="633" t="n">
        <v>2.63</v>
      </c>
      <c r="J168" s="38" t="n">
        <v>156</v>
      </c>
      <c r="K168" s="39" t="inlineStr">
        <is>
          <t>СК2</t>
        </is>
      </c>
      <c r="L168" s="38" t="n">
        <v>40</v>
      </c>
      <c r="M168" s="731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68" s="635" t="n"/>
      <c r="O168" s="635" t="n"/>
      <c r="P168" s="635" t="n"/>
      <c r="Q168" s="601" t="n"/>
      <c r="R168" s="40" t="inlineStr"/>
      <c r="S168" s="40" t="inlineStr"/>
      <c r="T168" s="41" t="inlineStr">
        <is>
          <t>кг</t>
        </is>
      </c>
      <c r="U168" s="636" t="n">
        <v>0</v>
      </c>
      <c r="V168" s="637">
        <f>IFERROR(IF(U168="",0,CEILING((U168/$H168),1)*$H168),"")</f>
        <v/>
      </c>
      <c r="W168" s="42">
        <f>IFERROR(IF(V168=0,"",ROUNDUP(V168/H168,0)*0.00753),"")</f>
        <v/>
      </c>
      <c r="X168" s="69" t="inlineStr"/>
      <c r="Y168" s="70" t="inlineStr"/>
      <c r="AC168" s="165" t="inlineStr">
        <is>
          <t>КИ</t>
        </is>
      </c>
    </row>
    <row r="169" ht="27" customHeight="1">
      <c r="A169" s="64" t="inlineStr">
        <is>
          <t>SU002877</t>
        </is>
      </c>
      <c r="B169" s="64" t="inlineStr">
        <is>
          <t>P003277</t>
        </is>
      </c>
      <c r="C169" s="37" t="n">
        <v>4301031205</v>
      </c>
      <c r="D169" s="356" t="n">
        <v>4680115881785</v>
      </c>
      <c r="E169" s="601" t="n"/>
      <c r="F169" s="633" t="n">
        <v>0.35</v>
      </c>
      <c r="G169" s="38" t="n">
        <v>6</v>
      </c>
      <c r="H169" s="633" t="n">
        <v>2.1</v>
      </c>
      <c r="I169" s="633" t="n">
        <v>2.23</v>
      </c>
      <c r="J169" s="38" t="n">
        <v>234</v>
      </c>
      <c r="K169" s="39" t="inlineStr">
        <is>
          <t>СК2</t>
        </is>
      </c>
      <c r="L169" s="38" t="n">
        <v>40</v>
      </c>
      <c r="M169" s="732" t="inlineStr">
        <is>
          <t>Копченые колбасы Салями Мясорубская с рубленым шпиком срез Бордо ф/в 0,35 фиброуз Стародворье</t>
        </is>
      </c>
      <c r="N169" s="635" t="n"/>
      <c r="O169" s="635" t="n"/>
      <c r="P169" s="635" t="n"/>
      <c r="Q169" s="601" t="n"/>
      <c r="R169" s="40" t="inlineStr"/>
      <c r="S169" s="40" t="inlineStr"/>
      <c r="T169" s="41" t="inlineStr">
        <is>
          <t>кг</t>
        </is>
      </c>
      <c r="U169" s="636" t="n">
        <v>0</v>
      </c>
      <c r="V169" s="637">
        <f>IFERROR(IF(U169="",0,CEILING((U169/$H169),1)*$H169),"")</f>
        <v/>
      </c>
      <c r="W169" s="42">
        <f>IFERROR(IF(V169=0,"",ROUNDUP(V169/H169,0)*0.00502),"")</f>
        <v/>
      </c>
      <c r="X169" s="69" t="inlineStr"/>
      <c r="Y169" s="70" t="inlineStr"/>
      <c r="AC169" s="166" t="inlineStr">
        <is>
          <t>КИ</t>
        </is>
      </c>
    </row>
    <row r="170" ht="27" customHeight="1">
      <c r="A170" s="64" t="inlineStr">
        <is>
          <t>SU002848</t>
        </is>
      </c>
      <c r="B170" s="64" t="inlineStr">
        <is>
          <t>P003260</t>
        </is>
      </c>
      <c r="C170" s="37" t="n">
        <v>4301031202</v>
      </c>
      <c r="D170" s="356" t="n">
        <v>4680115881679</v>
      </c>
      <c r="E170" s="601" t="n"/>
      <c r="F170" s="633" t="n">
        <v>0.35</v>
      </c>
      <c r="G170" s="38" t="n">
        <v>6</v>
      </c>
      <c r="H170" s="633" t="n">
        <v>2.1</v>
      </c>
      <c r="I170" s="633" t="n">
        <v>2.2</v>
      </c>
      <c r="J170" s="38" t="n">
        <v>234</v>
      </c>
      <c r="K170" s="39" t="inlineStr">
        <is>
          <t>СК2</t>
        </is>
      </c>
      <c r="L170" s="38" t="n">
        <v>40</v>
      </c>
      <c r="M170" s="733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0" s="635" t="n"/>
      <c r="O170" s="635" t="n"/>
      <c r="P170" s="635" t="n"/>
      <c r="Q170" s="601" t="n"/>
      <c r="R170" s="40" t="inlineStr"/>
      <c r="S170" s="40" t="inlineStr"/>
      <c r="T170" s="41" t="inlineStr">
        <is>
          <t>кг</t>
        </is>
      </c>
      <c r="U170" s="636" t="n">
        <v>0</v>
      </c>
      <c r="V170" s="637">
        <f>IFERROR(IF(U170="",0,CEILING((U170/$H170),1)*$H170),"")</f>
        <v/>
      </c>
      <c r="W170" s="42">
        <f>IFERROR(IF(V170=0,"",ROUNDUP(V170/H170,0)*0.00502),"")</f>
        <v/>
      </c>
      <c r="X170" s="69" t="inlineStr"/>
      <c r="Y170" s="70" t="inlineStr"/>
      <c r="AC170" s="167" t="inlineStr">
        <is>
          <t>КИ</t>
        </is>
      </c>
    </row>
    <row r="171" ht="27" customHeight="1">
      <c r="A171" s="64" t="inlineStr">
        <is>
          <t>SU002659</t>
        </is>
      </c>
      <c r="B171" s="64" t="inlineStr">
        <is>
          <t>P003034</t>
        </is>
      </c>
      <c r="C171" s="37" t="n">
        <v>4301031158</v>
      </c>
      <c r="D171" s="356" t="n">
        <v>4680115880191</v>
      </c>
      <c r="E171" s="601" t="n"/>
      <c r="F171" s="633" t="n">
        <v>0.4</v>
      </c>
      <c r="G171" s="38" t="n">
        <v>6</v>
      </c>
      <c r="H171" s="633" t="n">
        <v>2.4</v>
      </c>
      <c r="I171" s="633" t="n">
        <v>2.5</v>
      </c>
      <c r="J171" s="38" t="n">
        <v>234</v>
      </c>
      <c r="K171" s="39" t="inlineStr">
        <is>
          <t>СК2</t>
        </is>
      </c>
      <c r="L171" s="38" t="n">
        <v>40</v>
      </c>
      <c r="M171" s="734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1" s="635" t="n"/>
      <c r="O171" s="635" t="n"/>
      <c r="P171" s="635" t="n"/>
      <c r="Q171" s="601" t="n"/>
      <c r="R171" s="40" t="inlineStr"/>
      <c r="S171" s="40" t="inlineStr"/>
      <c r="T171" s="41" t="inlineStr">
        <is>
          <t>кг</t>
        </is>
      </c>
      <c r="U171" s="636" t="n">
        <v>0</v>
      </c>
      <c r="V171" s="637">
        <f>IFERROR(IF(U171="",0,CEILING((U171/$H171),1)*$H171),"")</f>
        <v/>
      </c>
      <c r="W171" s="42">
        <f>IFERROR(IF(V171=0,"",ROUNDUP(V171/H171,0)*0.00502),"")</f>
        <v/>
      </c>
      <c r="X171" s="69" t="inlineStr"/>
      <c r="Y171" s="70" t="inlineStr"/>
      <c r="AC171" s="168" t="inlineStr">
        <is>
          <t>КИ</t>
        </is>
      </c>
    </row>
    <row r="172" ht="27" customHeight="1">
      <c r="A172" s="64" t="inlineStr">
        <is>
          <t>SU002617</t>
        </is>
      </c>
      <c r="B172" s="64" t="inlineStr">
        <is>
          <t>P002951</t>
        </is>
      </c>
      <c r="C172" s="37" t="n">
        <v>4301031151</v>
      </c>
      <c r="D172" s="356" t="n">
        <v>4607091389845</v>
      </c>
      <c r="E172" s="601" t="n"/>
      <c r="F172" s="633" t="n">
        <v>0.35</v>
      </c>
      <c r="G172" s="38" t="n">
        <v>6</v>
      </c>
      <c r="H172" s="633" t="n">
        <v>2.1</v>
      </c>
      <c r="I172" s="633" t="n">
        <v>2.2</v>
      </c>
      <c r="J172" s="38" t="n">
        <v>234</v>
      </c>
      <c r="K172" s="39" t="inlineStr">
        <is>
          <t>СК2</t>
        </is>
      </c>
      <c r="L172" s="38" t="n">
        <v>40</v>
      </c>
      <c r="M172" s="735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2" s="635" t="n"/>
      <c r="O172" s="635" t="n"/>
      <c r="P172" s="635" t="n"/>
      <c r="Q172" s="601" t="n"/>
      <c r="R172" s="40" t="inlineStr"/>
      <c r="S172" s="40" t="inlineStr"/>
      <c r="T172" s="41" t="inlineStr">
        <is>
          <t>кг</t>
        </is>
      </c>
      <c r="U172" s="636" t="n">
        <v>0</v>
      </c>
      <c r="V172" s="637">
        <f>IFERROR(IF(U172="",0,CEILING((U172/$H172),1)*$H172),"")</f>
        <v/>
      </c>
      <c r="W172" s="42">
        <f>IFERROR(IF(V172=0,"",ROUNDUP(V172/H172,0)*0.00502),"")</f>
        <v/>
      </c>
      <c r="X172" s="69" t="inlineStr"/>
      <c r="Y172" s="70" t="inlineStr"/>
      <c r="AC172" s="169" t="inlineStr">
        <is>
          <t>КИ</t>
        </is>
      </c>
    </row>
    <row r="173">
      <c r="A173" s="364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638" t="n"/>
      <c r="M173" s="639" t="inlineStr">
        <is>
          <t>Итого</t>
        </is>
      </c>
      <c r="N173" s="609" t="n"/>
      <c r="O173" s="609" t="n"/>
      <c r="P173" s="609" t="n"/>
      <c r="Q173" s="609" t="n"/>
      <c r="R173" s="609" t="n"/>
      <c r="S173" s="610" t="n"/>
      <c r="T173" s="43" t="inlineStr">
        <is>
          <t>кор</t>
        </is>
      </c>
      <c r="U173" s="640">
        <f>IFERROR(U157/H157,"0")+IFERROR(U158/H158,"0")+IFERROR(U159/H159,"0")+IFERROR(U160/H160,"0")+IFERROR(U161/H161,"0")+IFERROR(U162/H162,"0")+IFERROR(U163/H163,"0")+IFERROR(U164/H164,"0")+IFERROR(U165/H165,"0")+IFERROR(U166/H166,"0")+IFERROR(U167/H167,"0")+IFERROR(U168/H168,"0")+IFERROR(U169/H169,"0")+IFERROR(U170/H170,"0")+IFERROR(U171/H171,"0")+IFERROR(U172/H172,"0")</f>
        <v/>
      </c>
      <c r="V173" s="640">
        <f>IFERROR(V157/H157,"0")+IFERROR(V158/H158,"0")+IFERROR(V159/H159,"0")+IFERROR(V160/H160,"0")+IFERROR(V161/H161,"0")+IFERROR(V162/H162,"0")+IFERROR(V163/H163,"0")+IFERROR(V164/H164,"0")+IFERROR(V165/H165,"0")+IFERROR(V166/H166,"0")+IFERROR(V167/H167,"0")+IFERROR(V168/H168,"0")+IFERROR(V169/H169,"0")+IFERROR(V170/H170,"0")+IFERROR(V171/H171,"0")+IFERROR(V172/H172,"0")</f>
        <v/>
      </c>
      <c r="W173" s="640">
        <f>IFERROR(IF(W157="",0,W157),"0")+IFERROR(IF(W158="",0,W158),"0")+IFERROR(IF(W159="",0,W159),"0")+IFERROR(IF(W160="",0,W160),"0")+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</f>
        <v/>
      </c>
      <c r="X173" s="641" t="n"/>
      <c r="Y173" s="641" t="n"/>
    </row>
    <row r="174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638" t="n"/>
      <c r="M174" s="639" t="inlineStr">
        <is>
          <t>Итого</t>
        </is>
      </c>
      <c r="N174" s="609" t="n"/>
      <c r="O174" s="609" t="n"/>
      <c r="P174" s="609" t="n"/>
      <c r="Q174" s="609" t="n"/>
      <c r="R174" s="609" t="n"/>
      <c r="S174" s="610" t="n"/>
      <c r="T174" s="43" t="inlineStr">
        <is>
          <t>кг</t>
        </is>
      </c>
      <c r="U174" s="640">
        <f>IFERROR(SUM(U157:U172),"0")</f>
        <v/>
      </c>
      <c r="V174" s="640">
        <f>IFERROR(SUM(V157:V172),"0")</f>
        <v/>
      </c>
      <c r="W174" s="43" t="n"/>
      <c r="X174" s="641" t="n"/>
      <c r="Y174" s="641" t="n"/>
    </row>
    <row r="175" ht="14.25" customHeight="1">
      <c r="A175" s="355" t="inlineStr">
        <is>
          <t>Сосиски</t>
        </is>
      </c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355" t="n"/>
      <c r="Y175" s="355" t="n"/>
    </row>
    <row r="176" ht="27" customHeight="1">
      <c r="A176" s="64" t="inlineStr">
        <is>
          <t>SU002857</t>
        </is>
      </c>
      <c r="B176" s="64" t="inlineStr">
        <is>
          <t>P003264</t>
        </is>
      </c>
      <c r="C176" s="37" t="n">
        <v>4301051409</v>
      </c>
      <c r="D176" s="356" t="n">
        <v>4680115881556</v>
      </c>
      <c r="E176" s="601" t="n"/>
      <c r="F176" s="633" t="n">
        <v>1</v>
      </c>
      <c r="G176" s="38" t="n">
        <v>4</v>
      </c>
      <c r="H176" s="633" t="n">
        <v>4</v>
      </c>
      <c r="I176" s="633" t="n">
        <v>4.408</v>
      </c>
      <c r="J176" s="38" t="n">
        <v>104</v>
      </c>
      <c r="K176" s="39" t="inlineStr">
        <is>
          <t>СК3</t>
        </is>
      </c>
      <c r="L176" s="38" t="n">
        <v>45</v>
      </c>
      <c r="M176" s="736" t="inlineStr">
        <is>
          <t>Сосиски Сочинки по-баварски ТМ Стародворье полиамид мгс вес СК3</t>
        </is>
      </c>
      <c r="N176" s="635" t="n"/>
      <c r="O176" s="635" t="n"/>
      <c r="P176" s="635" t="n"/>
      <c r="Q176" s="601" t="n"/>
      <c r="R176" s="40" t="inlineStr"/>
      <c r="S176" s="40" t="inlineStr"/>
      <c r="T176" s="41" t="inlineStr">
        <is>
          <t>кг</t>
        </is>
      </c>
      <c r="U176" s="636" t="n">
        <v>0</v>
      </c>
      <c r="V176" s="637">
        <f>IFERROR(IF(U176="",0,CEILING((U176/$H176),1)*$H176),"")</f>
        <v/>
      </c>
      <c r="W176" s="42">
        <f>IFERROR(IF(V176=0,"",ROUNDUP(V176/H176,0)*0.01196),"")</f>
        <v/>
      </c>
      <c r="X176" s="69" t="inlineStr"/>
      <c r="Y176" s="70" t="inlineStr"/>
      <c r="AC176" s="170" t="inlineStr">
        <is>
          <t>КИ</t>
        </is>
      </c>
    </row>
    <row r="177" ht="16.5" customHeight="1">
      <c r="A177" s="64" t="inlineStr">
        <is>
          <t>SU001340</t>
        </is>
      </c>
      <c r="B177" s="64" t="inlineStr">
        <is>
          <t>P002209</t>
        </is>
      </c>
      <c r="C177" s="37" t="n">
        <v>4301051101</v>
      </c>
      <c r="D177" s="356" t="n">
        <v>4607091387766</v>
      </c>
      <c r="E177" s="601" t="n"/>
      <c r="F177" s="633" t="n">
        <v>1.35</v>
      </c>
      <c r="G177" s="38" t="n">
        <v>6</v>
      </c>
      <c r="H177" s="633" t="n">
        <v>8.1</v>
      </c>
      <c r="I177" s="633" t="n">
        <v>8.657999999999999</v>
      </c>
      <c r="J177" s="38" t="n">
        <v>56</v>
      </c>
      <c r="K177" s="39" t="inlineStr">
        <is>
          <t>СК2</t>
        </is>
      </c>
      <c r="L177" s="38" t="n">
        <v>40</v>
      </c>
      <c r="M177" s="737">
        <f>HYPERLINK("https://abi.ru/products/Охлажденные/Стародворье/Бордо/Сосиски/P002209/","Сосиски Ганноверские Бордо Весовые П/а мгс Баварушка")</f>
        <v/>
      </c>
      <c r="N177" s="635" t="n"/>
      <c r="O177" s="635" t="n"/>
      <c r="P177" s="635" t="n"/>
      <c r="Q177" s="601" t="n"/>
      <c r="R177" s="40" t="inlineStr"/>
      <c r="S177" s="40" t="inlineStr"/>
      <c r="T177" s="41" t="inlineStr">
        <is>
          <t>кг</t>
        </is>
      </c>
      <c r="U177" s="636" t="n">
        <v>0</v>
      </c>
      <c r="V177" s="637">
        <f>IFERROR(IF(U177="",0,CEILING((U177/$H177),1)*$H177),"")</f>
        <v/>
      </c>
      <c r="W177" s="42">
        <f>IFERROR(IF(V177=0,"",ROUNDUP(V177/H177,0)*0.02175),"")</f>
        <v/>
      </c>
      <c r="X177" s="69" t="inlineStr"/>
      <c r="Y177" s="70" t="inlineStr"/>
      <c r="AC177" s="171" t="inlineStr">
        <is>
          <t>КИ</t>
        </is>
      </c>
    </row>
    <row r="178" ht="27" customHeight="1">
      <c r="A178" s="64" t="inlineStr">
        <is>
          <t>SU001727</t>
        </is>
      </c>
      <c r="B178" s="64" t="inlineStr">
        <is>
          <t>P002205</t>
        </is>
      </c>
      <c r="C178" s="37" t="n">
        <v>4301051116</v>
      </c>
      <c r="D178" s="356" t="n">
        <v>4607091387957</v>
      </c>
      <c r="E178" s="601" t="n"/>
      <c r="F178" s="633" t="n">
        <v>1.3</v>
      </c>
      <c r="G178" s="38" t="n">
        <v>6</v>
      </c>
      <c r="H178" s="633" t="n">
        <v>7.8</v>
      </c>
      <c r="I178" s="633" t="n">
        <v>8.364000000000001</v>
      </c>
      <c r="J178" s="38" t="n">
        <v>56</v>
      </c>
      <c r="K178" s="39" t="inlineStr">
        <is>
          <t>СК2</t>
        </is>
      </c>
      <c r="L178" s="38" t="n">
        <v>40</v>
      </c>
      <c r="M178" s="73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78" s="635" t="n"/>
      <c r="O178" s="635" t="n"/>
      <c r="P178" s="635" t="n"/>
      <c r="Q178" s="601" t="n"/>
      <c r="R178" s="40" t="inlineStr"/>
      <c r="S178" s="40" t="inlineStr"/>
      <c r="T178" s="41" t="inlineStr">
        <is>
          <t>кг</t>
        </is>
      </c>
      <c r="U178" s="636" t="n">
        <v>0</v>
      </c>
      <c r="V178" s="637">
        <f>IFERROR(IF(U178="",0,CEILING((U178/$H178),1)*$H178),"")</f>
        <v/>
      </c>
      <c r="W178" s="42">
        <f>IFERROR(IF(V178=0,"",ROUNDUP(V178/H178,0)*0.02175),"")</f>
        <v/>
      </c>
      <c r="X178" s="69" t="inlineStr"/>
      <c r="Y178" s="70" t="inlineStr"/>
      <c r="AC178" s="172" t="inlineStr">
        <is>
          <t>КИ</t>
        </is>
      </c>
    </row>
    <row r="179" ht="27" customHeight="1">
      <c r="A179" s="64" t="inlineStr">
        <is>
          <t>SU001728</t>
        </is>
      </c>
      <c r="B179" s="64" t="inlineStr">
        <is>
          <t>P002207</t>
        </is>
      </c>
      <c r="C179" s="37" t="n">
        <v>4301051115</v>
      </c>
      <c r="D179" s="356" t="n">
        <v>4607091387964</v>
      </c>
      <c r="E179" s="601" t="n"/>
      <c r="F179" s="633" t="n">
        <v>1.35</v>
      </c>
      <c r="G179" s="38" t="n">
        <v>6</v>
      </c>
      <c r="H179" s="633" t="n">
        <v>8.1</v>
      </c>
      <c r="I179" s="633" t="n">
        <v>8.646000000000001</v>
      </c>
      <c r="J179" s="38" t="n">
        <v>56</v>
      </c>
      <c r="K179" s="39" t="inlineStr">
        <is>
          <t>СК2</t>
        </is>
      </c>
      <c r="L179" s="38" t="n">
        <v>40</v>
      </c>
      <c r="M179" s="73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79" s="635" t="n"/>
      <c r="O179" s="635" t="n"/>
      <c r="P179" s="635" t="n"/>
      <c r="Q179" s="601" t="n"/>
      <c r="R179" s="40" t="inlineStr"/>
      <c r="S179" s="40" t="inlineStr"/>
      <c r="T179" s="41" t="inlineStr">
        <is>
          <t>кг</t>
        </is>
      </c>
      <c r="U179" s="636" t="n">
        <v>0</v>
      </c>
      <c r="V179" s="637">
        <f>IFERROR(IF(U179="",0,CEILING((U179/$H179),1)*$H179),"")</f>
        <v/>
      </c>
      <c r="W179" s="42">
        <f>IFERROR(IF(V179=0,"",ROUNDUP(V179/H179,0)*0.02175),"")</f>
        <v/>
      </c>
      <c r="X179" s="69" t="inlineStr"/>
      <c r="Y179" s="70" t="inlineStr"/>
      <c r="AC179" s="173" t="inlineStr">
        <is>
          <t>КИ</t>
        </is>
      </c>
    </row>
    <row r="180" ht="16.5" customHeight="1">
      <c r="A180" s="64" t="inlineStr">
        <is>
          <t>SU002725</t>
        </is>
      </c>
      <c r="B180" s="64" t="inlineStr">
        <is>
          <t>P003404</t>
        </is>
      </c>
      <c r="C180" s="37" t="n">
        <v>4301051470</v>
      </c>
      <c r="D180" s="356" t="n">
        <v>4680115880573</v>
      </c>
      <c r="E180" s="601" t="n"/>
      <c r="F180" s="633" t="n">
        <v>1.3</v>
      </c>
      <c r="G180" s="38" t="n">
        <v>6</v>
      </c>
      <c r="H180" s="633" t="n">
        <v>7.8</v>
      </c>
      <c r="I180" s="633" t="n">
        <v>8.364000000000001</v>
      </c>
      <c r="J180" s="38" t="n">
        <v>56</v>
      </c>
      <c r="K180" s="39" t="inlineStr">
        <is>
          <t>СК3</t>
        </is>
      </c>
      <c r="L180" s="38" t="n">
        <v>45</v>
      </c>
      <c r="M180" s="740" t="inlineStr">
        <is>
          <t>Сосиски "Сочинки" Весовой п/а ТМ "Стародворье"</t>
        </is>
      </c>
      <c r="N180" s="635" t="n"/>
      <c r="O180" s="635" t="n"/>
      <c r="P180" s="635" t="n"/>
      <c r="Q180" s="601" t="n"/>
      <c r="R180" s="40" t="inlineStr"/>
      <c r="S180" s="40" t="inlineStr"/>
      <c r="T180" s="41" t="inlineStr">
        <is>
          <t>кг</t>
        </is>
      </c>
      <c r="U180" s="636" t="n">
        <v>0</v>
      </c>
      <c r="V180" s="637">
        <f>IFERROR(IF(U180="",0,CEILING((U180/$H180),1)*$H180),"")</f>
        <v/>
      </c>
      <c r="W180" s="42">
        <f>IFERROR(IF(V180=0,"",ROUNDUP(V180/H180,0)*0.02175),"")</f>
        <v/>
      </c>
      <c r="X180" s="69" t="inlineStr"/>
      <c r="Y180" s="70" t="inlineStr"/>
      <c r="AC180" s="174" t="inlineStr">
        <is>
          <t>КИ</t>
        </is>
      </c>
    </row>
    <row r="181" ht="27" customHeight="1">
      <c r="A181" s="64" t="inlineStr">
        <is>
          <t>SU002843</t>
        </is>
      </c>
      <c r="B181" s="64" t="inlineStr">
        <is>
          <t>P003263</t>
        </is>
      </c>
      <c r="C181" s="37" t="n">
        <v>4301051408</v>
      </c>
      <c r="D181" s="356" t="n">
        <v>4680115881594</v>
      </c>
      <c r="E181" s="601" t="n"/>
      <c r="F181" s="633" t="n">
        <v>1.35</v>
      </c>
      <c r="G181" s="38" t="n">
        <v>6</v>
      </c>
      <c r="H181" s="633" t="n">
        <v>8.1</v>
      </c>
      <c r="I181" s="633" t="n">
        <v>8.664</v>
      </c>
      <c r="J181" s="38" t="n">
        <v>56</v>
      </c>
      <c r="K181" s="39" t="inlineStr">
        <is>
          <t>СК3</t>
        </is>
      </c>
      <c r="L181" s="38" t="n">
        <v>40</v>
      </c>
      <c r="M181" s="741" t="inlineStr">
        <is>
          <t>Сосиски "Сочинки Молочные" Весовой п/а мгс ТМ "Стародворье"</t>
        </is>
      </c>
      <c r="N181" s="635" t="n"/>
      <c r="O181" s="635" t="n"/>
      <c r="P181" s="635" t="n"/>
      <c r="Q181" s="601" t="n"/>
      <c r="R181" s="40" t="inlineStr"/>
      <c r="S181" s="40" t="inlineStr"/>
      <c r="T181" s="41" t="inlineStr">
        <is>
          <t>кг</t>
        </is>
      </c>
      <c r="U181" s="636" t="n">
        <v>0</v>
      </c>
      <c r="V181" s="637">
        <f>IFERROR(IF(U181="",0,CEILING((U181/$H181),1)*$H181),"")</f>
        <v/>
      </c>
      <c r="W181" s="42">
        <f>IFERROR(IF(V181=0,"",ROUNDUP(V181/H181,0)*0.02175),"")</f>
        <v/>
      </c>
      <c r="X181" s="69" t="inlineStr"/>
      <c r="Y181" s="70" t="inlineStr"/>
      <c r="AC181" s="175" t="inlineStr">
        <is>
          <t>КИ</t>
        </is>
      </c>
    </row>
    <row r="182" ht="27" customHeight="1">
      <c r="A182" s="64" t="inlineStr">
        <is>
          <t>SU002858</t>
        </is>
      </c>
      <c r="B182" s="64" t="inlineStr">
        <is>
          <t>P003322</t>
        </is>
      </c>
      <c r="C182" s="37" t="n">
        <v>4301051433</v>
      </c>
      <c r="D182" s="356" t="n">
        <v>4680115881587</v>
      </c>
      <c r="E182" s="601" t="n"/>
      <c r="F182" s="633" t="n">
        <v>1</v>
      </c>
      <c r="G182" s="38" t="n">
        <v>4</v>
      </c>
      <c r="H182" s="633" t="n">
        <v>4</v>
      </c>
      <c r="I182" s="633" t="n">
        <v>4.408</v>
      </c>
      <c r="J182" s="38" t="n">
        <v>104</v>
      </c>
      <c r="K182" s="39" t="inlineStr">
        <is>
          <t>СК2</t>
        </is>
      </c>
      <c r="L182" s="38" t="n">
        <v>35</v>
      </c>
      <c r="M182" s="742" t="inlineStr">
        <is>
          <t>Сосиски Сочинки по-баварски с сыром Бордо Весовой п/а Стародворье</t>
        </is>
      </c>
      <c r="N182" s="635" t="n"/>
      <c r="O182" s="635" t="n"/>
      <c r="P182" s="635" t="n"/>
      <c r="Q182" s="601" t="n"/>
      <c r="R182" s="40" t="inlineStr"/>
      <c r="S182" s="40" t="inlineStr"/>
      <c r="T182" s="41" t="inlineStr">
        <is>
          <t>кг</t>
        </is>
      </c>
      <c r="U182" s="636" t="n">
        <v>0</v>
      </c>
      <c r="V182" s="637">
        <f>IFERROR(IF(U182="",0,CEILING((U182/$H182),1)*$H182),"")</f>
        <v/>
      </c>
      <c r="W182" s="42">
        <f>IFERROR(IF(V182=0,"",ROUNDUP(V182/H182,0)*0.01196),"")</f>
        <v/>
      </c>
      <c r="X182" s="69" t="inlineStr"/>
      <c r="Y182" s="70" t="inlineStr"/>
      <c r="AC182" s="176" t="inlineStr">
        <is>
          <t>КИ</t>
        </is>
      </c>
    </row>
    <row r="183" ht="16.5" customHeight="1">
      <c r="A183" s="64" t="inlineStr">
        <is>
          <t>SU002795</t>
        </is>
      </c>
      <c r="B183" s="64" t="inlineStr">
        <is>
          <t>P003203</t>
        </is>
      </c>
      <c r="C183" s="37" t="n">
        <v>4301051380</v>
      </c>
      <c r="D183" s="356" t="n">
        <v>4680115880962</v>
      </c>
      <c r="E183" s="601" t="n"/>
      <c r="F183" s="633" t="n">
        <v>1.3</v>
      </c>
      <c r="G183" s="38" t="n">
        <v>6</v>
      </c>
      <c r="H183" s="633" t="n">
        <v>7.8</v>
      </c>
      <c r="I183" s="633" t="n">
        <v>8.364000000000001</v>
      </c>
      <c r="J183" s="38" t="n">
        <v>56</v>
      </c>
      <c r="K183" s="39" t="inlineStr">
        <is>
          <t>СК2</t>
        </is>
      </c>
      <c r="L183" s="38" t="n">
        <v>40</v>
      </c>
      <c r="M183" s="743" t="inlineStr">
        <is>
          <t>Сосиски Сочинки с сыром Бордо Весовой п/а Стародворье</t>
        </is>
      </c>
      <c r="N183" s="635" t="n"/>
      <c r="O183" s="635" t="n"/>
      <c r="P183" s="635" t="n"/>
      <c r="Q183" s="601" t="n"/>
      <c r="R183" s="40" t="inlineStr"/>
      <c r="S183" s="40" t="inlineStr"/>
      <c r="T183" s="41" t="inlineStr">
        <is>
          <t>кг</t>
        </is>
      </c>
      <c r="U183" s="636" t="n">
        <v>0</v>
      </c>
      <c r="V183" s="637">
        <f>IFERROR(IF(U183="",0,CEILING((U183/$H183),1)*$H183),"")</f>
        <v/>
      </c>
      <c r="W183" s="42">
        <f>IFERROR(IF(V183=0,"",ROUNDUP(V183/H183,0)*0.02175),"")</f>
        <v/>
      </c>
      <c r="X183" s="69" t="inlineStr"/>
      <c r="Y183" s="70" t="inlineStr"/>
      <c r="AC183" s="177" t="inlineStr">
        <is>
          <t>КИ</t>
        </is>
      </c>
    </row>
    <row r="184" ht="27" customHeight="1">
      <c r="A184" s="64" t="inlineStr">
        <is>
          <t>SU002845</t>
        </is>
      </c>
      <c r="B184" s="64" t="inlineStr">
        <is>
          <t>P003266</t>
        </is>
      </c>
      <c r="C184" s="37" t="n">
        <v>4301051411</v>
      </c>
      <c r="D184" s="356" t="n">
        <v>4680115881617</v>
      </c>
      <c r="E184" s="601" t="n"/>
      <c r="F184" s="633" t="n">
        <v>1.35</v>
      </c>
      <c r="G184" s="38" t="n">
        <v>6</v>
      </c>
      <c r="H184" s="633" t="n">
        <v>8.1</v>
      </c>
      <c r="I184" s="633" t="n">
        <v>8.646000000000001</v>
      </c>
      <c r="J184" s="38" t="n">
        <v>56</v>
      </c>
      <c r="K184" s="39" t="inlineStr">
        <is>
          <t>СК3</t>
        </is>
      </c>
      <c r="L184" s="38" t="n">
        <v>40</v>
      </c>
      <c r="M184" s="744" t="inlineStr">
        <is>
          <t>Сосиски "Сочинки Сливочные" Весовые ТМ "Стародворье" 1,35 кг</t>
        </is>
      </c>
      <c r="N184" s="635" t="n"/>
      <c r="O184" s="635" t="n"/>
      <c r="P184" s="635" t="n"/>
      <c r="Q184" s="601" t="n"/>
      <c r="R184" s="40" t="inlineStr"/>
      <c r="S184" s="40" t="inlineStr"/>
      <c r="T184" s="41" t="inlineStr">
        <is>
          <t>кг</t>
        </is>
      </c>
      <c r="U184" s="636" t="n">
        <v>0</v>
      </c>
      <c r="V184" s="637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8" t="inlineStr">
        <is>
          <t>КИ</t>
        </is>
      </c>
    </row>
    <row r="185" ht="27" customHeight="1">
      <c r="A185" s="64" t="inlineStr">
        <is>
          <t>SU002801</t>
        </is>
      </c>
      <c r="B185" s="64" t="inlineStr">
        <is>
          <t>P003200</t>
        </is>
      </c>
      <c r="C185" s="37" t="n">
        <v>4301051377</v>
      </c>
      <c r="D185" s="356" t="n">
        <v>4680115881228</v>
      </c>
      <c r="E185" s="601" t="n"/>
      <c r="F185" s="633" t="n">
        <v>0.4</v>
      </c>
      <c r="G185" s="38" t="n">
        <v>6</v>
      </c>
      <c r="H185" s="633" t="n">
        <v>2.4</v>
      </c>
      <c r="I185" s="633" t="n">
        <v>2.6</v>
      </c>
      <c r="J185" s="38" t="n">
        <v>156</v>
      </c>
      <c r="K185" s="39" t="inlineStr">
        <is>
          <t>СК2</t>
        </is>
      </c>
      <c r="L185" s="38" t="n">
        <v>35</v>
      </c>
      <c r="M185" s="745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85" s="635" t="n"/>
      <c r="O185" s="635" t="n"/>
      <c r="P185" s="635" t="n"/>
      <c r="Q185" s="601" t="n"/>
      <c r="R185" s="40" t="inlineStr"/>
      <c r="S185" s="40" t="inlineStr"/>
      <c r="T185" s="41" t="inlineStr">
        <is>
          <t>кг</t>
        </is>
      </c>
      <c r="U185" s="636" t="n">
        <v>0</v>
      </c>
      <c r="V185" s="637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179" t="inlineStr">
        <is>
          <t>КИ</t>
        </is>
      </c>
    </row>
    <row r="186" ht="27" customHeight="1">
      <c r="A186" s="64" t="inlineStr">
        <is>
          <t>SU002802</t>
        </is>
      </c>
      <c r="B186" s="64" t="inlineStr">
        <is>
          <t>P003321</t>
        </is>
      </c>
      <c r="C186" s="37" t="n">
        <v>4301051432</v>
      </c>
      <c r="D186" s="356" t="n">
        <v>4680115881037</v>
      </c>
      <c r="E186" s="601" t="n"/>
      <c r="F186" s="633" t="n">
        <v>0.84</v>
      </c>
      <c r="G186" s="38" t="n">
        <v>4</v>
      </c>
      <c r="H186" s="633" t="n">
        <v>3.36</v>
      </c>
      <c r="I186" s="633" t="n">
        <v>3.618</v>
      </c>
      <c r="J186" s="38" t="n">
        <v>120</v>
      </c>
      <c r="K186" s="39" t="inlineStr">
        <is>
          <t>СК2</t>
        </is>
      </c>
      <c r="L186" s="38" t="n">
        <v>35</v>
      </c>
      <c r="M186" s="746" t="inlineStr">
        <is>
          <t>Сосиски Сочинки по-баварски с сыром ТМ Стародворье полиамид мгс ф/в 0,84 кг СК3</t>
        </is>
      </c>
      <c r="N186" s="635" t="n"/>
      <c r="O186" s="635" t="n"/>
      <c r="P186" s="635" t="n"/>
      <c r="Q186" s="601" t="n"/>
      <c r="R186" s="40" t="inlineStr"/>
      <c r="S186" s="40" t="inlineStr"/>
      <c r="T186" s="41" t="inlineStr">
        <is>
          <t>кг</t>
        </is>
      </c>
      <c r="U186" s="636" t="n">
        <v>0</v>
      </c>
      <c r="V186" s="637">
        <f>IFERROR(IF(U186="",0,CEILING((U186/$H186),1)*$H186),"")</f>
        <v/>
      </c>
      <c r="W186" s="42">
        <f>IFERROR(IF(V186=0,"",ROUNDUP(V186/H186,0)*0.00937),"")</f>
        <v/>
      </c>
      <c r="X186" s="69" t="inlineStr"/>
      <c r="Y186" s="70" t="inlineStr"/>
      <c r="AC186" s="180" t="inlineStr">
        <is>
          <t>КИ</t>
        </is>
      </c>
    </row>
    <row r="187" ht="27" customHeight="1">
      <c r="A187" s="64" t="inlineStr">
        <is>
          <t>SU002799</t>
        </is>
      </c>
      <c r="B187" s="64" t="inlineStr">
        <is>
          <t>P003217</t>
        </is>
      </c>
      <c r="C187" s="37" t="n">
        <v>4301051384</v>
      </c>
      <c r="D187" s="356" t="n">
        <v>4680115881211</v>
      </c>
      <c r="E187" s="601" t="n"/>
      <c r="F187" s="633" t="n">
        <v>0.4</v>
      </c>
      <c r="G187" s="38" t="n">
        <v>6</v>
      </c>
      <c r="H187" s="633" t="n">
        <v>2.4</v>
      </c>
      <c r="I187" s="633" t="n">
        <v>2.6</v>
      </c>
      <c r="J187" s="38" t="n">
        <v>156</v>
      </c>
      <c r="K187" s="39" t="inlineStr">
        <is>
          <t>СК2</t>
        </is>
      </c>
      <c r="L187" s="38" t="n">
        <v>45</v>
      </c>
      <c r="M187" s="747" t="inlineStr">
        <is>
          <t>Сосиски Сочинки по-баварски Бавария Фикс.вес 0,4 П/а мгс Стародворье</t>
        </is>
      </c>
      <c r="N187" s="635" t="n"/>
      <c r="O187" s="635" t="n"/>
      <c r="P187" s="635" t="n"/>
      <c r="Q187" s="601" t="n"/>
      <c r="R187" s="40" t="inlineStr"/>
      <c r="S187" s="40" t="inlineStr"/>
      <c r="T187" s="41" t="inlineStr">
        <is>
          <t>кг</t>
        </is>
      </c>
      <c r="U187" s="636" t="n">
        <v>0</v>
      </c>
      <c r="V187" s="637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181" t="inlineStr">
        <is>
          <t>КИ</t>
        </is>
      </c>
    </row>
    <row r="188" ht="27" customHeight="1">
      <c r="A188" s="64" t="inlineStr">
        <is>
          <t>SU002800</t>
        </is>
      </c>
      <c r="B188" s="64" t="inlineStr">
        <is>
          <t>P003201</t>
        </is>
      </c>
      <c r="C188" s="37" t="n">
        <v>4301051378</v>
      </c>
      <c r="D188" s="356" t="n">
        <v>4680115881020</v>
      </c>
      <c r="E188" s="601" t="n"/>
      <c r="F188" s="633" t="n">
        <v>0.84</v>
      </c>
      <c r="G188" s="38" t="n">
        <v>4</v>
      </c>
      <c r="H188" s="633" t="n">
        <v>3.36</v>
      </c>
      <c r="I188" s="633" t="n">
        <v>3.57</v>
      </c>
      <c r="J188" s="38" t="n">
        <v>120</v>
      </c>
      <c r="K188" s="39" t="inlineStr">
        <is>
          <t>СК2</t>
        </is>
      </c>
      <c r="L188" s="38" t="n">
        <v>45</v>
      </c>
      <c r="M188" s="748" t="inlineStr">
        <is>
          <t>Сосиски Сочинки по-баварски Бавария Фикс.вес 0,84 П/а мгс Стародворье</t>
        </is>
      </c>
      <c r="N188" s="635" t="n"/>
      <c r="O188" s="635" t="n"/>
      <c r="P188" s="635" t="n"/>
      <c r="Q188" s="601" t="n"/>
      <c r="R188" s="40" t="inlineStr"/>
      <c r="S188" s="40" t="inlineStr"/>
      <c r="T188" s="41" t="inlineStr">
        <is>
          <t>кг</t>
        </is>
      </c>
      <c r="U188" s="636" t="n">
        <v>0</v>
      </c>
      <c r="V188" s="637">
        <f>IFERROR(IF(U188="",0,CEILING((U188/$H188),1)*$H188),"")</f>
        <v/>
      </c>
      <c r="W188" s="42">
        <f>IFERROR(IF(V188=0,"",ROUNDUP(V188/H188,0)*0.00937),"")</f>
        <v/>
      </c>
      <c r="X188" s="69" t="inlineStr"/>
      <c r="Y188" s="70" t="inlineStr"/>
      <c r="AC188" s="182" t="inlineStr">
        <is>
          <t>КИ</t>
        </is>
      </c>
    </row>
    <row r="189" ht="16.5" customHeight="1">
      <c r="A189" s="64" t="inlineStr">
        <is>
          <t>SU001341</t>
        </is>
      </c>
      <c r="B189" s="64" t="inlineStr">
        <is>
          <t>P002204</t>
        </is>
      </c>
      <c r="C189" s="37" t="n">
        <v>4301051134</v>
      </c>
      <c r="D189" s="356" t="n">
        <v>4607091381672</v>
      </c>
      <c r="E189" s="601" t="n"/>
      <c r="F189" s="633" t="n">
        <v>0.6</v>
      </c>
      <c r="G189" s="38" t="n">
        <v>6</v>
      </c>
      <c r="H189" s="633" t="n">
        <v>3.6</v>
      </c>
      <c r="I189" s="633" t="n">
        <v>3.876</v>
      </c>
      <c r="J189" s="38" t="n">
        <v>120</v>
      </c>
      <c r="K189" s="39" t="inlineStr">
        <is>
          <t>СК2</t>
        </is>
      </c>
      <c r="L189" s="38" t="n">
        <v>40</v>
      </c>
      <c r="M189" s="749">
        <f>HYPERLINK("https://abi.ru/products/Охлажденные/Стародворье/Бордо/Сосиски/P002204/","Сосиски Ганноверские Бордо Фикс.вес 0,6 П/а мгс Баварушка")</f>
        <v/>
      </c>
      <c r="N189" s="635" t="n"/>
      <c r="O189" s="635" t="n"/>
      <c r="P189" s="635" t="n"/>
      <c r="Q189" s="601" t="n"/>
      <c r="R189" s="40" t="inlineStr"/>
      <c r="S189" s="40" t="inlineStr"/>
      <c r="T189" s="41" t="inlineStr">
        <is>
          <t>кг</t>
        </is>
      </c>
      <c r="U189" s="636" t="n">
        <v>108</v>
      </c>
      <c r="V189" s="637">
        <f>IFERROR(IF(U189="",0,CEILING((U189/$H189),1)*$H189),"")</f>
        <v/>
      </c>
      <c r="W189" s="42">
        <f>IFERROR(IF(V189=0,"",ROUNDUP(V189/H189,0)*0.00937),"")</f>
        <v/>
      </c>
      <c r="X189" s="69" t="inlineStr"/>
      <c r="Y189" s="70" t="inlineStr"/>
      <c r="AC189" s="183" t="inlineStr">
        <is>
          <t>КИ</t>
        </is>
      </c>
    </row>
    <row r="190" ht="27" customHeight="1">
      <c r="A190" s="64" t="inlineStr">
        <is>
          <t>SU001763</t>
        </is>
      </c>
      <c r="B190" s="64" t="inlineStr">
        <is>
          <t>P002206</t>
        </is>
      </c>
      <c r="C190" s="37" t="n">
        <v>4301051130</v>
      </c>
      <c r="D190" s="356" t="n">
        <v>4607091387537</v>
      </c>
      <c r="E190" s="601" t="n"/>
      <c r="F190" s="633" t="n">
        <v>0.45</v>
      </c>
      <c r="G190" s="38" t="n">
        <v>6</v>
      </c>
      <c r="H190" s="633" t="n">
        <v>2.7</v>
      </c>
      <c r="I190" s="633" t="n">
        <v>2.99</v>
      </c>
      <c r="J190" s="38" t="n">
        <v>156</v>
      </c>
      <c r="K190" s="39" t="inlineStr">
        <is>
          <t>СК2</t>
        </is>
      </c>
      <c r="L190" s="38" t="n">
        <v>40</v>
      </c>
      <c r="M190" s="750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0" s="635" t="n"/>
      <c r="O190" s="635" t="n"/>
      <c r="P190" s="635" t="n"/>
      <c r="Q190" s="601" t="n"/>
      <c r="R190" s="40" t="inlineStr"/>
      <c r="S190" s="40" t="inlineStr"/>
      <c r="T190" s="41" t="inlineStr">
        <is>
          <t>кг</t>
        </is>
      </c>
      <c r="U190" s="636" t="n">
        <v>0</v>
      </c>
      <c r="V190" s="637">
        <f>IFERROR(IF(U190="",0,CEILING((U190/$H190),1)*$H190),"")</f>
        <v/>
      </c>
      <c r="W190" s="42">
        <f>IFERROR(IF(V190=0,"",ROUNDUP(V190/H190,0)*0.00753),"")</f>
        <v/>
      </c>
      <c r="X190" s="69" t="inlineStr"/>
      <c r="Y190" s="70" t="inlineStr"/>
      <c r="AC190" s="184" t="inlineStr">
        <is>
          <t>КИ</t>
        </is>
      </c>
    </row>
    <row r="191" ht="27" customHeight="1">
      <c r="A191" s="64" t="inlineStr">
        <is>
          <t>SU001762</t>
        </is>
      </c>
      <c r="B191" s="64" t="inlineStr">
        <is>
          <t>P002208</t>
        </is>
      </c>
      <c r="C191" s="37" t="n">
        <v>4301051132</v>
      </c>
      <c r="D191" s="356" t="n">
        <v>4607091387513</v>
      </c>
      <c r="E191" s="601" t="n"/>
      <c r="F191" s="633" t="n">
        <v>0.45</v>
      </c>
      <c r="G191" s="38" t="n">
        <v>6</v>
      </c>
      <c r="H191" s="633" t="n">
        <v>2.7</v>
      </c>
      <c r="I191" s="633" t="n">
        <v>2.978</v>
      </c>
      <c r="J191" s="38" t="n">
        <v>156</v>
      </c>
      <c r="K191" s="39" t="inlineStr">
        <is>
          <t>СК2</t>
        </is>
      </c>
      <c r="L191" s="38" t="n">
        <v>40</v>
      </c>
      <c r="M191" s="751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1" s="635" t="n"/>
      <c r="O191" s="635" t="n"/>
      <c r="P191" s="635" t="n"/>
      <c r="Q191" s="601" t="n"/>
      <c r="R191" s="40" t="inlineStr"/>
      <c r="S191" s="40" t="inlineStr"/>
      <c r="T191" s="41" t="inlineStr">
        <is>
          <t>кг</t>
        </is>
      </c>
      <c r="U191" s="636" t="n">
        <v>0</v>
      </c>
      <c r="V191" s="637">
        <f>IFERROR(IF(U191="",0,CEILING((U191/$H191),1)*$H191),"")</f>
        <v/>
      </c>
      <c r="W191" s="42">
        <f>IFERROR(IF(V191=0,"",ROUNDUP(V191/H191,0)*0.00753),"")</f>
        <v/>
      </c>
      <c r="X191" s="69" t="inlineStr"/>
      <c r="Y191" s="70" t="inlineStr"/>
      <c r="AC191" s="185" t="inlineStr">
        <is>
          <t>КИ</t>
        </is>
      </c>
    </row>
    <row r="192" ht="27" customHeight="1">
      <c r="A192" s="64" t="inlineStr">
        <is>
          <t>SU002842</t>
        </is>
      </c>
      <c r="B192" s="64" t="inlineStr">
        <is>
          <t>P003262</t>
        </is>
      </c>
      <c r="C192" s="37" t="n">
        <v>4301051407</v>
      </c>
      <c r="D192" s="356" t="n">
        <v>4680115882195</v>
      </c>
      <c r="E192" s="601" t="n"/>
      <c r="F192" s="633" t="n">
        <v>0.4</v>
      </c>
      <c r="G192" s="38" t="n">
        <v>6</v>
      </c>
      <c r="H192" s="633" t="n">
        <v>2.4</v>
      </c>
      <c r="I192" s="633" t="n">
        <v>2.69</v>
      </c>
      <c r="J192" s="38" t="n">
        <v>156</v>
      </c>
      <c r="K192" s="39" t="inlineStr">
        <is>
          <t>СК3</t>
        </is>
      </c>
      <c r="L192" s="38" t="n">
        <v>40</v>
      </c>
      <c r="M192" s="752" t="inlineStr">
        <is>
          <t>Сосиски "Сочинки Молочные" Фикс.вес 0,4 п/а мгс ТМ "Стародворье"</t>
        </is>
      </c>
      <c r="N192" s="635" t="n"/>
      <c r="O192" s="635" t="n"/>
      <c r="P192" s="635" t="n"/>
      <c r="Q192" s="601" t="n"/>
      <c r="R192" s="40" t="inlineStr"/>
      <c r="S192" s="40" t="inlineStr"/>
      <c r="T192" s="41" t="inlineStr">
        <is>
          <t>кг</t>
        </is>
      </c>
      <c r="U192" s="636" t="n">
        <v>0</v>
      </c>
      <c r="V192" s="637">
        <f>IFERROR(IF(U192="",0,CEILING((U192/$H192),1)*$H192),"")</f>
        <v/>
      </c>
      <c r="W192" s="42">
        <f>IFERROR(IF(V192=0,"",ROUNDUP(V192/H192,0)*0.00753),"")</f>
        <v/>
      </c>
      <c r="X192" s="69" t="inlineStr"/>
      <c r="Y192" s="70" t="inlineStr"/>
      <c r="AC192" s="186" t="inlineStr">
        <is>
          <t>КИ</t>
        </is>
      </c>
    </row>
    <row r="193" ht="27" customHeight="1">
      <c r="A193" s="64" t="inlineStr">
        <is>
          <t>SU002618</t>
        </is>
      </c>
      <c r="B193" s="64" t="inlineStr">
        <is>
          <t>P003398</t>
        </is>
      </c>
      <c r="C193" s="37" t="n">
        <v>4301051468</v>
      </c>
      <c r="D193" s="356" t="n">
        <v>4680115880092</v>
      </c>
      <c r="E193" s="601" t="n"/>
      <c r="F193" s="633" t="n">
        <v>0.4</v>
      </c>
      <c r="G193" s="38" t="n">
        <v>6</v>
      </c>
      <c r="H193" s="633" t="n">
        <v>2.4</v>
      </c>
      <c r="I193" s="633" t="n">
        <v>2.672</v>
      </c>
      <c r="J193" s="38" t="n">
        <v>156</v>
      </c>
      <c r="K193" s="39" t="inlineStr">
        <is>
          <t>СК3</t>
        </is>
      </c>
      <c r="L193" s="38" t="n">
        <v>45</v>
      </c>
      <c r="M193" s="753" t="inlineStr">
        <is>
          <t>Сосиски "Сочинки с сочной грудинкой" Фикс.вес 0,4 П/а мгс ТМ "Стародворье"</t>
        </is>
      </c>
      <c r="N193" s="635" t="n"/>
      <c r="O193" s="635" t="n"/>
      <c r="P193" s="635" t="n"/>
      <c r="Q193" s="601" t="n"/>
      <c r="R193" s="40" t="inlineStr"/>
      <c r="S193" s="40" t="inlineStr"/>
      <c r="T193" s="41" t="inlineStr">
        <is>
          <t>кг</t>
        </is>
      </c>
      <c r="U193" s="636" t="n">
        <v>0</v>
      </c>
      <c r="V193" s="637">
        <f>IFERROR(IF(U193="",0,CEILING((U193/$H193),1)*$H193),"")</f>
        <v/>
      </c>
      <c r="W193" s="42">
        <f>IFERROR(IF(V193=0,"",ROUNDUP(V193/H193,0)*0.00753),"")</f>
        <v/>
      </c>
      <c r="X193" s="69" t="inlineStr"/>
      <c r="Y193" s="70" t="inlineStr"/>
      <c r="AC193" s="187" t="inlineStr">
        <is>
          <t>КИ</t>
        </is>
      </c>
    </row>
    <row r="194" ht="27" customHeight="1">
      <c r="A194" s="64" t="inlineStr">
        <is>
          <t>SU002621</t>
        </is>
      </c>
      <c r="B194" s="64" t="inlineStr">
        <is>
          <t>P003399</t>
        </is>
      </c>
      <c r="C194" s="37" t="n">
        <v>4301051469</v>
      </c>
      <c r="D194" s="356" t="n">
        <v>4680115880221</v>
      </c>
      <c r="E194" s="601" t="n"/>
      <c r="F194" s="633" t="n">
        <v>0.4</v>
      </c>
      <c r="G194" s="38" t="n">
        <v>6</v>
      </c>
      <c r="H194" s="633" t="n">
        <v>2.4</v>
      </c>
      <c r="I194" s="633" t="n">
        <v>2.672</v>
      </c>
      <c r="J194" s="38" t="n">
        <v>156</v>
      </c>
      <c r="K194" s="39" t="inlineStr">
        <is>
          <t>СК3</t>
        </is>
      </c>
      <c r="L194" s="38" t="n">
        <v>45</v>
      </c>
      <c r="M194" s="754" t="inlineStr">
        <is>
          <t>Сосиски Сочинки с сочным окороком Бордо Фикс.вес 0,4 П/а мгс Стародворье</t>
        </is>
      </c>
      <c r="N194" s="635" t="n"/>
      <c r="O194" s="635" t="n"/>
      <c r="P194" s="635" t="n"/>
      <c r="Q194" s="601" t="n"/>
      <c r="R194" s="40" t="inlineStr"/>
      <c r="S194" s="40" t="inlineStr"/>
      <c r="T194" s="41" t="inlineStr">
        <is>
          <t>кг</t>
        </is>
      </c>
      <c r="U194" s="636" t="n">
        <v>0</v>
      </c>
      <c r="V194" s="637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8" t="inlineStr">
        <is>
          <t>КИ</t>
        </is>
      </c>
    </row>
    <row r="195" ht="16.5" customHeight="1">
      <c r="A195" s="64" t="inlineStr">
        <is>
          <t>SU002686</t>
        </is>
      </c>
      <c r="B195" s="64" t="inlineStr">
        <is>
          <t>P003071</t>
        </is>
      </c>
      <c r="C195" s="37" t="n">
        <v>4301051326</v>
      </c>
      <c r="D195" s="356" t="n">
        <v>4680115880504</v>
      </c>
      <c r="E195" s="601" t="n"/>
      <c r="F195" s="633" t="n">
        <v>0.4</v>
      </c>
      <c r="G195" s="38" t="n">
        <v>6</v>
      </c>
      <c r="H195" s="633" t="n">
        <v>2.4</v>
      </c>
      <c r="I195" s="633" t="n">
        <v>2.672</v>
      </c>
      <c r="J195" s="38" t="n">
        <v>156</v>
      </c>
      <c r="K195" s="39" t="inlineStr">
        <is>
          <t>СК2</t>
        </is>
      </c>
      <c r="L195" s="38" t="n">
        <v>40</v>
      </c>
      <c r="M195" s="755">
        <f>HYPERLINK("https://abi.ru/products/Охлажденные/Стародворье/Бордо/Сосиски/P003071/","Сосиски Сочинки с сыром Бордо ф/в 0,4 кг п/а Стародворье")</f>
        <v/>
      </c>
      <c r="N195" s="635" t="n"/>
      <c r="O195" s="635" t="n"/>
      <c r="P195" s="635" t="n"/>
      <c r="Q195" s="601" t="n"/>
      <c r="R195" s="40" t="inlineStr"/>
      <c r="S195" s="40" t="inlineStr"/>
      <c r="T195" s="41" t="inlineStr">
        <is>
          <t>кг</t>
        </is>
      </c>
      <c r="U195" s="636" t="n">
        <v>0</v>
      </c>
      <c r="V195" s="637">
        <f>IFERROR(IF(U195="",0,CEILING((U195/$H195),1)*$H195),"")</f>
        <v/>
      </c>
      <c r="W195" s="42">
        <f>IFERROR(IF(V195=0,"",ROUNDUP(V195/H195,0)*0.00753),"")</f>
        <v/>
      </c>
      <c r="X195" s="69" t="inlineStr"/>
      <c r="Y195" s="70" t="inlineStr"/>
      <c r="AC195" s="189" t="inlineStr">
        <is>
          <t>КИ</t>
        </is>
      </c>
    </row>
    <row r="196" ht="27" customHeight="1">
      <c r="A196" s="64" t="inlineStr">
        <is>
          <t>SU002844</t>
        </is>
      </c>
      <c r="B196" s="64" t="inlineStr">
        <is>
          <t>P003265</t>
        </is>
      </c>
      <c r="C196" s="37" t="n">
        <v>4301051410</v>
      </c>
      <c r="D196" s="356" t="n">
        <v>4680115882164</v>
      </c>
      <c r="E196" s="601" t="n"/>
      <c r="F196" s="633" t="n">
        <v>0.4</v>
      </c>
      <c r="G196" s="38" t="n">
        <v>6</v>
      </c>
      <c r="H196" s="633" t="n">
        <v>2.4</v>
      </c>
      <c r="I196" s="633" t="n">
        <v>2.678</v>
      </c>
      <c r="J196" s="38" t="n">
        <v>156</v>
      </c>
      <c r="K196" s="39" t="inlineStr">
        <is>
          <t>СК3</t>
        </is>
      </c>
      <c r="L196" s="38" t="n">
        <v>40</v>
      </c>
      <c r="M196" s="756" t="inlineStr">
        <is>
          <t>Сосиски "Сочинки Сливочные" Фикс.вес 0,4 п/а мгс ТМ "Стародворье"</t>
        </is>
      </c>
      <c r="N196" s="635" t="n"/>
      <c r="O196" s="635" t="n"/>
      <c r="P196" s="635" t="n"/>
      <c r="Q196" s="601" t="n"/>
      <c r="R196" s="40" t="inlineStr"/>
      <c r="S196" s="40" t="inlineStr"/>
      <c r="T196" s="41" t="inlineStr">
        <is>
          <t>кг</t>
        </is>
      </c>
      <c r="U196" s="636" t="n">
        <v>0</v>
      </c>
      <c r="V196" s="637">
        <f>IFERROR(IF(U196="",0,CEILING((U196/$H196),1)*$H196),"")</f>
        <v/>
      </c>
      <c r="W196" s="42">
        <f>IFERROR(IF(V196=0,"",ROUNDUP(V196/H196,0)*0.00753),"")</f>
        <v/>
      </c>
      <c r="X196" s="69" t="inlineStr"/>
      <c r="Y196" s="70" t="inlineStr"/>
      <c r="AC196" s="190" t="inlineStr">
        <is>
          <t>КИ</t>
        </is>
      </c>
    </row>
    <row r="197">
      <c r="A197" s="364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638" t="n"/>
      <c r="M197" s="639" t="inlineStr">
        <is>
          <t>Итого</t>
        </is>
      </c>
      <c r="N197" s="609" t="n"/>
      <c r="O197" s="609" t="n"/>
      <c r="P197" s="609" t="n"/>
      <c r="Q197" s="609" t="n"/>
      <c r="R197" s="609" t="n"/>
      <c r="S197" s="610" t="n"/>
      <c r="T197" s="43" t="inlineStr">
        <is>
          <t>кор</t>
        </is>
      </c>
      <c r="U197" s="640">
        <f>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</f>
        <v/>
      </c>
      <c r="V197" s="640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</f>
        <v/>
      </c>
      <c r="W197" s="640">
        <f>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</f>
        <v/>
      </c>
      <c r="X197" s="641" t="n"/>
      <c r="Y197" s="641" t="n"/>
    </row>
    <row r="19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638" t="n"/>
      <c r="M198" s="639" t="inlineStr">
        <is>
          <t>Итого</t>
        </is>
      </c>
      <c r="N198" s="609" t="n"/>
      <c r="O198" s="609" t="n"/>
      <c r="P198" s="609" t="n"/>
      <c r="Q198" s="609" t="n"/>
      <c r="R198" s="609" t="n"/>
      <c r="S198" s="610" t="n"/>
      <c r="T198" s="43" t="inlineStr">
        <is>
          <t>кг</t>
        </is>
      </c>
      <c r="U198" s="640">
        <f>IFERROR(SUM(U176:U196),"0")</f>
        <v/>
      </c>
      <c r="V198" s="640">
        <f>IFERROR(SUM(V176:V196),"0")</f>
        <v/>
      </c>
      <c r="W198" s="43" t="n"/>
      <c r="X198" s="641" t="n"/>
      <c r="Y198" s="641" t="n"/>
    </row>
    <row r="199" ht="14.25" customHeight="1">
      <c r="A199" s="355" t="inlineStr">
        <is>
          <t>Сардельки</t>
        </is>
      </c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355" t="n"/>
      <c r="Y199" s="355" t="n"/>
    </row>
    <row r="200" ht="16.5" customHeight="1">
      <c r="A200" s="64" t="inlineStr">
        <is>
          <t>SU001051</t>
        </is>
      </c>
      <c r="B200" s="64" t="inlineStr">
        <is>
          <t>P002061</t>
        </is>
      </c>
      <c r="C200" s="37" t="n">
        <v>4301060326</v>
      </c>
      <c r="D200" s="356" t="n">
        <v>4607091380880</v>
      </c>
      <c r="E200" s="601" t="n"/>
      <c r="F200" s="633" t="n">
        <v>1.4</v>
      </c>
      <c r="G200" s="38" t="n">
        <v>6</v>
      </c>
      <c r="H200" s="633" t="n">
        <v>8.4</v>
      </c>
      <c r="I200" s="633" t="n">
        <v>8.964</v>
      </c>
      <c r="J200" s="38" t="n">
        <v>56</v>
      </c>
      <c r="K200" s="39" t="inlineStr">
        <is>
          <t>СК2</t>
        </is>
      </c>
      <c r="L200" s="38" t="n">
        <v>30</v>
      </c>
      <c r="M200" s="757">
        <f>HYPERLINK("https://abi.ru/products/Охлажденные/Стародворье/Бордо/Сардельки/P002061/","Сардельки Нежные Бордо Весовые н/о мгс Стародворье")</f>
        <v/>
      </c>
      <c r="N200" s="635" t="n"/>
      <c r="O200" s="635" t="n"/>
      <c r="P200" s="635" t="n"/>
      <c r="Q200" s="601" t="n"/>
      <c r="R200" s="40" t="inlineStr"/>
      <c r="S200" s="40" t="inlineStr"/>
      <c r="T200" s="41" t="inlineStr">
        <is>
          <t>кг</t>
        </is>
      </c>
      <c r="U200" s="636" t="n">
        <v>0</v>
      </c>
      <c r="V200" s="637">
        <f>IFERROR(IF(U200="",0,CEILING((U200/$H200),1)*$H200),"")</f>
        <v/>
      </c>
      <c r="W200" s="42">
        <f>IFERROR(IF(V200=0,"",ROUNDUP(V200/H200,0)*0.02175),"")</f>
        <v/>
      </c>
      <c r="X200" s="69" t="inlineStr"/>
      <c r="Y200" s="70" t="inlineStr"/>
      <c r="AC200" s="191" t="inlineStr">
        <is>
          <t>КИ</t>
        </is>
      </c>
    </row>
    <row r="201" ht="27" customHeight="1">
      <c r="A201" s="64" t="inlineStr">
        <is>
          <t>SU000227</t>
        </is>
      </c>
      <c r="B201" s="64" t="inlineStr">
        <is>
          <t>P002536</t>
        </is>
      </c>
      <c r="C201" s="37" t="n">
        <v>4301060308</v>
      </c>
      <c r="D201" s="356" t="n">
        <v>4607091384482</v>
      </c>
      <c r="E201" s="601" t="n"/>
      <c r="F201" s="633" t="n">
        <v>1.3</v>
      </c>
      <c r="G201" s="38" t="n">
        <v>6</v>
      </c>
      <c r="H201" s="633" t="n">
        <v>7.8</v>
      </c>
      <c r="I201" s="633" t="n">
        <v>8.364000000000001</v>
      </c>
      <c r="J201" s="38" t="n">
        <v>56</v>
      </c>
      <c r="K201" s="39" t="inlineStr">
        <is>
          <t>СК2</t>
        </is>
      </c>
      <c r="L201" s="38" t="n">
        <v>30</v>
      </c>
      <c r="M201" s="758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01" s="635" t="n"/>
      <c r="O201" s="635" t="n"/>
      <c r="P201" s="635" t="n"/>
      <c r="Q201" s="601" t="n"/>
      <c r="R201" s="40" t="inlineStr"/>
      <c r="S201" s="40" t="inlineStr"/>
      <c r="T201" s="41" t="inlineStr">
        <is>
          <t>кг</t>
        </is>
      </c>
      <c r="U201" s="636" t="n">
        <v>300</v>
      </c>
      <c r="V201" s="637">
        <f>IFERROR(IF(U201="",0,CEILING((U201/$H201),1)*$H201),"")</f>
        <v/>
      </c>
      <c r="W201" s="42">
        <f>IFERROR(IF(V201=0,"",ROUNDUP(V201/H201,0)*0.02175),"")</f>
        <v/>
      </c>
      <c r="X201" s="69" t="inlineStr"/>
      <c r="Y201" s="70" t="inlineStr"/>
      <c r="AC201" s="192" t="inlineStr">
        <is>
          <t>КИ</t>
        </is>
      </c>
    </row>
    <row r="202" ht="16.5" customHeight="1">
      <c r="A202" s="64" t="inlineStr">
        <is>
          <t>SU001430</t>
        </is>
      </c>
      <c r="B202" s="64" t="inlineStr">
        <is>
          <t>P002036</t>
        </is>
      </c>
      <c r="C202" s="37" t="n">
        <v>4301060325</v>
      </c>
      <c r="D202" s="356" t="n">
        <v>4607091380897</v>
      </c>
      <c r="E202" s="601" t="n"/>
      <c r="F202" s="633" t="n">
        <v>1.4</v>
      </c>
      <c r="G202" s="38" t="n">
        <v>6</v>
      </c>
      <c r="H202" s="633" t="n">
        <v>8.4</v>
      </c>
      <c r="I202" s="633" t="n">
        <v>8.964</v>
      </c>
      <c r="J202" s="38" t="n">
        <v>56</v>
      </c>
      <c r="K202" s="39" t="inlineStr">
        <is>
          <t>СК2</t>
        </is>
      </c>
      <c r="L202" s="38" t="n">
        <v>30</v>
      </c>
      <c r="M202" s="759">
        <f>HYPERLINK("https://abi.ru/products/Охлажденные/Стародворье/Бордо/Сардельки/P002036/","Сардельки Шпикачки Бордо Весовые NDX мгс Стародворье")</f>
        <v/>
      </c>
      <c r="N202" s="635" t="n"/>
      <c r="O202" s="635" t="n"/>
      <c r="P202" s="635" t="n"/>
      <c r="Q202" s="601" t="n"/>
      <c r="R202" s="40" t="inlineStr"/>
      <c r="S202" s="40" t="inlineStr"/>
      <c r="T202" s="41" t="inlineStr">
        <is>
          <t>кг</t>
        </is>
      </c>
      <c r="U202" s="636" t="n">
        <v>0</v>
      </c>
      <c r="V202" s="637">
        <f>IFERROR(IF(U202="",0,CEILING((U202/$H202),1)*$H202),"")</f>
        <v/>
      </c>
      <c r="W202" s="42">
        <f>IFERROR(IF(V202=0,"",ROUNDUP(V202/H202,0)*0.02175),"")</f>
        <v/>
      </c>
      <c r="X202" s="69" t="inlineStr"/>
      <c r="Y202" s="70" t="inlineStr"/>
      <c r="AC202" s="193" t="inlineStr">
        <is>
          <t>КИ</t>
        </is>
      </c>
    </row>
    <row r="203" ht="16.5" customHeight="1">
      <c r="A203" s="64" t="inlineStr">
        <is>
          <t>SU002758</t>
        </is>
      </c>
      <c r="B203" s="64" t="inlineStr">
        <is>
          <t>P003129</t>
        </is>
      </c>
      <c r="C203" s="37" t="n">
        <v>4301060338</v>
      </c>
      <c r="D203" s="356" t="n">
        <v>4680115880801</v>
      </c>
      <c r="E203" s="601" t="n"/>
      <c r="F203" s="633" t="n">
        <v>0.4</v>
      </c>
      <c r="G203" s="38" t="n">
        <v>6</v>
      </c>
      <c r="H203" s="633" t="n">
        <v>2.4</v>
      </c>
      <c r="I203" s="633" t="n">
        <v>2.672</v>
      </c>
      <c r="J203" s="38" t="n">
        <v>156</v>
      </c>
      <c r="K203" s="39" t="inlineStr">
        <is>
          <t>СК2</t>
        </is>
      </c>
      <c r="L203" s="38" t="n">
        <v>40</v>
      </c>
      <c r="M203" s="760" t="inlineStr">
        <is>
          <t>Сардельки Сочинки с сочным окороком ТМ Стародворье полиамид мгс ф/в 0,4 кг СК3</t>
        </is>
      </c>
      <c r="N203" s="635" t="n"/>
      <c r="O203" s="635" t="n"/>
      <c r="P203" s="635" t="n"/>
      <c r="Q203" s="601" t="n"/>
      <c r="R203" s="40" t="inlineStr"/>
      <c r="S203" s="40" t="inlineStr"/>
      <c r="T203" s="41" t="inlineStr">
        <is>
          <t>кг</t>
        </is>
      </c>
      <c r="U203" s="636" t="n">
        <v>0</v>
      </c>
      <c r="V203" s="637">
        <f>IFERROR(IF(U203="",0,CEILING((U203/$H203),1)*$H203),"")</f>
        <v/>
      </c>
      <c r="W203" s="42">
        <f>IFERROR(IF(V203=0,"",ROUNDUP(V203/H203,0)*0.00753),"")</f>
        <v/>
      </c>
      <c r="X203" s="69" t="inlineStr"/>
      <c r="Y203" s="70" t="inlineStr"/>
      <c r="AC203" s="194" t="inlineStr">
        <is>
          <t>КИ</t>
        </is>
      </c>
    </row>
    <row r="204" ht="27" customHeight="1">
      <c r="A204" s="64" t="inlineStr">
        <is>
          <t>SU002759</t>
        </is>
      </c>
      <c r="B204" s="64" t="inlineStr">
        <is>
          <t>P003130</t>
        </is>
      </c>
      <c r="C204" s="37" t="n">
        <v>4301060339</v>
      </c>
      <c r="D204" s="356" t="n">
        <v>4680115880818</v>
      </c>
      <c r="E204" s="601" t="n"/>
      <c r="F204" s="633" t="n">
        <v>0.4</v>
      </c>
      <c r="G204" s="38" t="n">
        <v>6</v>
      </c>
      <c r="H204" s="633" t="n">
        <v>2.4</v>
      </c>
      <c r="I204" s="633" t="n">
        <v>2.672</v>
      </c>
      <c r="J204" s="38" t="n">
        <v>156</v>
      </c>
      <c r="K204" s="39" t="inlineStr">
        <is>
          <t>СК2</t>
        </is>
      </c>
      <c r="L204" s="38" t="n">
        <v>40</v>
      </c>
      <c r="M204" s="761" t="inlineStr">
        <is>
          <t>Сардельки Сочинки с сыром Бордо Фикс.вес 0,4 п/а Стародворье</t>
        </is>
      </c>
      <c r="N204" s="635" t="n"/>
      <c r="O204" s="635" t="n"/>
      <c r="P204" s="635" t="n"/>
      <c r="Q204" s="601" t="n"/>
      <c r="R204" s="40" t="inlineStr"/>
      <c r="S204" s="40" t="inlineStr"/>
      <c r="T204" s="41" t="inlineStr">
        <is>
          <t>кг</t>
        </is>
      </c>
      <c r="U204" s="636" t="n">
        <v>0</v>
      </c>
      <c r="V204" s="637">
        <f>IFERROR(IF(U204="",0,CEILING((U204/$H204),1)*$H204),"")</f>
        <v/>
      </c>
      <c r="W204" s="42">
        <f>IFERROR(IF(V204=0,"",ROUNDUP(V204/H204,0)*0.00753),"")</f>
        <v/>
      </c>
      <c r="X204" s="69" t="inlineStr"/>
      <c r="Y204" s="70" t="inlineStr"/>
      <c r="AC204" s="195" t="inlineStr">
        <is>
          <t>КИ</t>
        </is>
      </c>
    </row>
    <row r="205" ht="16.5" customHeight="1">
      <c r="A205" s="64" t="inlineStr">
        <is>
          <t>SU002691</t>
        </is>
      </c>
      <c r="B205" s="64" t="inlineStr">
        <is>
          <t>P003055</t>
        </is>
      </c>
      <c r="C205" s="37" t="n">
        <v>4301060337</v>
      </c>
      <c r="D205" s="356" t="n">
        <v>4680115880368</v>
      </c>
      <c r="E205" s="601" t="n"/>
      <c r="F205" s="633" t="n">
        <v>1</v>
      </c>
      <c r="G205" s="38" t="n">
        <v>4</v>
      </c>
      <c r="H205" s="633" t="n">
        <v>4</v>
      </c>
      <c r="I205" s="633" t="n">
        <v>4.36</v>
      </c>
      <c r="J205" s="38" t="n">
        <v>104</v>
      </c>
      <c r="K205" s="39" t="inlineStr">
        <is>
          <t>СК3</t>
        </is>
      </c>
      <c r="L205" s="38" t="n">
        <v>40</v>
      </c>
      <c r="M205" s="762" t="inlineStr">
        <is>
          <t>Сардельки Царедворские Бордо ф/в 1 кг п/а Стародворье</t>
        </is>
      </c>
      <c r="N205" s="635" t="n"/>
      <c r="O205" s="635" t="n"/>
      <c r="P205" s="635" t="n"/>
      <c r="Q205" s="601" t="n"/>
      <c r="R205" s="40" t="inlineStr"/>
      <c r="S205" s="40" t="inlineStr"/>
      <c r="T205" s="41" t="inlineStr">
        <is>
          <t>кг</t>
        </is>
      </c>
      <c r="U205" s="636" t="n">
        <v>0</v>
      </c>
      <c r="V205" s="637">
        <f>IFERROR(IF(U205="",0,CEILING((U205/$H205),1)*$H205),"")</f>
        <v/>
      </c>
      <c r="W205" s="42">
        <f>IFERROR(IF(V205=0,"",ROUNDUP(V205/H205,0)*0.01196),"")</f>
        <v/>
      </c>
      <c r="X205" s="69" t="inlineStr"/>
      <c r="Y205" s="70" t="inlineStr"/>
      <c r="AC205" s="196" t="inlineStr">
        <is>
          <t>КИ</t>
        </is>
      </c>
    </row>
    <row r="206">
      <c r="A206" s="364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38" t="n"/>
      <c r="M206" s="639" t="inlineStr">
        <is>
          <t>Итого</t>
        </is>
      </c>
      <c r="N206" s="609" t="n"/>
      <c r="O206" s="609" t="n"/>
      <c r="P206" s="609" t="n"/>
      <c r="Q206" s="609" t="n"/>
      <c r="R206" s="609" t="n"/>
      <c r="S206" s="610" t="n"/>
      <c r="T206" s="43" t="inlineStr">
        <is>
          <t>кор</t>
        </is>
      </c>
      <c r="U206" s="640">
        <f>IFERROR(U200/H200,"0")+IFERROR(U201/H201,"0")+IFERROR(U202/H202,"0")+IFERROR(U203/H203,"0")+IFERROR(U204/H204,"0")+IFERROR(U205/H205,"0")</f>
        <v/>
      </c>
      <c r="V206" s="640">
        <f>IFERROR(V200/H200,"0")+IFERROR(V201/H201,"0")+IFERROR(V202/H202,"0")+IFERROR(V203/H203,"0")+IFERROR(V204/H204,"0")+IFERROR(V205/H205,"0")</f>
        <v/>
      </c>
      <c r="W206" s="640">
        <f>IFERROR(IF(W200="",0,W200),"0")+IFERROR(IF(W201="",0,W201),"0")+IFERROR(IF(W202="",0,W202),"0")+IFERROR(IF(W203="",0,W203),"0")+IFERROR(IF(W204="",0,W204),"0")+IFERROR(IF(W205="",0,W205),"0")</f>
        <v/>
      </c>
      <c r="X206" s="641" t="n"/>
      <c r="Y206" s="641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638" t="n"/>
      <c r="M207" s="639" t="inlineStr">
        <is>
          <t>Итого</t>
        </is>
      </c>
      <c r="N207" s="609" t="n"/>
      <c r="O207" s="609" t="n"/>
      <c r="P207" s="609" t="n"/>
      <c r="Q207" s="609" t="n"/>
      <c r="R207" s="609" t="n"/>
      <c r="S207" s="610" t="n"/>
      <c r="T207" s="43" t="inlineStr">
        <is>
          <t>кг</t>
        </is>
      </c>
      <c r="U207" s="640">
        <f>IFERROR(SUM(U200:U205),"0")</f>
        <v/>
      </c>
      <c r="V207" s="640">
        <f>IFERROR(SUM(V200:V205),"0")</f>
        <v/>
      </c>
      <c r="W207" s="43" t="n"/>
      <c r="X207" s="641" t="n"/>
      <c r="Y207" s="641" t="n"/>
    </row>
    <row r="208" ht="14.25" customHeight="1">
      <c r="A208" s="355" t="inlineStr">
        <is>
          <t>Сырокопченые колбасы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355" t="n"/>
      <c r="Y208" s="355" t="n"/>
    </row>
    <row r="209" ht="16.5" customHeight="1">
      <c r="A209" s="64" t="inlineStr">
        <is>
          <t>SU001920</t>
        </is>
      </c>
      <c r="B209" s="64" t="inlineStr">
        <is>
          <t>P001900</t>
        </is>
      </c>
      <c r="C209" s="37" t="n">
        <v>4301030232</v>
      </c>
      <c r="D209" s="356" t="n">
        <v>4607091388374</v>
      </c>
      <c r="E209" s="601" t="n"/>
      <c r="F209" s="633" t="n">
        <v>0.38</v>
      </c>
      <c r="G209" s="38" t="n">
        <v>8</v>
      </c>
      <c r="H209" s="633" t="n">
        <v>3.04</v>
      </c>
      <c r="I209" s="633" t="n">
        <v>3.28</v>
      </c>
      <c r="J209" s="38" t="n">
        <v>156</v>
      </c>
      <c r="K209" s="39" t="inlineStr">
        <is>
          <t>АК</t>
        </is>
      </c>
      <c r="L209" s="38" t="n">
        <v>180</v>
      </c>
      <c r="M209" s="763" t="inlineStr">
        <is>
          <t>С/к колбасы Княжеская Бордо Весовые б/о терм/п Стародворье</t>
        </is>
      </c>
      <c r="N209" s="635" t="n"/>
      <c r="O209" s="635" t="n"/>
      <c r="P209" s="635" t="n"/>
      <c r="Q209" s="601" t="n"/>
      <c r="R209" s="40" t="inlineStr"/>
      <c r="S209" s="40" t="inlineStr"/>
      <c r="T209" s="41" t="inlineStr">
        <is>
          <t>кг</t>
        </is>
      </c>
      <c r="U209" s="636" t="n">
        <v>0</v>
      </c>
      <c r="V209" s="637">
        <f>IFERROR(IF(U209="",0,CEILING((U209/$H209),1)*$H209),"")</f>
        <v/>
      </c>
      <c r="W209" s="42">
        <f>IFERROR(IF(V209=0,"",ROUNDUP(V209/H209,0)*0.00753),"")</f>
        <v/>
      </c>
      <c r="X209" s="69" t="inlineStr"/>
      <c r="Y209" s="70" t="inlineStr"/>
      <c r="AC209" s="197" t="inlineStr">
        <is>
          <t>КИ</t>
        </is>
      </c>
    </row>
    <row r="210" ht="27" customHeight="1">
      <c r="A210" s="64" t="inlineStr">
        <is>
          <t>SU001921</t>
        </is>
      </c>
      <c r="B210" s="64" t="inlineStr">
        <is>
          <t>P001916</t>
        </is>
      </c>
      <c r="C210" s="37" t="n">
        <v>4301030235</v>
      </c>
      <c r="D210" s="356" t="n">
        <v>4607091388381</v>
      </c>
      <c r="E210" s="601" t="n"/>
      <c r="F210" s="633" t="n">
        <v>0.38</v>
      </c>
      <c r="G210" s="38" t="n">
        <v>8</v>
      </c>
      <c r="H210" s="633" t="n">
        <v>3.04</v>
      </c>
      <c r="I210" s="633" t="n">
        <v>3.32</v>
      </c>
      <c r="J210" s="38" t="n">
        <v>156</v>
      </c>
      <c r="K210" s="39" t="inlineStr">
        <is>
          <t>АК</t>
        </is>
      </c>
      <c r="L210" s="38" t="n">
        <v>180</v>
      </c>
      <c r="M210" s="764" t="inlineStr">
        <is>
          <t>С/к колбасы Салями Охотничья Бордо Весовые б/о терм/п 180 Стародворье</t>
        </is>
      </c>
      <c r="N210" s="635" t="n"/>
      <c r="O210" s="635" t="n"/>
      <c r="P210" s="635" t="n"/>
      <c r="Q210" s="601" t="n"/>
      <c r="R210" s="40" t="inlineStr"/>
      <c r="S210" s="40" t="inlineStr"/>
      <c r="T210" s="41" t="inlineStr">
        <is>
          <t>кг</t>
        </is>
      </c>
      <c r="U210" s="636" t="n">
        <v>0</v>
      </c>
      <c r="V210" s="637">
        <f>IFERROR(IF(U210="",0,CEILING((U210/$H210),1)*$H210),"")</f>
        <v/>
      </c>
      <c r="W210" s="42">
        <f>IFERROR(IF(V210=0,"",ROUNDUP(V210/H210,0)*0.00753),"")</f>
        <v/>
      </c>
      <c r="X210" s="69" t="inlineStr"/>
      <c r="Y210" s="70" t="inlineStr"/>
      <c r="AC210" s="198" t="inlineStr">
        <is>
          <t>КИ</t>
        </is>
      </c>
    </row>
    <row r="211" ht="27" customHeight="1">
      <c r="A211" s="64" t="inlineStr">
        <is>
          <t>SU001869</t>
        </is>
      </c>
      <c r="B211" s="64" t="inlineStr">
        <is>
          <t>P001909</t>
        </is>
      </c>
      <c r="C211" s="37" t="n">
        <v>4301030233</v>
      </c>
      <c r="D211" s="356" t="n">
        <v>4607091388404</v>
      </c>
      <c r="E211" s="601" t="n"/>
      <c r="F211" s="633" t="n">
        <v>0.17</v>
      </c>
      <c r="G211" s="38" t="n">
        <v>15</v>
      </c>
      <c r="H211" s="633" t="n">
        <v>2.55</v>
      </c>
      <c r="I211" s="633" t="n">
        <v>2.9</v>
      </c>
      <c r="J211" s="38" t="n">
        <v>156</v>
      </c>
      <c r="K211" s="39" t="inlineStr">
        <is>
          <t>АК</t>
        </is>
      </c>
      <c r="L211" s="38" t="n">
        <v>180</v>
      </c>
      <c r="M211" s="765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11" s="635" t="n"/>
      <c r="O211" s="635" t="n"/>
      <c r="P211" s="635" t="n"/>
      <c r="Q211" s="601" t="n"/>
      <c r="R211" s="40" t="inlineStr"/>
      <c r="S211" s="40" t="inlineStr"/>
      <c r="T211" s="41" t="inlineStr">
        <is>
          <t>кг</t>
        </is>
      </c>
      <c r="U211" s="636" t="n">
        <v>0</v>
      </c>
      <c r="V211" s="637">
        <f>IFERROR(IF(U211="",0,CEILING((U211/$H211),1)*$H211),"")</f>
        <v/>
      </c>
      <c r="W211" s="42">
        <f>IFERROR(IF(V211=0,"",ROUNDUP(V211/H211,0)*0.00753),"")</f>
        <v/>
      </c>
      <c r="X211" s="69" t="inlineStr"/>
      <c r="Y211" s="70" t="inlineStr"/>
      <c r="AC211" s="199" t="inlineStr">
        <is>
          <t>КИ</t>
        </is>
      </c>
    </row>
    <row r="212">
      <c r="A212" s="364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638" t="n"/>
      <c r="M212" s="639" t="inlineStr">
        <is>
          <t>Итого</t>
        </is>
      </c>
      <c r="N212" s="609" t="n"/>
      <c r="O212" s="609" t="n"/>
      <c r="P212" s="609" t="n"/>
      <c r="Q212" s="609" t="n"/>
      <c r="R212" s="609" t="n"/>
      <c r="S212" s="610" t="n"/>
      <c r="T212" s="43" t="inlineStr">
        <is>
          <t>кор</t>
        </is>
      </c>
      <c r="U212" s="640">
        <f>IFERROR(U209/H209,"0")+IFERROR(U210/H210,"0")+IFERROR(U211/H211,"0")</f>
        <v/>
      </c>
      <c r="V212" s="640">
        <f>IFERROR(V209/H209,"0")+IFERROR(V210/H210,"0")+IFERROR(V211/H211,"0")</f>
        <v/>
      </c>
      <c r="W212" s="640">
        <f>IFERROR(IF(W209="",0,W209),"0")+IFERROR(IF(W210="",0,W210),"0")+IFERROR(IF(W211="",0,W211),"0")</f>
        <v/>
      </c>
      <c r="X212" s="641" t="n"/>
      <c r="Y212" s="641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638" t="n"/>
      <c r="M213" s="639" t="inlineStr">
        <is>
          <t>Итого</t>
        </is>
      </c>
      <c r="N213" s="609" t="n"/>
      <c r="O213" s="609" t="n"/>
      <c r="P213" s="609" t="n"/>
      <c r="Q213" s="609" t="n"/>
      <c r="R213" s="609" t="n"/>
      <c r="S213" s="610" t="n"/>
      <c r="T213" s="43" t="inlineStr">
        <is>
          <t>кг</t>
        </is>
      </c>
      <c r="U213" s="640">
        <f>IFERROR(SUM(U209:U211),"0")</f>
        <v/>
      </c>
      <c r="V213" s="640">
        <f>IFERROR(SUM(V209:V211),"0")</f>
        <v/>
      </c>
      <c r="W213" s="43" t="n"/>
      <c r="X213" s="641" t="n"/>
      <c r="Y213" s="641" t="n"/>
    </row>
    <row r="214" ht="14.25" customHeight="1">
      <c r="A214" s="355" t="inlineStr">
        <is>
          <t>Паштеты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355" t="n"/>
      <c r="Y214" s="355" t="n"/>
    </row>
    <row r="215" ht="16.5" customHeight="1">
      <c r="A215" s="64" t="inlineStr">
        <is>
          <t>SU002369</t>
        </is>
      </c>
      <c r="B215" s="64" t="inlineStr">
        <is>
          <t>P002649</t>
        </is>
      </c>
      <c r="C215" s="37" t="n">
        <v>4301180002</v>
      </c>
      <c r="D215" s="356" t="n">
        <v>4680115880122</v>
      </c>
      <c r="E215" s="601" t="n"/>
      <c r="F215" s="633" t="n">
        <v>0.1</v>
      </c>
      <c r="G215" s="38" t="n">
        <v>20</v>
      </c>
      <c r="H215" s="633" t="n">
        <v>2</v>
      </c>
      <c r="I215" s="633" t="n">
        <v>2.24</v>
      </c>
      <c r="J215" s="38" t="n">
        <v>238</v>
      </c>
      <c r="K215" s="39" t="inlineStr">
        <is>
          <t>РК</t>
        </is>
      </c>
      <c r="L215" s="38" t="n">
        <v>730</v>
      </c>
      <c r="M215" s="766">
        <f>HYPERLINK("https://abi.ru/products/Охлажденные/Стародворье/Бордо/Паштеты/P002649/","Паштеты Копчёный бекон Бордо фикс.вес 0,1 Стародворье")</f>
        <v/>
      </c>
      <c r="N215" s="635" t="n"/>
      <c r="O215" s="635" t="n"/>
      <c r="P215" s="635" t="n"/>
      <c r="Q215" s="601" t="n"/>
      <c r="R215" s="40" t="inlineStr"/>
      <c r="S215" s="40" t="inlineStr"/>
      <c r="T215" s="41" t="inlineStr">
        <is>
          <t>кг</t>
        </is>
      </c>
      <c r="U215" s="636" t="n">
        <v>0</v>
      </c>
      <c r="V215" s="637">
        <f>IFERROR(IF(U215="",0,CEILING((U215/$H215),1)*$H215),"")</f>
        <v/>
      </c>
      <c r="W215" s="42">
        <f>IFERROR(IF(V215=0,"",ROUNDUP(V215/H215,0)*0.00474),"")</f>
        <v/>
      </c>
      <c r="X215" s="69" t="inlineStr"/>
      <c r="Y215" s="70" t="inlineStr"/>
      <c r="AC215" s="200" t="inlineStr">
        <is>
          <t>КИ</t>
        </is>
      </c>
    </row>
    <row r="216" ht="16.5" customHeight="1">
      <c r="A216" s="64" t="inlineStr">
        <is>
          <t>SU002841</t>
        </is>
      </c>
      <c r="B216" s="64" t="inlineStr">
        <is>
          <t>P003253</t>
        </is>
      </c>
      <c r="C216" s="37" t="n">
        <v>4301180007</v>
      </c>
      <c r="D216" s="356" t="n">
        <v>4680115881808</v>
      </c>
      <c r="E216" s="601" t="n"/>
      <c r="F216" s="633" t="n">
        <v>0.1</v>
      </c>
      <c r="G216" s="38" t="n">
        <v>20</v>
      </c>
      <c r="H216" s="633" t="n">
        <v>2</v>
      </c>
      <c r="I216" s="633" t="n">
        <v>2.24</v>
      </c>
      <c r="J216" s="38" t="n">
        <v>238</v>
      </c>
      <c r="K216" s="39" t="inlineStr">
        <is>
          <t>РК</t>
        </is>
      </c>
      <c r="L216" s="38" t="n">
        <v>730</v>
      </c>
      <c r="M216" s="767" t="inlineStr">
        <is>
          <t>Паштеты "Любительский ГОСТ" Фикс.вес 0,1 ТМ "Стародворье"</t>
        </is>
      </c>
      <c r="N216" s="635" t="n"/>
      <c r="O216" s="635" t="n"/>
      <c r="P216" s="635" t="n"/>
      <c r="Q216" s="601" t="n"/>
      <c r="R216" s="40" t="inlineStr"/>
      <c r="S216" s="40" t="inlineStr"/>
      <c r="T216" s="41" t="inlineStr">
        <is>
          <t>кг</t>
        </is>
      </c>
      <c r="U216" s="636" t="n">
        <v>0</v>
      </c>
      <c r="V216" s="637">
        <f>IFERROR(IF(U216="",0,CEILING((U216/$H216),1)*$H216),"")</f>
        <v/>
      </c>
      <c r="W216" s="42">
        <f>IFERROR(IF(V216=0,"",ROUNDUP(V216/H216,0)*0.00474),"")</f>
        <v/>
      </c>
      <c r="X216" s="69" t="inlineStr"/>
      <c r="Y216" s="70" t="inlineStr"/>
      <c r="AC216" s="201" t="inlineStr">
        <is>
          <t>КИ</t>
        </is>
      </c>
    </row>
    <row r="217" ht="27" customHeight="1">
      <c r="A217" s="64" t="inlineStr">
        <is>
          <t>SU002840</t>
        </is>
      </c>
      <c r="B217" s="64" t="inlineStr">
        <is>
          <t>P003252</t>
        </is>
      </c>
      <c r="C217" s="37" t="n">
        <v>4301180006</v>
      </c>
      <c r="D217" s="356" t="n">
        <v>4680115881822</v>
      </c>
      <c r="E217" s="601" t="n"/>
      <c r="F217" s="633" t="n">
        <v>0.1</v>
      </c>
      <c r="G217" s="38" t="n">
        <v>20</v>
      </c>
      <c r="H217" s="633" t="n">
        <v>2</v>
      </c>
      <c r="I217" s="633" t="n">
        <v>2.24</v>
      </c>
      <c r="J217" s="38" t="n">
        <v>238</v>
      </c>
      <c r="K217" s="39" t="inlineStr">
        <is>
          <t>РК</t>
        </is>
      </c>
      <c r="L217" s="38" t="n">
        <v>730</v>
      </c>
      <c r="M217" s="768" t="inlineStr">
        <is>
          <t>Паштеты "Печеночный с морковью ГОСТ" Фикс.вес 0,1 ТМ "Стародворье"</t>
        </is>
      </c>
      <c r="N217" s="635" t="n"/>
      <c r="O217" s="635" t="n"/>
      <c r="P217" s="635" t="n"/>
      <c r="Q217" s="601" t="n"/>
      <c r="R217" s="40" t="inlineStr"/>
      <c r="S217" s="40" t="inlineStr"/>
      <c r="T217" s="41" t="inlineStr">
        <is>
          <t>кг</t>
        </is>
      </c>
      <c r="U217" s="636" t="n">
        <v>0</v>
      </c>
      <c r="V217" s="637">
        <f>IFERROR(IF(U217="",0,CEILING((U217/$H217),1)*$H217),"")</f>
        <v/>
      </c>
      <c r="W217" s="42">
        <f>IFERROR(IF(V217=0,"",ROUNDUP(V217/H217,0)*0.00474),"")</f>
        <v/>
      </c>
      <c r="X217" s="69" t="inlineStr"/>
      <c r="Y217" s="70" t="inlineStr"/>
      <c r="AC217" s="202" t="inlineStr">
        <is>
          <t>КИ</t>
        </is>
      </c>
    </row>
    <row r="218" ht="27" customHeight="1">
      <c r="A218" s="64" t="inlineStr">
        <is>
          <t>SU002368</t>
        </is>
      </c>
      <c r="B218" s="64" t="inlineStr">
        <is>
          <t>P002648</t>
        </is>
      </c>
      <c r="C218" s="37" t="n">
        <v>4301180001</v>
      </c>
      <c r="D218" s="356" t="n">
        <v>4680115880016</v>
      </c>
      <c r="E218" s="601" t="n"/>
      <c r="F218" s="633" t="n">
        <v>0.1</v>
      </c>
      <c r="G218" s="38" t="n">
        <v>20</v>
      </c>
      <c r="H218" s="633" t="n">
        <v>2</v>
      </c>
      <c r="I218" s="633" t="n">
        <v>2.24</v>
      </c>
      <c r="J218" s="38" t="n">
        <v>238</v>
      </c>
      <c r="K218" s="39" t="inlineStr">
        <is>
          <t>РК</t>
        </is>
      </c>
      <c r="L218" s="38" t="n">
        <v>730</v>
      </c>
      <c r="M218" s="769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18" s="635" t="n"/>
      <c r="O218" s="635" t="n"/>
      <c r="P218" s="635" t="n"/>
      <c r="Q218" s="601" t="n"/>
      <c r="R218" s="40" t="inlineStr"/>
      <c r="S218" s="40" t="inlineStr"/>
      <c r="T218" s="41" t="inlineStr">
        <is>
          <t>кг</t>
        </is>
      </c>
      <c r="U218" s="636" t="n">
        <v>0</v>
      </c>
      <c r="V218" s="637">
        <f>IFERROR(IF(U218="",0,CEILING((U218/$H218),1)*$H218),"")</f>
        <v/>
      </c>
      <c r="W218" s="42">
        <f>IFERROR(IF(V218=0,"",ROUNDUP(V218/H218,0)*0.00474),"")</f>
        <v/>
      </c>
      <c r="X218" s="69" t="inlineStr"/>
      <c r="Y218" s="70" t="inlineStr"/>
      <c r="AC218" s="203" t="inlineStr">
        <is>
          <t>КИ</t>
        </is>
      </c>
    </row>
    <row r="219">
      <c r="A219" s="364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38" t="n"/>
      <c r="M219" s="639" t="inlineStr">
        <is>
          <t>Итого</t>
        </is>
      </c>
      <c r="N219" s="609" t="n"/>
      <c r="O219" s="609" t="n"/>
      <c r="P219" s="609" t="n"/>
      <c r="Q219" s="609" t="n"/>
      <c r="R219" s="609" t="n"/>
      <c r="S219" s="610" t="n"/>
      <c r="T219" s="43" t="inlineStr">
        <is>
          <t>кор</t>
        </is>
      </c>
      <c r="U219" s="640">
        <f>IFERROR(U215/H215,"0")+IFERROR(U216/H216,"0")+IFERROR(U217/H217,"0")+IFERROR(U218/H218,"0")</f>
        <v/>
      </c>
      <c r="V219" s="640">
        <f>IFERROR(V215/H215,"0")+IFERROR(V216/H216,"0")+IFERROR(V217/H217,"0")+IFERROR(V218/H218,"0")</f>
        <v/>
      </c>
      <c r="W219" s="640">
        <f>IFERROR(IF(W215="",0,W215),"0")+IFERROR(IF(W216="",0,W216),"0")+IFERROR(IF(W217="",0,W217),"0")+IFERROR(IF(W218="",0,W218),"0")</f>
        <v/>
      </c>
      <c r="X219" s="641" t="n"/>
      <c r="Y219" s="641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638" t="n"/>
      <c r="M220" s="639" t="inlineStr">
        <is>
          <t>Итого</t>
        </is>
      </c>
      <c r="N220" s="609" t="n"/>
      <c r="O220" s="609" t="n"/>
      <c r="P220" s="609" t="n"/>
      <c r="Q220" s="609" t="n"/>
      <c r="R220" s="609" t="n"/>
      <c r="S220" s="610" t="n"/>
      <c r="T220" s="43" t="inlineStr">
        <is>
          <t>кг</t>
        </is>
      </c>
      <c r="U220" s="640">
        <f>IFERROR(SUM(U215:U218),"0")</f>
        <v/>
      </c>
      <c r="V220" s="640">
        <f>IFERROR(SUM(V215:V218),"0")</f>
        <v/>
      </c>
      <c r="W220" s="43" t="n"/>
      <c r="X220" s="641" t="n"/>
      <c r="Y220" s="641" t="n"/>
    </row>
    <row r="221" ht="16.5" customHeight="1">
      <c r="A221" s="354" t="inlineStr">
        <is>
          <t>Фирменная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354" t="n"/>
      <c r="Y221" s="354" t="n"/>
    </row>
    <row r="222" ht="14.25" customHeight="1">
      <c r="A222" s="355" t="inlineStr">
        <is>
          <t>Вареные колбасы</t>
        </is>
      </c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355" t="n"/>
      <c r="Y222" s="355" t="n"/>
    </row>
    <row r="223" ht="27" customHeight="1">
      <c r="A223" s="64" t="inlineStr">
        <is>
          <t>SU001793</t>
        </is>
      </c>
      <c r="B223" s="64" t="inlineStr">
        <is>
          <t>P001793</t>
        </is>
      </c>
      <c r="C223" s="37" t="n">
        <v>4301011315</v>
      </c>
      <c r="D223" s="356" t="n">
        <v>4607091387421</v>
      </c>
      <c r="E223" s="601" t="n"/>
      <c r="F223" s="633" t="n">
        <v>1.35</v>
      </c>
      <c r="G223" s="38" t="n">
        <v>8</v>
      </c>
      <c r="H223" s="633" t="n">
        <v>10.8</v>
      </c>
      <c r="I223" s="633" t="n">
        <v>11.28</v>
      </c>
      <c r="J223" s="38" t="n">
        <v>56</v>
      </c>
      <c r="K223" s="39" t="inlineStr">
        <is>
          <t>СК1</t>
        </is>
      </c>
      <c r="L223" s="38" t="n">
        <v>55</v>
      </c>
      <c r="M223" s="770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23" s="635" t="n"/>
      <c r="O223" s="635" t="n"/>
      <c r="P223" s="635" t="n"/>
      <c r="Q223" s="601" t="n"/>
      <c r="R223" s="40" t="inlineStr"/>
      <c r="S223" s="40" t="inlineStr"/>
      <c r="T223" s="41" t="inlineStr">
        <is>
          <t>кг</t>
        </is>
      </c>
      <c r="U223" s="636" t="n">
        <v>600</v>
      </c>
      <c r="V223" s="637">
        <f>IFERROR(IF(U223="",0,CEILING((U223/$H223),1)*$H223),"")</f>
        <v/>
      </c>
      <c r="W223" s="42">
        <f>IFERROR(IF(V223=0,"",ROUNDUP(V223/H223,0)*0.02175),"")</f>
        <v/>
      </c>
      <c r="X223" s="69" t="inlineStr"/>
      <c r="Y223" s="70" t="inlineStr"/>
      <c r="AC223" s="204" t="inlineStr">
        <is>
          <t>КИ</t>
        </is>
      </c>
    </row>
    <row r="224" ht="27" customHeight="1">
      <c r="A224" s="64" t="inlineStr">
        <is>
          <t>SU001793</t>
        </is>
      </c>
      <c r="B224" s="64" t="inlineStr">
        <is>
          <t>P002227</t>
        </is>
      </c>
      <c r="C224" s="37" t="n">
        <v>4301011121</v>
      </c>
      <c r="D224" s="356" t="n">
        <v>4607091387421</v>
      </c>
      <c r="E224" s="601" t="n"/>
      <c r="F224" s="633" t="n">
        <v>1.35</v>
      </c>
      <c r="G224" s="38" t="n">
        <v>8</v>
      </c>
      <c r="H224" s="633" t="n">
        <v>10.8</v>
      </c>
      <c r="I224" s="633" t="n">
        <v>11.28</v>
      </c>
      <c r="J224" s="38" t="n">
        <v>48</v>
      </c>
      <c r="K224" s="39" t="inlineStr">
        <is>
          <t>ВЗ</t>
        </is>
      </c>
      <c r="L224" s="38" t="n">
        <v>55</v>
      </c>
      <c r="M224" s="771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24" s="635" t="n"/>
      <c r="O224" s="635" t="n"/>
      <c r="P224" s="635" t="n"/>
      <c r="Q224" s="601" t="n"/>
      <c r="R224" s="40" t="inlineStr"/>
      <c r="S224" s="40" t="inlineStr"/>
      <c r="T224" s="41" t="inlineStr">
        <is>
          <t>кг</t>
        </is>
      </c>
      <c r="U224" s="636" t="n">
        <v>0</v>
      </c>
      <c r="V224" s="637">
        <f>IFERROR(IF(U224="",0,CEILING((U224/$H224),1)*$H224),"")</f>
        <v/>
      </c>
      <c r="W224" s="42">
        <f>IFERROR(IF(V224=0,"",ROUNDUP(V224/H224,0)*0.02039),"")</f>
        <v/>
      </c>
      <c r="X224" s="69" t="inlineStr"/>
      <c r="Y224" s="70" t="inlineStr"/>
      <c r="AC224" s="205" t="inlineStr">
        <is>
          <t>КИ</t>
        </is>
      </c>
    </row>
    <row r="225" ht="27" customHeight="1">
      <c r="A225" s="64" t="inlineStr">
        <is>
          <t>SU001799</t>
        </is>
      </c>
      <c r="B225" s="64" t="inlineStr">
        <is>
          <t>P003076</t>
        </is>
      </c>
      <c r="C225" s="37" t="n">
        <v>4301011396</v>
      </c>
      <c r="D225" s="356" t="n">
        <v>4607091387452</v>
      </c>
      <c r="E225" s="601" t="n"/>
      <c r="F225" s="633" t="n">
        <v>1.35</v>
      </c>
      <c r="G225" s="38" t="n">
        <v>8</v>
      </c>
      <c r="H225" s="633" t="n">
        <v>10.8</v>
      </c>
      <c r="I225" s="633" t="n">
        <v>11.28</v>
      </c>
      <c r="J225" s="38" t="n">
        <v>48</v>
      </c>
      <c r="K225" s="39" t="inlineStr">
        <is>
          <t>ВЗ</t>
        </is>
      </c>
      <c r="L225" s="38" t="n">
        <v>55</v>
      </c>
      <c r="M225" s="772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25" s="635" t="n"/>
      <c r="O225" s="635" t="n"/>
      <c r="P225" s="635" t="n"/>
      <c r="Q225" s="601" t="n"/>
      <c r="R225" s="40" t="inlineStr"/>
      <c r="S225" s="40" t="inlineStr"/>
      <c r="T225" s="41" t="inlineStr">
        <is>
          <t>кг</t>
        </is>
      </c>
      <c r="U225" s="636" t="n">
        <v>0</v>
      </c>
      <c r="V225" s="637">
        <f>IFERROR(IF(U225="",0,CEILING((U225/$H225),1)*$H225),"")</f>
        <v/>
      </c>
      <c r="W225" s="42">
        <f>IFERROR(IF(V225=0,"",ROUNDUP(V225/H225,0)*0.02039),"")</f>
        <v/>
      </c>
      <c r="X225" s="69" t="inlineStr"/>
      <c r="Y225" s="70" t="inlineStr"/>
      <c r="AC225" s="206" t="inlineStr">
        <is>
          <t>КИ</t>
        </is>
      </c>
    </row>
    <row r="226" ht="27" customHeight="1">
      <c r="A226" s="64" t="inlineStr">
        <is>
          <t>SU001799</t>
        </is>
      </c>
      <c r="B226" s="64" t="inlineStr">
        <is>
          <t>P001799</t>
        </is>
      </c>
      <c r="C226" s="37" t="n">
        <v>4301011322</v>
      </c>
      <c r="D226" s="356" t="n">
        <v>4607091387452</v>
      </c>
      <c r="E226" s="601" t="n"/>
      <c r="F226" s="633" t="n">
        <v>1.35</v>
      </c>
      <c r="G226" s="38" t="n">
        <v>8</v>
      </c>
      <c r="H226" s="633" t="n">
        <v>10.8</v>
      </c>
      <c r="I226" s="633" t="n">
        <v>11.28</v>
      </c>
      <c r="J226" s="38" t="n">
        <v>56</v>
      </c>
      <c r="K226" s="39" t="inlineStr">
        <is>
          <t>СК3</t>
        </is>
      </c>
      <c r="L226" s="38" t="n">
        <v>55</v>
      </c>
      <c r="M226" s="773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26" s="635" t="n"/>
      <c r="O226" s="635" t="n"/>
      <c r="P226" s="635" t="n"/>
      <c r="Q226" s="601" t="n"/>
      <c r="R226" s="40" t="inlineStr"/>
      <c r="S226" s="40" t="inlineStr"/>
      <c r="T226" s="41" t="inlineStr">
        <is>
          <t>кг</t>
        </is>
      </c>
      <c r="U226" s="636" t="n">
        <v>100</v>
      </c>
      <c r="V226" s="637">
        <f>IFERROR(IF(U226="",0,CEILING((U226/$H226),1)*$H226),"")</f>
        <v/>
      </c>
      <c r="W226" s="42">
        <f>IFERROR(IF(V226=0,"",ROUNDUP(V226/H226,0)*0.02175),"")</f>
        <v/>
      </c>
      <c r="X226" s="69" t="inlineStr"/>
      <c r="Y226" s="70" t="inlineStr"/>
      <c r="AC226" s="207" t="inlineStr">
        <is>
          <t>КИ</t>
        </is>
      </c>
    </row>
    <row r="227" ht="27" customHeight="1">
      <c r="A227" s="64" t="inlineStr">
        <is>
          <t>SU001792</t>
        </is>
      </c>
      <c r="B227" s="64" t="inlineStr">
        <is>
          <t>P001792</t>
        </is>
      </c>
      <c r="C227" s="37" t="n">
        <v>4301011313</v>
      </c>
      <c r="D227" s="356" t="n">
        <v>4607091385984</v>
      </c>
      <c r="E227" s="601" t="n"/>
      <c r="F227" s="633" t="n">
        <v>1.35</v>
      </c>
      <c r="G227" s="38" t="n">
        <v>8</v>
      </c>
      <c r="H227" s="633" t="n">
        <v>10.8</v>
      </c>
      <c r="I227" s="633" t="n">
        <v>11.28</v>
      </c>
      <c r="J227" s="38" t="n">
        <v>56</v>
      </c>
      <c r="K227" s="39" t="inlineStr">
        <is>
          <t>СК1</t>
        </is>
      </c>
      <c r="L227" s="38" t="n">
        <v>55</v>
      </c>
      <c r="M227" s="774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27" s="635" t="n"/>
      <c r="O227" s="635" t="n"/>
      <c r="P227" s="635" t="n"/>
      <c r="Q227" s="601" t="n"/>
      <c r="R227" s="40" t="inlineStr"/>
      <c r="S227" s="40" t="inlineStr"/>
      <c r="T227" s="41" t="inlineStr">
        <is>
          <t>кг</t>
        </is>
      </c>
      <c r="U227" s="636" t="n">
        <v>0</v>
      </c>
      <c r="V227" s="637">
        <f>IFERROR(IF(U227="",0,CEILING((U227/$H227),1)*$H227),"")</f>
        <v/>
      </c>
      <c r="W227" s="42">
        <f>IFERROR(IF(V227=0,"",ROUNDUP(V227/H227,0)*0.02175),"")</f>
        <v/>
      </c>
      <c r="X227" s="69" t="inlineStr"/>
      <c r="Y227" s="70" t="inlineStr"/>
      <c r="AC227" s="208" t="inlineStr">
        <is>
          <t>КИ</t>
        </is>
      </c>
    </row>
    <row r="228" ht="27" customHeight="1">
      <c r="A228" s="64" t="inlineStr">
        <is>
          <t>SU001794</t>
        </is>
      </c>
      <c r="B228" s="64" t="inlineStr">
        <is>
          <t>P001794</t>
        </is>
      </c>
      <c r="C228" s="37" t="n">
        <v>4301011316</v>
      </c>
      <c r="D228" s="356" t="n">
        <v>4607091387438</v>
      </c>
      <c r="E228" s="601" t="n"/>
      <c r="F228" s="633" t="n">
        <v>0.5</v>
      </c>
      <c r="G228" s="38" t="n">
        <v>10</v>
      </c>
      <c r="H228" s="633" t="n">
        <v>5</v>
      </c>
      <c r="I228" s="633" t="n">
        <v>5.24</v>
      </c>
      <c r="J228" s="38" t="n">
        <v>120</v>
      </c>
      <c r="K228" s="39" t="inlineStr">
        <is>
          <t>СК1</t>
        </is>
      </c>
      <c r="L228" s="38" t="n">
        <v>55</v>
      </c>
      <c r="M228" s="775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28" s="635" t="n"/>
      <c r="O228" s="635" t="n"/>
      <c r="P228" s="635" t="n"/>
      <c r="Q228" s="601" t="n"/>
      <c r="R228" s="40" t="inlineStr"/>
      <c r="S228" s="40" t="inlineStr"/>
      <c r="T228" s="41" t="inlineStr">
        <is>
          <t>кг</t>
        </is>
      </c>
      <c r="U228" s="636" t="n">
        <v>0</v>
      </c>
      <c r="V228" s="637">
        <f>IFERROR(IF(U228="",0,CEILING((U228/$H228),1)*$H228),"")</f>
        <v/>
      </c>
      <c r="W228" s="42">
        <f>IFERROR(IF(V228=0,"",ROUNDUP(V228/H228,0)*0.00937),"")</f>
        <v/>
      </c>
      <c r="X228" s="69" t="inlineStr"/>
      <c r="Y228" s="70" t="inlineStr"/>
      <c r="AC228" s="209" t="inlineStr">
        <is>
          <t>КИ</t>
        </is>
      </c>
    </row>
    <row r="229" ht="27" customHeight="1">
      <c r="A229" s="64" t="inlineStr">
        <is>
          <t>SU001795</t>
        </is>
      </c>
      <c r="B229" s="64" t="inlineStr">
        <is>
          <t>P001795</t>
        </is>
      </c>
      <c r="C229" s="37" t="n">
        <v>4301011318</v>
      </c>
      <c r="D229" s="356" t="n">
        <v>4607091387469</v>
      </c>
      <c r="E229" s="601" t="n"/>
      <c r="F229" s="633" t="n">
        <v>0.5</v>
      </c>
      <c r="G229" s="38" t="n">
        <v>10</v>
      </c>
      <c r="H229" s="633" t="n">
        <v>5</v>
      </c>
      <c r="I229" s="633" t="n">
        <v>5.21</v>
      </c>
      <c r="J229" s="38" t="n">
        <v>120</v>
      </c>
      <c r="K229" s="39" t="inlineStr">
        <is>
          <t>СК2</t>
        </is>
      </c>
      <c r="L229" s="38" t="n">
        <v>55</v>
      </c>
      <c r="M229" s="776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29" s="635" t="n"/>
      <c r="O229" s="635" t="n"/>
      <c r="P229" s="635" t="n"/>
      <c r="Q229" s="601" t="n"/>
      <c r="R229" s="40" t="inlineStr"/>
      <c r="S229" s="40" t="inlineStr"/>
      <c r="T229" s="41" t="inlineStr">
        <is>
          <t>кг</t>
        </is>
      </c>
      <c r="U229" s="636" t="n">
        <v>0</v>
      </c>
      <c r="V229" s="637">
        <f>IFERROR(IF(U229="",0,CEILING((U229/$H229),1)*$H229),"")</f>
        <v/>
      </c>
      <c r="W229" s="42">
        <f>IFERROR(IF(V229=0,"",ROUNDUP(V229/H229,0)*0.00937),"")</f>
        <v/>
      </c>
      <c r="X229" s="69" t="inlineStr"/>
      <c r="Y229" s="70" t="inlineStr"/>
      <c r="AC229" s="210" t="inlineStr">
        <is>
          <t>КИ</t>
        </is>
      </c>
    </row>
    <row r="230">
      <c r="A230" s="364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638" t="n"/>
      <c r="M230" s="639" t="inlineStr">
        <is>
          <t>Итого</t>
        </is>
      </c>
      <c r="N230" s="609" t="n"/>
      <c r="O230" s="609" t="n"/>
      <c r="P230" s="609" t="n"/>
      <c r="Q230" s="609" t="n"/>
      <c r="R230" s="609" t="n"/>
      <c r="S230" s="610" t="n"/>
      <c r="T230" s="43" t="inlineStr">
        <is>
          <t>кор</t>
        </is>
      </c>
      <c r="U230" s="640">
        <f>IFERROR(U223/H223,"0")+IFERROR(U224/H224,"0")+IFERROR(U225/H225,"0")+IFERROR(U226/H226,"0")+IFERROR(U227/H227,"0")+IFERROR(U228/H228,"0")+IFERROR(U229/H229,"0")</f>
        <v/>
      </c>
      <c r="V230" s="640">
        <f>IFERROR(V223/H223,"0")+IFERROR(V224/H224,"0")+IFERROR(V225/H225,"0")+IFERROR(V226/H226,"0")+IFERROR(V227/H227,"0")+IFERROR(V228/H228,"0")+IFERROR(V229/H229,"0")</f>
        <v/>
      </c>
      <c r="W230" s="640">
        <f>IFERROR(IF(W223="",0,W223),"0")+IFERROR(IF(W224="",0,W224),"0")+IFERROR(IF(W225="",0,W225),"0")+IFERROR(IF(W226="",0,W226),"0")+IFERROR(IF(W227="",0,W227),"0")+IFERROR(IF(W228="",0,W228),"0")+IFERROR(IF(W229="",0,W229),"0")</f>
        <v/>
      </c>
      <c r="X230" s="641" t="n"/>
      <c r="Y230" s="641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638" t="n"/>
      <c r="M231" s="639" t="inlineStr">
        <is>
          <t>Итого</t>
        </is>
      </c>
      <c r="N231" s="609" t="n"/>
      <c r="O231" s="609" t="n"/>
      <c r="P231" s="609" t="n"/>
      <c r="Q231" s="609" t="n"/>
      <c r="R231" s="609" t="n"/>
      <c r="S231" s="610" t="n"/>
      <c r="T231" s="43" t="inlineStr">
        <is>
          <t>кг</t>
        </is>
      </c>
      <c r="U231" s="640">
        <f>IFERROR(SUM(U223:U229),"0")</f>
        <v/>
      </c>
      <c r="V231" s="640">
        <f>IFERROR(SUM(V223:V229),"0")</f>
        <v/>
      </c>
      <c r="W231" s="43" t="n"/>
      <c r="X231" s="641" t="n"/>
      <c r="Y231" s="641" t="n"/>
    </row>
    <row r="232" ht="14.25" customHeight="1">
      <c r="A232" s="355" t="inlineStr">
        <is>
          <t>Копченые колбасы</t>
        </is>
      </c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355" t="n"/>
      <c r="Y232" s="355" t="n"/>
    </row>
    <row r="233" ht="27" customHeight="1">
      <c r="A233" s="64" t="inlineStr">
        <is>
          <t>SU001801</t>
        </is>
      </c>
      <c r="B233" s="64" t="inlineStr">
        <is>
          <t>P003014</t>
        </is>
      </c>
      <c r="C233" s="37" t="n">
        <v>4301031154</v>
      </c>
      <c r="D233" s="356" t="n">
        <v>4607091387292</v>
      </c>
      <c r="E233" s="601" t="n"/>
      <c r="F233" s="633" t="n">
        <v>0.63</v>
      </c>
      <c r="G233" s="38" t="n">
        <v>6</v>
      </c>
      <c r="H233" s="633" t="n">
        <v>3.78</v>
      </c>
      <c r="I233" s="633" t="n">
        <v>4.04</v>
      </c>
      <c r="J233" s="38" t="n">
        <v>156</v>
      </c>
      <c r="K233" s="39" t="inlineStr">
        <is>
          <t>СК2</t>
        </is>
      </c>
      <c r="L233" s="38" t="n">
        <v>45</v>
      </c>
      <c r="M233" s="777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33" s="635" t="n"/>
      <c r="O233" s="635" t="n"/>
      <c r="P233" s="635" t="n"/>
      <c r="Q233" s="601" t="n"/>
      <c r="R233" s="40" t="inlineStr"/>
      <c r="S233" s="40" t="inlineStr"/>
      <c r="T233" s="41" t="inlineStr">
        <is>
          <t>кг</t>
        </is>
      </c>
      <c r="U233" s="636" t="n">
        <v>0</v>
      </c>
      <c r="V233" s="637">
        <f>IFERROR(IF(U233="",0,CEILING((U233/$H233),1)*$H233),"")</f>
        <v/>
      </c>
      <c r="W233" s="42">
        <f>IFERROR(IF(V233=0,"",ROUNDUP(V233/H233,0)*0.00753),"")</f>
        <v/>
      </c>
      <c r="X233" s="69" t="inlineStr"/>
      <c r="Y233" s="70" t="inlineStr"/>
      <c r="AC233" s="211" t="inlineStr">
        <is>
          <t>КИ</t>
        </is>
      </c>
    </row>
    <row r="234" ht="27" customHeight="1">
      <c r="A234" s="64" t="inlineStr">
        <is>
          <t>SU000231</t>
        </is>
      </c>
      <c r="B234" s="64" t="inlineStr">
        <is>
          <t>P003015</t>
        </is>
      </c>
      <c r="C234" s="37" t="n">
        <v>4301031155</v>
      </c>
      <c r="D234" s="356" t="n">
        <v>4607091387315</v>
      </c>
      <c r="E234" s="601" t="n"/>
      <c r="F234" s="633" t="n">
        <v>0.7</v>
      </c>
      <c r="G234" s="38" t="n">
        <v>4</v>
      </c>
      <c r="H234" s="633" t="n">
        <v>2.8</v>
      </c>
      <c r="I234" s="633" t="n">
        <v>3.048</v>
      </c>
      <c r="J234" s="38" t="n">
        <v>156</v>
      </c>
      <c r="K234" s="39" t="inlineStr">
        <is>
          <t>СК2</t>
        </is>
      </c>
      <c r="L234" s="38" t="n">
        <v>45</v>
      </c>
      <c r="M234" s="778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34" s="635" t="n"/>
      <c r="O234" s="635" t="n"/>
      <c r="P234" s="635" t="n"/>
      <c r="Q234" s="601" t="n"/>
      <c r="R234" s="40" t="inlineStr"/>
      <c r="S234" s="40" t="inlineStr"/>
      <c r="T234" s="41" t="inlineStr">
        <is>
          <t>кг</t>
        </is>
      </c>
      <c r="U234" s="636" t="n">
        <v>0</v>
      </c>
      <c r="V234" s="637">
        <f>IFERROR(IF(U234="",0,CEILING((U234/$H234),1)*$H234),"")</f>
        <v/>
      </c>
      <c r="W234" s="42">
        <f>IFERROR(IF(V234=0,"",ROUNDUP(V234/H234,0)*0.00753),"")</f>
        <v/>
      </c>
      <c r="X234" s="69" t="inlineStr"/>
      <c r="Y234" s="70" t="inlineStr"/>
      <c r="AC234" s="212" t="inlineStr">
        <is>
          <t>КИ</t>
        </is>
      </c>
    </row>
    <row r="235">
      <c r="A235" s="364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38" t="n"/>
      <c r="M235" s="639" t="inlineStr">
        <is>
          <t>Итого</t>
        </is>
      </c>
      <c r="N235" s="609" t="n"/>
      <c r="O235" s="609" t="n"/>
      <c r="P235" s="609" t="n"/>
      <c r="Q235" s="609" t="n"/>
      <c r="R235" s="609" t="n"/>
      <c r="S235" s="610" t="n"/>
      <c r="T235" s="43" t="inlineStr">
        <is>
          <t>кор</t>
        </is>
      </c>
      <c r="U235" s="640">
        <f>IFERROR(U233/H233,"0")+IFERROR(U234/H234,"0")</f>
        <v/>
      </c>
      <c r="V235" s="640">
        <f>IFERROR(V233/H233,"0")+IFERROR(V234/H234,"0")</f>
        <v/>
      </c>
      <c r="W235" s="640">
        <f>IFERROR(IF(W233="",0,W233),"0")+IFERROR(IF(W234="",0,W234),"0")</f>
        <v/>
      </c>
      <c r="X235" s="641" t="n"/>
      <c r="Y235" s="641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638" t="n"/>
      <c r="M236" s="639" t="inlineStr">
        <is>
          <t>Итого</t>
        </is>
      </c>
      <c r="N236" s="609" t="n"/>
      <c r="O236" s="609" t="n"/>
      <c r="P236" s="609" t="n"/>
      <c r="Q236" s="609" t="n"/>
      <c r="R236" s="609" t="n"/>
      <c r="S236" s="610" t="n"/>
      <c r="T236" s="43" t="inlineStr">
        <is>
          <t>кг</t>
        </is>
      </c>
      <c r="U236" s="640">
        <f>IFERROR(SUM(U233:U234),"0")</f>
        <v/>
      </c>
      <c r="V236" s="640">
        <f>IFERROR(SUM(V233:V234),"0")</f>
        <v/>
      </c>
      <c r="W236" s="43" t="n"/>
      <c r="X236" s="641" t="n"/>
      <c r="Y236" s="641" t="n"/>
    </row>
    <row r="237" ht="16.5" customHeight="1">
      <c r="A237" s="354" t="inlineStr">
        <is>
          <t>Бавария</t>
        </is>
      </c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354" t="n"/>
      <c r="Y237" s="354" t="n"/>
    </row>
    <row r="238" ht="14.25" customHeight="1">
      <c r="A238" s="355" t="inlineStr">
        <is>
          <t>Копченые колбасы</t>
        </is>
      </c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355" t="n"/>
      <c r="Y238" s="355" t="n"/>
    </row>
    <row r="239" ht="37.5" customHeight="1">
      <c r="A239" s="64" t="inlineStr">
        <is>
          <t>SU002061</t>
        </is>
      </c>
      <c r="B239" s="64" t="inlineStr">
        <is>
          <t>P002232</t>
        </is>
      </c>
      <c r="C239" s="37" t="n">
        <v>4301030368</v>
      </c>
      <c r="D239" s="356" t="n">
        <v>4607091383232</v>
      </c>
      <c r="E239" s="601" t="n"/>
      <c r="F239" s="633" t="n">
        <v>0.28</v>
      </c>
      <c r="G239" s="38" t="n">
        <v>6</v>
      </c>
      <c r="H239" s="633" t="n">
        <v>1.68</v>
      </c>
      <c r="I239" s="633" t="n">
        <v>2.6</v>
      </c>
      <c r="J239" s="38" t="n">
        <v>156</v>
      </c>
      <c r="K239" s="39" t="inlineStr">
        <is>
          <t>СК2</t>
        </is>
      </c>
      <c r="L239" s="38" t="n">
        <v>35</v>
      </c>
      <c r="M239" s="779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39" s="635" t="n"/>
      <c r="O239" s="635" t="n"/>
      <c r="P239" s="635" t="n"/>
      <c r="Q239" s="601" t="n"/>
      <c r="R239" s="40" t="inlineStr"/>
      <c r="S239" s="40" t="inlineStr"/>
      <c r="T239" s="41" t="inlineStr">
        <is>
          <t>кг</t>
        </is>
      </c>
      <c r="U239" s="636" t="n">
        <v>0</v>
      </c>
      <c r="V239" s="637">
        <f>IFERROR(IF(U239="",0,CEILING((U239/$H239),1)*$H239),"")</f>
        <v/>
      </c>
      <c r="W239" s="42">
        <f>IFERROR(IF(V239=0,"",ROUNDUP(V239/H239,0)*0.00753),"")</f>
        <v/>
      </c>
      <c r="X239" s="69" t="inlineStr"/>
      <c r="Y239" s="70" t="inlineStr"/>
      <c r="AC239" s="213" t="inlineStr">
        <is>
          <t>КИ</t>
        </is>
      </c>
    </row>
    <row r="240" ht="27" customHeight="1">
      <c r="A240" s="64" t="inlineStr">
        <is>
          <t>SU002252</t>
        </is>
      </c>
      <c r="B240" s="64" t="inlineStr">
        <is>
          <t>P002461</t>
        </is>
      </c>
      <c r="C240" s="37" t="n">
        <v>4301031066</v>
      </c>
      <c r="D240" s="356" t="n">
        <v>4607091383836</v>
      </c>
      <c r="E240" s="601" t="n"/>
      <c r="F240" s="633" t="n">
        <v>0.3</v>
      </c>
      <c r="G240" s="38" t="n">
        <v>6</v>
      </c>
      <c r="H240" s="633" t="n">
        <v>1.8</v>
      </c>
      <c r="I240" s="633" t="n">
        <v>2.048</v>
      </c>
      <c r="J240" s="38" t="n">
        <v>156</v>
      </c>
      <c r="K240" s="39" t="inlineStr">
        <is>
          <t>СК2</t>
        </is>
      </c>
      <c r="L240" s="38" t="n">
        <v>40</v>
      </c>
      <c r="M240" s="780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0" s="635" t="n"/>
      <c r="O240" s="635" t="n"/>
      <c r="P240" s="635" t="n"/>
      <c r="Q240" s="601" t="n"/>
      <c r="R240" s="40" t="inlineStr"/>
      <c r="S240" s="40" t="inlineStr"/>
      <c r="T240" s="41" t="inlineStr">
        <is>
          <t>кг</t>
        </is>
      </c>
      <c r="U240" s="636" t="n">
        <v>0</v>
      </c>
      <c r="V240" s="637">
        <f>IFERROR(IF(U240="",0,CEILING((U240/$H240),1)*$H240),"")</f>
        <v/>
      </c>
      <c r="W240" s="42">
        <f>IFERROR(IF(V240=0,"",ROUNDUP(V240/H240,0)*0.00753),"")</f>
        <v/>
      </c>
      <c r="X240" s="69" t="inlineStr"/>
      <c r="Y240" s="70" t="inlineStr"/>
      <c r="AC240" s="214" t="inlineStr">
        <is>
          <t>КИ</t>
        </is>
      </c>
    </row>
    <row r="241">
      <c r="A241" s="364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638" t="n"/>
      <c r="M241" s="639" t="inlineStr">
        <is>
          <t>Итого</t>
        </is>
      </c>
      <c r="N241" s="609" t="n"/>
      <c r="O241" s="609" t="n"/>
      <c r="P241" s="609" t="n"/>
      <c r="Q241" s="609" t="n"/>
      <c r="R241" s="609" t="n"/>
      <c r="S241" s="610" t="n"/>
      <c r="T241" s="43" t="inlineStr">
        <is>
          <t>кор</t>
        </is>
      </c>
      <c r="U241" s="640">
        <f>IFERROR(U239/H239,"0")+IFERROR(U240/H240,"0")</f>
        <v/>
      </c>
      <c r="V241" s="640">
        <f>IFERROR(V239/H239,"0")+IFERROR(V240/H240,"0")</f>
        <v/>
      </c>
      <c r="W241" s="640">
        <f>IFERROR(IF(W239="",0,W239),"0")+IFERROR(IF(W240="",0,W240),"0")</f>
        <v/>
      </c>
      <c r="X241" s="641" t="n"/>
      <c r="Y241" s="641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638" t="n"/>
      <c r="M242" s="639" t="inlineStr">
        <is>
          <t>Итого</t>
        </is>
      </c>
      <c r="N242" s="609" t="n"/>
      <c r="O242" s="609" t="n"/>
      <c r="P242" s="609" t="n"/>
      <c r="Q242" s="609" t="n"/>
      <c r="R242" s="609" t="n"/>
      <c r="S242" s="610" t="n"/>
      <c r="T242" s="43" t="inlineStr">
        <is>
          <t>кг</t>
        </is>
      </c>
      <c r="U242" s="640">
        <f>IFERROR(SUM(U239:U240),"0")</f>
        <v/>
      </c>
      <c r="V242" s="640">
        <f>IFERROR(SUM(V239:V240),"0")</f>
        <v/>
      </c>
      <c r="W242" s="43" t="n"/>
      <c r="X242" s="641" t="n"/>
      <c r="Y242" s="641" t="n"/>
    </row>
    <row r="243" ht="14.25" customHeight="1">
      <c r="A243" s="355" t="inlineStr">
        <is>
          <t>Сосиски</t>
        </is>
      </c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355" t="n"/>
      <c r="Y243" s="355" t="n"/>
    </row>
    <row r="244" ht="27" customHeight="1">
      <c r="A244" s="64" t="inlineStr">
        <is>
          <t>SU001835</t>
        </is>
      </c>
      <c r="B244" s="64" t="inlineStr">
        <is>
          <t>P002202</t>
        </is>
      </c>
      <c r="C244" s="37" t="n">
        <v>4301051142</v>
      </c>
      <c r="D244" s="356" t="n">
        <v>4607091387919</v>
      </c>
      <c r="E244" s="601" t="n"/>
      <c r="F244" s="633" t="n">
        <v>1.35</v>
      </c>
      <c r="G244" s="38" t="n">
        <v>6</v>
      </c>
      <c r="H244" s="633" t="n">
        <v>8.1</v>
      </c>
      <c r="I244" s="633" t="n">
        <v>8.664</v>
      </c>
      <c r="J244" s="38" t="n">
        <v>56</v>
      </c>
      <c r="K244" s="39" t="inlineStr">
        <is>
          <t>СК2</t>
        </is>
      </c>
      <c r="L244" s="38" t="n">
        <v>45</v>
      </c>
      <c r="M244" s="781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44" s="635" t="n"/>
      <c r="O244" s="635" t="n"/>
      <c r="P244" s="635" t="n"/>
      <c r="Q244" s="601" t="n"/>
      <c r="R244" s="40" t="inlineStr"/>
      <c r="S244" s="40" t="inlineStr"/>
      <c r="T244" s="41" t="inlineStr">
        <is>
          <t>кг</t>
        </is>
      </c>
      <c r="U244" s="636" t="n">
        <v>300</v>
      </c>
      <c r="V244" s="637">
        <f>IFERROR(IF(U244="",0,CEILING((U244/$H244),1)*$H244),"")</f>
        <v/>
      </c>
      <c r="W244" s="42">
        <f>IFERROR(IF(V244=0,"",ROUNDUP(V244/H244,0)*0.02175),"")</f>
        <v/>
      </c>
      <c r="X244" s="69" t="inlineStr"/>
      <c r="Y244" s="70" t="inlineStr"/>
      <c r="AC244" s="215" t="inlineStr">
        <is>
          <t>КИ</t>
        </is>
      </c>
    </row>
    <row r="245" ht="27" customHeight="1">
      <c r="A245" s="64" t="inlineStr">
        <is>
          <t>SU001836</t>
        </is>
      </c>
      <c r="B245" s="64" t="inlineStr">
        <is>
          <t>P002201</t>
        </is>
      </c>
      <c r="C245" s="37" t="n">
        <v>4301051109</v>
      </c>
      <c r="D245" s="356" t="n">
        <v>4607091383942</v>
      </c>
      <c r="E245" s="601" t="n"/>
      <c r="F245" s="633" t="n">
        <v>0.42</v>
      </c>
      <c r="G245" s="38" t="n">
        <v>6</v>
      </c>
      <c r="H245" s="633" t="n">
        <v>2.52</v>
      </c>
      <c r="I245" s="633" t="n">
        <v>2.792</v>
      </c>
      <c r="J245" s="38" t="n">
        <v>156</v>
      </c>
      <c r="K245" s="39" t="inlineStr">
        <is>
          <t>СК3</t>
        </is>
      </c>
      <c r="L245" s="38" t="n">
        <v>45</v>
      </c>
      <c r="M245" s="782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45" s="635" t="n"/>
      <c r="O245" s="635" t="n"/>
      <c r="P245" s="635" t="n"/>
      <c r="Q245" s="601" t="n"/>
      <c r="R245" s="40" t="inlineStr"/>
      <c r="S245" s="40" t="inlineStr"/>
      <c r="T245" s="41" t="inlineStr">
        <is>
          <t>кг</t>
        </is>
      </c>
      <c r="U245" s="636" t="n">
        <v>126</v>
      </c>
      <c r="V245" s="637">
        <f>IFERROR(IF(U245="",0,CEILING((U245/$H245),1)*$H245),"")</f>
        <v/>
      </c>
      <c r="W245" s="42">
        <f>IFERROR(IF(V245=0,"",ROUNDUP(V245/H245,0)*0.00753),"")</f>
        <v/>
      </c>
      <c r="X245" s="69" t="inlineStr"/>
      <c r="Y245" s="70" t="inlineStr"/>
      <c r="AC245" s="216" t="inlineStr">
        <is>
          <t>КИ</t>
        </is>
      </c>
    </row>
    <row r="246" ht="27" customHeight="1">
      <c r="A246" s="64" t="inlineStr">
        <is>
          <t>SU001970</t>
        </is>
      </c>
      <c r="B246" s="64" t="inlineStr">
        <is>
          <t>P001837</t>
        </is>
      </c>
      <c r="C246" s="37" t="n">
        <v>4301051300</v>
      </c>
      <c r="D246" s="356" t="n">
        <v>4607091383959</v>
      </c>
      <c r="E246" s="601" t="n"/>
      <c r="F246" s="633" t="n">
        <v>0.42</v>
      </c>
      <c r="G246" s="38" t="n">
        <v>6</v>
      </c>
      <c r="H246" s="633" t="n">
        <v>2.52</v>
      </c>
      <c r="I246" s="633" t="n">
        <v>2.78</v>
      </c>
      <c r="J246" s="38" t="n">
        <v>156</v>
      </c>
      <c r="K246" s="39" t="inlineStr">
        <is>
          <t>СК2</t>
        </is>
      </c>
      <c r="L246" s="38" t="n">
        <v>35</v>
      </c>
      <c r="M246" s="783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46" s="635" t="n"/>
      <c r="O246" s="635" t="n"/>
      <c r="P246" s="635" t="n"/>
      <c r="Q246" s="601" t="n"/>
      <c r="R246" s="40" t="inlineStr"/>
      <c r="S246" s="40" t="inlineStr"/>
      <c r="T246" s="41" t="inlineStr">
        <is>
          <t>кг</t>
        </is>
      </c>
      <c r="U246" s="636" t="n">
        <v>126</v>
      </c>
      <c r="V246" s="637">
        <f>IFERROR(IF(U246="",0,CEILING((U246/$H246),1)*$H246),"")</f>
        <v/>
      </c>
      <c r="W246" s="42">
        <f>IFERROR(IF(V246=0,"",ROUNDUP(V246/H246,0)*0.00753),"")</f>
        <v/>
      </c>
      <c r="X246" s="69" t="inlineStr"/>
      <c r="Y246" s="70" t="inlineStr"/>
      <c r="AC246" s="217" t="inlineStr">
        <is>
          <t>КИ</t>
        </is>
      </c>
    </row>
    <row r="247">
      <c r="A247" s="364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638" t="n"/>
      <c r="M247" s="639" t="inlineStr">
        <is>
          <t>Итого</t>
        </is>
      </c>
      <c r="N247" s="609" t="n"/>
      <c r="O247" s="609" t="n"/>
      <c r="P247" s="609" t="n"/>
      <c r="Q247" s="609" t="n"/>
      <c r="R247" s="609" t="n"/>
      <c r="S247" s="610" t="n"/>
      <c r="T247" s="43" t="inlineStr">
        <is>
          <t>кор</t>
        </is>
      </c>
      <c r="U247" s="640">
        <f>IFERROR(U244/H244,"0")+IFERROR(U245/H245,"0")+IFERROR(U246/H246,"0")</f>
        <v/>
      </c>
      <c r="V247" s="640">
        <f>IFERROR(V244/H244,"0")+IFERROR(V245/H245,"0")+IFERROR(V246/H246,"0")</f>
        <v/>
      </c>
      <c r="W247" s="640">
        <f>IFERROR(IF(W244="",0,W244),"0")+IFERROR(IF(W245="",0,W245),"0")+IFERROR(IF(W246="",0,W246),"0")</f>
        <v/>
      </c>
      <c r="X247" s="641" t="n"/>
      <c r="Y247" s="641" t="n"/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638" t="n"/>
      <c r="M248" s="639" t="inlineStr">
        <is>
          <t>Итого</t>
        </is>
      </c>
      <c r="N248" s="609" t="n"/>
      <c r="O248" s="609" t="n"/>
      <c r="P248" s="609" t="n"/>
      <c r="Q248" s="609" t="n"/>
      <c r="R248" s="609" t="n"/>
      <c r="S248" s="610" t="n"/>
      <c r="T248" s="43" t="inlineStr">
        <is>
          <t>кг</t>
        </is>
      </c>
      <c r="U248" s="640">
        <f>IFERROR(SUM(U244:U246),"0")</f>
        <v/>
      </c>
      <c r="V248" s="640">
        <f>IFERROR(SUM(V244:V246),"0")</f>
        <v/>
      </c>
      <c r="W248" s="43" t="n"/>
      <c r="X248" s="641" t="n"/>
      <c r="Y248" s="641" t="n"/>
    </row>
    <row r="249" ht="14.25" customHeight="1">
      <c r="A249" s="355" t="inlineStr">
        <is>
          <t>Сардельки</t>
        </is>
      </c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355" t="n"/>
      <c r="Y249" s="355" t="n"/>
    </row>
    <row r="250" ht="27" customHeight="1">
      <c r="A250" s="64" t="inlineStr">
        <is>
          <t>SU002173</t>
        </is>
      </c>
      <c r="B250" s="64" t="inlineStr">
        <is>
          <t>P002361</t>
        </is>
      </c>
      <c r="C250" s="37" t="n">
        <v>4301060324</v>
      </c>
      <c r="D250" s="356" t="n">
        <v>4607091388831</v>
      </c>
      <c r="E250" s="601" t="n"/>
      <c r="F250" s="633" t="n">
        <v>0.38</v>
      </c>
      <c r="G250" s="38" t="n">
        <v>6</v>
      </c>
      <c r="H250" s="633" t="n">
        <v>2.28</v>
      </c>
      <c r="I250" s="633" t="n">
        <v>2.552</v>
      </c>
      <c r="J250" s="38" t="n">
        <v>156</v>
      </c>
      <c r="K250" s="39" t="inlineStr">
        <is>
          <t>СК2</t>
        </is>
      </c>
      <c r="L250" s="38" t="n">
        <v>40</v>
      </c>
      <c r="M250" s="78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0" s="635" t="n"/>
      <c r="O250" s="635" t="n"/>
      <c r="P250" s="635" t="n"/>
      <c r="Q250" s="601" t="n"/>
      <c r="R250" s="40" t="inlineStr"/>
      <c r="S250" s="40" t="inlineStr"/>
      <c r="T250" s="41" t="inlineStr">
        <is>
          <t>кг</t>
        </is>
      </c>
      <c r="U250" s="636" t="n">
        <v>0</v>
      </c>
      <c r="V250" s="637">
        <f>IFERROR(IF(U250="",0,CEILING((U250/$H250),1)*$H250),"")</f>
        <v/>
      </c>
      <c r="W250" s="42">
        <f>IFERROR(IF(V250=0,"",ROUNDUP(V250/H250,0)*0.00753),"")</f>
        <v/>
      </c>
      <c r="X250" s="69" t="inlineStr"/>
      <c r="Y250" s="70" t="inlineStr"/>
      <c r="AC250" s="218" t="inlineStr">
        <is>
          <t>КИ</t>
        </is>
      </c>
    </row>
    <row r="251">
      <c r="A251" s="364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638" t="n"/>
      <c r="M251" s="639" t="inlineStr">
        <is>
          <t>Итого</t>
        </is>
      </c>
      <c r="N251" s="609" t="n"/>
      <c r="O251" s="609" t="n"/>
      <c r="P251" s="609" t="n"/>
      <c r="Q251" s="609" t="n"/>
      <c r="R251" s="609" t="n"/>
      <c r="S251" s="610" t="n"/>
      <c r="T251" s="43" t="inlineStr">
        <is>
          <t>кор</t>
        </is>
      </c>
      <c r="U251" s="640">
        <f>IFERROR(U250/H250,"0")</f>
        <v/>
      </c>
      <c r="V251" s="640">
        <f>IFERROR(V250/H250,"0")</f>
        <v/>
      </c>
      <c r="W251" s="640">
        <f>IFERROR(IF(W250="",0,W250),"0")</f>
        <v/>
      </c>
      <c r="X251" s="641" t="n"/>
      <c r="Y251" s="641" t="n"/>
    </row>
    <row r="252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638" t="n"/>
      <c r="M252" s="639" t="inlineStr">
        <is>
          <t>Итого</t>
        </is>
      </c>
      <c r="N252" s="609" t="n"/>
      <c r="O252" s="609" t="n"/>
      <c r="P252" s="609" t="n"/>
      <c r="Q252" s="609" t="n"/>
      <c r="R252" s="609" t="n"/>
      <c r="S252" s="610" t="n"/>
      <c r="T252" s="43" t="inlineStr">
        <is>
          <t>кг</t>
        </is>
      </c>
      <c r="U252" s="640">
        <f>IFERROR(SUM(U250:U250),"0")</f>
        <v/>
      </c>
      <c r="V252" s="640">
        <f>IFERROR(SUM(V250:V250),"0")</f>
        <v/>
      </c>
      <c r="W252" s="43" t="n"/>
      <c r="X252" s="641" t="n"/>
      <c r="Y252" s="641" t="n"/>
    </row>
    <row r="253" ht="14.25" customHeight="1">
      <c r="A253" s="355" t="inlineStr">
        <is>
          <t>Сырокопченые колбасы</t>
        </is>
      </c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355" t="n"/>
      <c r="Y253" s="355" t="n"/>
    </row>
    <row r="254" ht="27" customHeight="1">
      <c r="A254" s="64" t="inlineStr">
        <is>
          <t>SU002092</t>
        </is>
      </c>
      <c r="B254" s="64" t="inlineStr">
        <is>
          <t>P002290</t>
        </is>
      </c>
      <c r="C254" s="37" t="n">
        <v>4301032015</v>
      </c>
      <c r="D254" s="356" t="n">
        <v>4607091383102</v>
      </c>
      <c r="E254" s="601" t="n"/>
      <c r="F254" s="633" t="n">
        <v>0.17</v>
      </c>
      <c r="G254" s="38" t="n">
        <v>15</v>
      </c>
      <c r="H254" s="633" t="n">
        <v>2.55</v>
      </c>
      <c r="I254" s="633" t="n">
        <v>2.975</v>
      </c>
      <c r="J254" s="38" t="n">
        <v>156</v>
      </c>
      <c r="K254" s="39" t="inlineStr">
        <is>
          <t>АК</t>
        </is>
      </c>
      <c r="L254" s="38" t="n">
        <v>180</v>
      </c>
      <c r="M254" s="78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54" s="635" t="n"/>
      <c r="O254" s="635" t="n"/>
      <c r="P254" s="635" t="n"/>
      <c r="Q254" s="601" t="n"/>
      <c r="R254" s="40" t="inlineStr"/>
      <c r="S254" s="40" t="inlineStr"/>
      <c r="T254" s="41" t="inlineStr">
        <is>
          <t>кг</t>
        </is>
      </c>
      <c r="U254" s="636" t="n">
        <v>0</v>
      </c>
      <c r="V254" s="637">
        <f>IFERROR(IF(U254="",0,CEILING((U254/$H254),1)*$H254),"")</f>
        <v/>
      </c>
      <c r="W254" s="42">
        <f>IFERROR(IF(V254=0,"",ROUNDUP(V254/H254,0)*0.00753),"")</f>
        <v/>
      </c>
      <c r="X254" s="69" t="inlineStr"/>
      <c r="Y254" s="70" t="inlineStr"/>
      <c r="AC254" s="219" t="inlineStr">
        <is>
          <t>КИ</t>
        </is>
      </c>
    </row>
    <row r="255">
      <c r="A255" s="364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38" t="n"/>
      <c r="M255" s="639" t="inlineStr">
        <is>
          <t>Итого</t>
        </is>
      </c>
      <c r="N255" s="609" t="n"/>
      <c r="O255" s="609" t="n"/>
      <c r="P255" s="609" t="n"/>
      <c r="Q255" s="609" t="n"/>
      <c r="R255" s="609" t="n"/>
      <c r="S255" s="610" t="n"/>
      <c r="T255" s="43" t="inlineStr">
        <is>
          <t>кор</t>
        </is>
      </c>
      <c r="U255" s="640">
        <f>IFERROR(U254/H254,"0")</f>
        <v/>
      </c>
      <c r="V255" s="640">
        <f>IFERROR(V254/H254,"0")</f>
        <v/>
      </c>
      <c r="W255" s="640">
        <f>IFERROR(IF(W254="",0,W254),"0")</f>
        <v/>
      </c>
      <c r="X255" s="641" t="n"/>
      <c r="Y255" s="641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38" t="n"/>
      <c r="M256" s="639" t="inlineStr">
        <is>
          <t>Итого</t>
        </is>
      </c>
      <c r="N256" s="609" t="n"/>
      <c r="O256" s="609" t="n"/>
      <c r="P256" s="609" t="n"/>
      <c r="Q256" s="609" t="n"/>
      <c r="R256" s="609" t="n"/>
      <c r="S256" s="610" t="n"/>
      <c r="T256" s="43" t="inlineStr">
        <is>
          <t>кг</t>
        </is>
      </c>
      <c r="U256" s="640">
        <f>IFERROR(SUM(U254:U254),"0")</f>
        <v/>
      </c>
      <c r="V256" s="640">
        <f>IFERROR(SUM(V254:V254),"0")</f>
        <v/>
      </c>
      <c r="W256" s="43" t="n"/>
      <c r="X256" s="641" t="n"/>
      <c r="Y256" s="641" t="n"/>
    </row>
    <row r="257" ht="14.25" customHeight="1">
      <c r="A257" s="355" t="inlineStr">
        <is>
          <t>Сыровяленые колбасы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55" t="n"/>
      <c r="Y257" s="355" t="n"/>
    </row>
    <row r="258" ht="27" customHeight="1">
      <c r="A258" s="64" t="inlineStr">
        <is>
          <t>SU002457</t>
        </is>
      </c>
      <c r="B258" s="64" t="inlineStr">
        <is>
          <t>P002756</t>
        </is>
      </c>
      <c r="C258" s="37" t="n">
        <v>4301032026</v>
      </c>
      <c r="D258" s="356" t="n">
        <v>4607091389142</v>
      </c>
      <c r="E258" s="601" t="n"/>
      <c r="F258" s="633" t="n">
        <v>0.15</v>
      </c>
      <c r="G258" s="38" t="n">
        <v>10</v>
      </c>
      <c r="H258" s="633" t="n">
        <v>1.5</v>
      </c>
      <c r="I258" s="633" t="n">
        <v>1.76</v>
      </c>
      <c r="J258" s="38" t="n">
        <v>200</v>
      </c>
      <c r="K258" s="39" t="inlineStr">
        <is>
          <t>ДК</t>
        </is>
      </c>
      <c r="L258" s="38" t="n">
        <v>150</v>
      </c>
      <c r="M258" s="786">
        <f>HYPERLINK("https://abi.ru/products/Охлажденные/Стародворье/Бавария/Сыровяленые колбасы/P002756/","С/в колбасы Филейбургская мраморная Бавария Фикс.вес 0,15 б/о в/у 150 Стародворье")</f>
        <v/>
      </c>
      <c r="N258" s="635" t="n"/>
      <c r="O258" s="635" t="n"/>
      <c r="P258" s="635" t="n"/>
      <c r="Q258" s="601" t="n"/>
      <c r="R258" s="40" t="inlineStr"/>
      <c r="S258" s="40" t="inlineStr"/>
      <c r="T258" s="41" t="inlineStr">
        <is>
          <t>кг</t>
        </is>
      </c>
      <c r="U258" s="636" t="n">
        <v>0</v>
      </c>
      <c r="V258" s="637">
        <f>IFERROR(IF(U258="",0,CEILING((U258/$H258),1)*$H258),"")</f>
        <v/>
      </c>
      <c r="W258" s="42">
        <f>IFERROR(IF(V258=0,"",ROUNDUP(V258/H258,0)*0.00673),"")</f>
        <v/>
      </c>
      <c r="X258" s="69" t="inlineStr"/>
      <c r="Y258" s="70" t="inlineStr"/>
      <c r="AC258" s="220" t="inlineStr">
        <is>
          <t>КИ</t>
        </is>
      </c>
    </row>
    <row r="259">
      <c r="A259" s="364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38" t="n"/>
      <c r="M259" s="639" t="inlineStr">
        <is>
          <t>Итого</t>
        </is>
      </c>
      <c r="N259" s="609" t="n"/>
      <c r="O259" s="609" t="n"/>
      <c r="P259" s="609" t="n"/>
      <c r="Q259" s="609" t="n"/>
      <c r="R259" s="609" t="n"/>
      <c r="S259" s="610" t="n"/>
      <c r="T259" s="43" t="inlineStr">
        <is>
          <t>кор</t>
        </is>
      </c>
      <c r="U259" s="640">
        <f>IFERROR(U258/H258,"0")</f>
        <v/>
      </c>
      <c r="V259" s="640">
        <f>IFERROR(V258/H258,"0")</f>
        <v/>
      </c>
      <c r="W259" s="640">
        <f>IFERROR(IF(W258="",0,W258),"0")</f>
        <v/>
      </c>
      <c r="X259" s="641" t="n"/>
      <c r="Y259" s="641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38" t="n"/>
      <c r="M260" s="639" t="inlineStr">
        <is>
          <t>Итого</t>
        </is>
      </c>
      <c r="N260" s="609" t="n"/>
      <c r="O260" s="609" t="n"/>
      <c r="P260" s="609" t="n"/>
      <c r="Q260" s="609" t="n"/>
      <c r="R260" s="609" t="n"/>
      <c r="S260" s="610" t="n"/>
      <c r="T260" s="43" t="inlineStr">
        <is>
          <t>кг</t>
        </is>
      </c>
      <c r="U260" s="640">
        <f>IFERROR(SUM(U258:U258),"0")</f>
        <v/>
      </c>
      <c r="V260" s="640">
        <f>IFERROR(SUM(V258:V258),"0")</f>
        <v/>
      </c>
      <c r="W260" s="43" t="n"/>
      <c r="X260" s="641" t="n"/>
      <c r="Y260" s="641" t="n"/>
    </row>
    <row r="261" ht="27.75" customHeight="1">
      <c r="A261" s="353" t="inlineStr">
        <is>
          <t>Особый рецепт</t>
        </is>
      </c>
      <c r="B261" s="632" t="n"/>
      <c r="C261" s="632" t="n"/>
      <c r="D261" s="632" t="n"/>
      <c r="E261" s="632" t="n"/>
      <c r="F261" s="632" t="n"/>
      <c r="G261" s="632" t="n"/>
      <c r="H261" s="632" t="n"/>
      <c r="I261" s="632" t="n"/>
      <c r="J261" s="632" t="n"/>
      <c r="K261" s="632" t="n"/>
      <c r="L261" s="632" t="n"/>
      <c r="M261" s="632" t="n"/>
      <c r="N261" s="632" t="n"/>
      <c r="O261" s="632" t="n"/>
      <c r="P261" s="632" t="n"/>
      <c r="Q261" s="632" t="n"/>
      <c r="R261" s="632" t="n"/>
      <c r="S261" s="632" t="n"/>
      <c r="T261" s="632" t="n"/>
      <c r="U261" s="632" t="n"/>
      <c r="V261" s="632" t="n"/>
      <c r="W261" s="632" t="n"/>
      <c r="X261" s="55" t="n"/>
      <c r="Y261" s="55" t="n"/>
    </row>
    <row r="262" ht="16.5" customHeight="1">
      <c r="A262" s="354" t="inlineStr">
        <is>
          <t>Особая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54" t="n"/>
      <c r="Y262" s="354" t="n"/>
    </row>
    <row r="263" ht="14.25" customHeight="1">
      <c r="A263" s="355" t="inlineStr">
        <is>
          <t>Вареные колбасы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55" t="n"/>
      <c r="Y263" s="355" t="n"/>
    </row>
    <row r="264" ht="27" customHeight="1">
      <c r="A264" s="64" t="inlineStr">
        <is>
          <t>SU000251</t>
        </is>
      </c>
      <c r="B264" s="64" t="inlineStr">
        <is>
          <t>P002581</t>
        </is>
      </c>
      <c r="C264" s="37" t="n">
        <v>4301011239</v>
      </c>
      <c r="D264" s="356" t="n">
        <v>4607091383997</v>
      </c>
      <c r="E264" s="601" t="n"/>
      <c r="F264" s="633" t="n">
        <v>2.5</v>
      </c>
      <c r="G264" s="38" t="n">
        <v>6</v>
      </c>
      <c r="H264" s="633" t="n">
        <v>15</v>
      </c>
      <c r="I264" s="633" t="n">
        <v>15.48</v>
      </c>
      <c r="J264" s="38" t="n">
        <v>48</v>
      </c>
      <c r="K264" s="39" t="inlineStr">
        <is>
          <t>ВЗ</t>
        </is>
      </c>
      <c r="L264" s="38" t="n">
        <v>60</v>
      </c>
      <c r="M264" s="787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4" s="635" t="n"/>
      <c r="O264" s="635" t="n"/>
      <c r="P264" s="635" t="n"/>
      <c r="Q264" s="601" t="n"/>
      <c r="R264" s="40" t="inlineStr"/>
      <c r="S264" s="40" t="inlineStr"/>
      <c r="T264" s="41" t="inlineStr">
        <is>
          <t>кг</t>
        </is>
      </c>
      <c r="U264" s="636" t="n">
        <v>0</v>
      </c>
      <c r="V264" s="637">
        <f>IFERROR(IF(U264="",0,CEILING((U264/$H264),1)*$H264),"")</f>
        <v/>
      </c>
      <c r="W264" s="42">
        <f>IFERROR(IF(V264=0,"",ROUNDUP(V264/H264,0)*0.02039),"")</f>
        <v/>
      </c>
      <c r="X264" s="69" t="inlineStr"/>
      <c r="Y264" s="70" t="inlineStr"/>
      <c r="AC264" s="221" t="inlineStr">
        <is>
          <t>КИ</t>
        </is>
      </c>
    </row>
    <row r="265" ht="27" customHeight="1">
      <c r="A265" s="64" t="inlineStr">
        <is>
          <t>SU000251</t>
        </is>
      </c>
      <c r="B265" s="64" t="inlineStr">
        <is>
          <t>P002584</t>
        </is>
      </c>
      <c r="C265" s="37" t="n">
        <v>4301011339</v>
      </c>
      <c r="D265" s="356" t="n">
        <v>4607091383997</v>
      </c>
      <c r="E265" s="601" t="n"/>
      <c r="F265" s="633" t="n">
        <v>2.5</v>
      </c>
      <c r="G265" s="38" t="n">
        <v>6</v>
      </c>
      <c r="H265" s="633" t="n">
        <v>15</v>
      </c>
      <c r="I265" s="633" t="n">
        <v>15.48</v>
      </c>
      <c r="J265" s="38" t="n">
        <v>48</v>
      </c>
      <c r="K265" s="39" t="inlineStr">
        <is>
          <t>СК2</t>
        </is>
      </c>
      <c r="L265" s="38" t="n">
        <v>60</v>
      </c>
      <c r="M265" s="788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65" s="635" t="n"/>
      <c r="O265" s="635" t="n"/>
      <c r="P265" s="635" t="n"/>
      <c r="Q265" s="601" t="n"/>
      <c r="R265" s="40" t="inlineStr"/>
      <c r="S265" s="40" t="inlineStr"/>
      <c r="T265" s="41" t="inlineStr">
        <is>
          <t>кг</t>
        </is>
      </c>
      <c r="U265" s="636" t="n">
        <v>5000</v>
      </c>
      <c r="V265" s="637">
        <f>IFERROR(IF(U265="",0,CEILING((U265/$H265),1)*$H265),"")</f>
        <v/>
      </c>
      <c r="W265" s="42">
        <f>IFERROR(IF(V265=0,"",ROUNDUP(V265/H265,0)*0.02175),"")</f>
        <v/>
      </c>
      <c r="X265" s="69" t="inlineStr"/>
      <c r="Y265" s="70" t="inlineStr"/>
      <c r="AC265" s="222" t="inlineStr">
        <is>
          <t>КИ</t>
        </is>
      </c>
    </row>
    <row r="266" ht="27" customHeight="1">
      <c r="A266" s="64" t="inlineStr">
        <is>
          <t>SU001578</t>
        </is>
      </c>
      <c r="B266" s="64" t="inlineStr">
        <is>
          <t>P002562</t>
        </is>
      </c>
      <c r="C266" s="37" t="n">
        <v>4301011326</v>
      </c>
      <c r="D266" s="356" t="n">
        <v>4607091384130</v>
      </c>
      <c r="E266" s="601" t="n"/>
      <c r="F266" s="633" t="n">
        <v>2.5</v>
      </c>
      <c r="G266" s="38" t="n">
        <v>6</v>
      </c>
      <c r="H266" s="633" t="n">
        <v>15</v>
      </c>
      <c r="I266" s="633" t="n">
        <v>15.48</v>
      </c>
      <c r="J266" s="38" t="n">
        <v>48</v>
      </c>
      <c r="K266" s="39" t="inlineStr">
        <is>
          <t>СК2</t>
        </is>
      </c>
      <c r="L266" s="38" t="n">
        <v>60</v>
      </c>
      <c r="M266" s="789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66" s="635" t="n"/>
      <c r="O266" s="635" t="n"/>
      <c r="P266" s="635" t="n"/>
      <c r="Q266" s="601" t="n"/>
      <c r="R266" s="40" t="inlineStr"/>
      <c r="S266" s="40" t="inlineStr"/>
      <c r="T266" s="41" t="inlineStr">
        <is>
          <t>кг</t>
        </is>
      </c>
      <c r="U266" s="636" t="n">
        <v>0</v>
      </c>
      <c r="V266" s="637">
        <f>IFERROR(IF(U266="",0,CEILING((U266/$H266),1)*$H266),"")</f>
        <v/>
      </c>
      <c r="W266" s="42">
        <f>IFERROR(IF(V266=0,"",ROUNDUP(V266/H266,0)*0.02175),"")</f>
        <v/>
      </c>
      <c r="X266" s="69" t="inlineStr"/>
      <c r="Y266" s="70" t="inlineStr"/>
      <c r="AC266" s="223" t="inlineStr">
        <is>
          <t>КИ</t>
        </is>
      </c>
    </row>
    <row r="267" ht="27" customHeight="1">
      <c r="A267" s="64" t="inlineStr">
        <is>
          <t>SU001578</t>
        </is>
      </c>
      <c r="B267" s="64" t="inlineStr">
        <is>
          <t>P002582</t>
        </is>
      </c>
      <c r="C267" s="37" t="n">
        <v>4301011240</v>
      </c>
      <c r="D267" s="356" t="n">
        <v>4607091384130</v>
      </c>
      <c r="E267" s="601" t="n"/>
      <c r="F267" s="633" t="n">
        <v>2.5</v>
      </c>
      <c r="G267" s="38" t="n">
        <v>6</v>
      </c>
      <c r="H267" s="633" t="n">
        <v>15</v>
      </c>
      <c r="I267" s="633" t="n">
        <v>15.48</v>
      </c>
      <c r="J267" s="38" t="n">
        <v>48</v>
      </c>
      <c r="K267" s="39" t="inlineStr">
        <is>
          <t>ВЗ</t>
        </is>
      </c>
      <c r="L267" s="38" t="n">
        <v>60</v>
      </c>
      <c r="M267" s="790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67" s="635" t="n"/>
      <c r="O267" s="635" t="n"/>
      <c r="P267" s="635" t="n"/>
      <c r="Q267" s="601" t="n"/>
      <c r="R267" s="40" t="inlineStr"/>
      <c r="S267" s="40" t="inlineStr"/>
      <c r="T267" s="41" t="inlineStr">
        <is>
          <t>кг</t>
        </is>
      </c>
      <c r="U267" s="636" t="n">
        <v>2000</v>
      </c>
      <c r="V267" s="637">
        <f>IFERROR(IF(U267="",0,CEILING((U267/$H267),1)*$H267),"")</f>
        <v/>
      </c>
      <c r="W267" s="42">
        <f>IFERROR(IF(V267=0,"",ROUNDUP(V267/H267,0)*0.02039),"")</f>
        <v/>
      </c>
      <c r="X267" s="69" t="inlineStr"/>
      <c r="Y267" s="70" t="inlineStr"/>
      <c r="AC267" s="224" t="inlineStr">
        <is>
          <t>КИ</t>
        </is>
      </c>
    </row>
    <row r="268" ht="16.5" customHeight="1">
      <c r="A268" s="64" t="inlineStr">
        <is>
          <t>SU000102</t>
        </is>
      </c>
      <c r="B268" s="64" t="inlineStr">
        <is>
          <t>P002564</t>
        </is>
      </c>
      <c r="C268" s="37" t="n">
        <v>4301011330</v>
      </c>
      <c r="D268" s="356" t="n">
        <v>4607091384147</v>
      </c>
      <c r="E268" s="601" t="n"/>
      <c r="F268" s="633" t="n">
        <v>2.5</v>
      </c>
      <c r="G268" s="38" t="n">
        <v>6</v>
      </c>
      <c r="H268" s="633" t="n">
        <v>15</v>
      </c>
      <c r="I268" s="633" t="n">
        <v>15.48</v>
      </c>
      <c r="J268" s="38" t="n">
        <v>48</v>
      </c>
      <c r="K268" s="39" t="inlineStr">
        <is>
          <t>СК2</t>
        </is>
      </c>
      <c r="L268" s="38" t="n">
        <v>60</v>
      </c>
      <c r="M268" s="791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68" s="635" t="n"/>
      <c r="O268" s="635" t="n"/>
      <c r="P268" s="635" t="n"/>
      <c r="Q268" s="601" t="n"/>
      <c r="R268" s="40" t="inlineStr"/>
      <c r="S268" s="40" t="inlineStr"/>
      <c r="T268" s="41" t="inlineStr">
        <is>
          <t>кг</t>
        </is>
      </c>
      <c r="U268" s="636" t="n">
        <v>0</v>
      </c>
      <c r="V268" s="637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225" t="inlineStr">
        <is>
          <t>КИ</t>
        </is>
      </c>
    </row>
    <row r="269" ht="16.5" customHeight="1">
      <c r="A269" s="64" t="inlineStr">
        <is>
          <t>SU000102</t>
        </is>
      </c>
      <c r="B269" s="64" t="inlineStr">
        <is>
          <t>P002580</t>
        </is>
      </c>
      <c r="C269" s="37" t="n">
        <v>4301011238</v>
      </c>
      <c r="D269" s="356" t="n">
        <v>4607091384147</v>
      </c>
      <c r="E269" s="601" t="n"/>
      <c r="F269" s="633" t="n">
        <v>2.5</v>
      </c>
      <c r="G269" s="38" t="n">
        <v>6</v>
      </c>
      <c r="H269" s="633" t="n">
        <v>15</v>
      </c>
      <c r="I269" s="633" t="n">
        <v>15.48</v>
      </c>
      <c r="J269" s="38" t="n">
        <v>48</v>
      </c>
      <c r="K269" s="39" t="inlineStr">
        <is>
          <t>ВЗ</t>
        </is>
      </c>
      <c r="L269" s="38" t="n">
        <v>60</v>
      </c>
      <c r="M269" s="792" t="inlineStr">
        <is>
          <t>Вареные колбасы Особая Особая Весовые П/а Особый рецепт</t>
        </is>
      </c>
      <c r="N269" s="635" t="n"/>
      <c r="O269" s="635" t="n"/>
      <c r="P269" s="635" t="n"/>
      <c r="Q269" s="601" t="n"/>
      <c r="R269" s="40" t="inlineStr"/>
      <c r="S269" s="40" t="inlineStr"/>
      <c r="T269" s="41" t="inlineStr">
        <is>
          <t>кг</t>
        </is>
      </c>
      <c r="U269" s="636" t="n">
        <v>0</v>
      </c>
      <c r="V269" s="637">
        <f>IFERROR(IF(U269="",0,CEILING((U269/$H269),1)*$H269),"")</f>
        <v/>
      </c>
      <c r="W269" s="42">
        <f>IFERROR(IF(V269=0,"",ROUNDUP(V269/H269,0)*0.02039),"")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SU001989</t>
        </is>
      </c>
      <c r="B270" s="64" t="inlineStr">
        <is>
          <t>P002560</t>
        </is>
      </c>
      <c r="C270" s="37" t="n">
        <v>4301011327</v>
      </c>
      <c r="D270" s="356" t="n">
        <v>4607091384154</v>
      </c>
      <c r="E270" s="601" t="n"/>
      <c r="F270" s="633" t="n">
        <v>0.5</v>
      </c>
      <c r="G270" s="38" t="n">
        <v>10</v>
      </c>
      <c r="H270" s="633" t="n">
        <v>5</v>
      </c>
      <c r="I270" s="633" t="n">
        <v>5.21</v>
      </c>
      <c r="J270" s="38" t="n">
        <v>120</v>
      </c>
      <c r="K270" s="39" t="inlineStr">
        <is>
          <t>СК2</t>
        </is>
      </c>
      <c r="L270" s="38" t="n">
        <v>60</v>
      </c>
      <c r="M270" s="793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0" s="635" t="n"/>
      <c r="O270" s="635" t="n"/>
      <c r="P270" s="635" t="n"/>
      <c r="Q270" s="601" t="n"/>
      <c r="R270" s="40" t="inlineStr"/>
      <c r="S270" s="40" t="inlineStr"/>
      <c r="T270" s="41" t="inlineStr">
        <is>
          <t>кг</t>
        </is>
      </c>
      <c r="U270" s="636" t="n">
        <v>0</v>
      </c>
      <c r="V270" s="637">
        <f>IFERROR(IF(U270="",0,CEILING((U270/$H270),1)*$H270),"")</f>
        <v/>
      </c>
      <c r="W270" s="42">
        <f>IFERROR(IF(V270=0,"",ROUNDUP(V270/H270,0)*0.00937),"")</f>
        <v/>
      </c>
      <c r="X270" s="69" t="inlineStr"/>
      <c r="Y270" s="70" t="inlineStr"/>
      <c r="AC270" s="227" t="inlineStr">
        <is>
          <t>КИ</t>
        </is>
      </c>
    </row>
    <row r="271" ht="27" customHeight="1">
      <c r="A271" s="64" t="inlineStr">
        <is>
          <t>SU000256</t>
        </is>
      </c>
      <c r="B271" s="64" t="inlineStr">
        <is>
          <t>P002565</t>
        </is>
      </c>
      <c r="C271" s="37" t="n">
        <v>4301011332</v>
      </c>
      <c r="D271" s="356" t="n">
        <v>4607091384161</v>
      </c>
      <c r="E271" s="601" t="n"/>
      <c r="F271" s="633" t="n">
        <v>0.5</v>
      </c>
      <c r="G271" s="38" t="n">
        <v>10</v>
      </c>
      <c r="H271" s="633" t="n">
        <v>5</v>
      </c>
      <c r="I271" s="633" t="n">
        <v>5.21</v>
      </c>
      <c r="J271" s="38" t="n">
        <v>120</v>
      </c>
      <c r="K271" s="39" t="inlineStr">
        <is>
          <t>СК2</t>
        </is>
      </c>
      <c r="L271" s="38" t="n">
        <v>60</v>
      </c>
      <c r="M271" s="794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1" s="635" t="n"/>
      <c r="O271" s="635" t="n"/>
      <c r="P271" s="635" t="n"/>
      <c r="Q271" s="601" t="n"/>
      <c r="R271" s="40" t="inlineStr"/>
      <c r="S271" s="40" t="inlineStr"/>
      <c r="T271" s="41" t="inlineStr">
        <is>
          <t>кг</t>
        </is>
      </c>
      <c r="U271" s="636" t="n">
        <v>0</v>
      </c>
      <c r="V271" s="637">
        <f>IFERROR(IF(U271="",0,CEILING((U271/$H271),1)*$H271),"")</f>
        <v/>
      </c>
      <c r="W271" s="42">
        <f>IFERROR(IF(V271=0,"",ROUNDUP(V271/H271,0)*0.00937),"")</f>
        <v/>
      </c>
      <c r="X271" s="69" t="inlineStr"/>
      <c r="Y271" s="70" t="inlineStr"/>
      <c r="AC271" s="228" t="inlineStr">
        <is>
          <t>КИ</t>
        </is>
      </c>
    </row>
    <row r="272">
      <c r="A272" s="364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38" t="n"/>
      <c r="M272" s="639" t="inlineStr">
        <is>
          <t>Итого</t>
        </is>
      </c>
      <c r="N272" s="609" t="n"/>
      <c r="O272" s="609" t="n"/>
      <c r="P272" s="609" t="n"/>
      <c r="Q272" s="609" t="n"/>
      <c r="R272" s="609" t="n"/>
      <c r="S272" s="610" t="n"/>
      <c r="T272" s="43" t="inlineStr">
        <is>
          <t>кор</t>
        </is>
      </c>
      <c r="U272" s="640">
        <f>IFERROR(U264/H264,"0")+IFERROR(U265/H265,"0")+IFERROR(U266/H266,"0")+IFERROR(U267/H267,"0")+IFERROR(U268/H268,"0")+IFERROR(U269/H269,"0")+IFERROR(U270/H270,"0")+IFERROR(U271/H271,"0")</f>
        <v/>
      </c>
      <c r="V272" s="640">
        <f>IFERROR(V264/H264,"0")+IFERROR(V265/H265,"0")+IFERROR(V266/H266,"0")+IFERROR(V267/H267,"0")+IFERROR(V268/H268,"0")+IFERROR(V269/H269,"0")+IFERROR(V270/H270,"0")+IFERROR(V271/H271,"0")</f>
        <v/>
      </c>
      <c r="W272" s="640">
        <f>IFERROR(IF(W264="",0,W264),"0")+IFERROR(IF(W265="",0,W265),"0")+IFERROR(IF(W266="",0,W266),"0")+IFERROR(IF(W267="",0,W267),"0")+IFERROR(IF(W268="",0,W268),"0")+IFERROR(IF(W269="",0,W269),"0")+IFERROR(IF(W270="",0,W270),"0")+IFERROR(IF(W271="",0,W271),"0")</f>
        <v/>
      </c>
      <c r="X272" s="641" t="n"/>
      <c r="Y272" s="641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38" t="n"/>
      <c r="M273" s="639" t="inlineStr">
        <is>
          <t>Итого</t>
        </is>
      </c>
      <c r="N273" s="609" t="n"/>
      <c r="O273" s="609" t="n"/>
      <c r="P273" s="609" t="n"/>
      <c r="Q273" s="609" t="n"/>
      <c r="R273" s="609" t="n"/>
      <c r="S273" s="610" t="n"/>
      <c r="T273" s="43" t="inlineStr">
        <is>
          <t>кг</t>
        </is>
      </c>
      <c r="U273" s="640">
        <f>IFERROR(SUM(U264:U271),"0")</f>
        <v/>
      </c>
      <c r="V273" s="640">
        <f>IFERROR(SUM(V264:V271),"0")</f>
        <v/>
      </c>
      <c r="W273" s="43" t="n"/>
      <c r="X273" s="641" t="n"/>
      <c r="Y273" s="641" t="n"/>
    </row>
    <row r="274" ht="14.25" customHeight="1">
      <c r="A274" s="355" t="inlineStr">
        <is>
          <t>Ветчины</t>
        </is>
      </c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355" t="n"/>
      <c r="Y274" s="355" t="n"/>
    </row>
    <row r="275" ht="27" customHeight="1">
      <c r="A275" s="64" t="inlineStr">
        <is>
          <t>SU000126</t>
        </is>
      </c>
      <c r="B275" s="64" t="inlineStr">
        <is>
          <t>P002555</t>
        </is>
      </c>
      <c r="C275" s="37" t="n">
        <v>4301020178</v>
      </c>
      <c r="D275" s="356" t="n">
        <v>4607091383980</v>
      </c>
      <c r="E275" s="601" t="n"/>
      <c r="F275" s="633" t="n">
        <v>2.5</v>
      </c>
      <c r="G275" s="38" t="n">
        <v>6</v>
      </c>
      <c r="H275" s="633" t="n">
        <v>15</v>
      </c>
      <c r="I275" s="633" t="n">
        <v>15.48</v>
      </c>
      <c r="J275" s="38" t="n">
        <v>48</v>
      </c>
      <c r="K275" s="39" t="inlineStr">
        <is>
          <t>СК1</t>
        </is>
      </c>
      <c r="L275" s="38" t="n">
        <v>50</v>
      </c>
      <c r="M275" s="795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75" s="635" t="n"/>
      <c r="O275" s="635" t="n"/>
      <c r="P275" s="635" t="n"/>
      <c r="Q275" s="601" t="n"/>
      <c r="R275" s="40" t="inlineStr"/>
      <c r="S275" s="40" t="inlineStr"/>
      <c r="T275" s="41" t="inlineStr">
        <is>
          <t>кг</t>
        </is>
      </c>
      <c r="U275" s="636" t="n">
        <v>3000</v>
      </c>
      <c r="V275" s="637">
        <f>IFERROR(IF(U275="",0,CEILING((U275/$H275),1)*$H275),"")</f>
        <v/>
      </c>
      <c r="W275" s="42">
        <f>IFERROR(IF(V275=0,"",ROUNDUP(V275/H275,0)*0.02175),"")</f>
        <v/>
      </c>
      <c r="X275" s="69" t="inlineStr"/>
      <c r="Y275" s="70" t="inlineStr"/>
      <c r="AC275" s="229" t="inlineStr">
        <is>
          <t>КИ</t>
        </is>
      </c>
    </row>
    <row r="276" ht="27" customHeight="1">
      <c r="A276" s="64" t="inlineStr">
        <is>
          <t>SU002027</t>
        </is>
      </c>
      <c r="B276" s="64" t="inlineStr">
        <is>
          <t>P002556</t>
        </is>
      </c>
      <c r="C276" s="37" t="n">
        <v>4301020179</v>
      </c>
      <c r="D276" s="356" t="n">
        <v>4607091384178</v>
      </c>
      <c r="E276" s="601" t="n"/>
      <c r="F276" s="633" t="n">
        <v>0.4</v>
      </c>
      <c r="G276" s="38" t="n">
        <v>10</v>
      </c>
      <c r="H276" s="633" t="n">
        <v>4</v>
      </c>
      <c r="I276" s="633" t="n">
        <v>4.24</v>
      </c>
      <c r="J276" s="38" t="n">
        <v>120</v>
      </c>
      <c r="K276" s="39" t="inlineStr">
        <is>
          <t>СК1</t>
        </is>
      </c>
      <c r="L276" s="38" t="n">
        <v>50</v>
      </c>
      <c r="M276" s="796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76" s="635" t="n"/>
      <c r="O276" s="635" t="n"/>
      <c r="P276" s="635" t="n"/>
      <c r="Q276" s="601" t="n"/>
      <c r="R276" s="40" t="inlineStr"/>
      <c r="S276" s="40" t="inlineStr"/>
      <c r="T276" s="41" t="inlineStr">
        <is>
          <t>кг</t>
        </is>
      </c>
      <c r="U276" s="636" t="n">
        <v>0</v>
      </c>
      <c r="V276" s="637">
        <f>IFERROR(IF(U276="",0,CEILING((U276/$H276),1)*$H276),"")</f>
        <v/>
      </c>
      <c r="W276" s="42">
        <f>IFERROR(IF(V276=0,"",ROUNDUP(V276/H276,0)*0.00937),"")</f>
        <v/>
      </c>
      <c r="X276" s="69" t="inlineStr"/>
      <c r="Y276" s="70" t="inlineStr"/>
      <c r="AC276" s="230" t="inlineStr">
        <is>
          <t>КИ</t>
        </is>
      </c>
    </row>
    <row r="277">
      <c r="A277" s="364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38" t="n"/>
      <c r="M277" s="639" t="inlineStr">
        <is>
          <t>Итого</t>
        </is>
      </c>
      <c r="N277" s="609" t="n"/>
      <c r="O277" s="609" t="n"/>
      <c r="P277" s="609" t="n"/>
      <c r="Q277" s="609" t="n"/>
      <c r="R277" s="609" t="n"/>
      <c r="S277" s="610" t="n"/>
      <c r="T277" s="43" t="inlineStr">
        <is>
          <t>кор</t>
        </is>
      </c>
      <c r="U277" s="640">
        <f>IFERROR(U275/H275,"0")+IFERROR(U276/H276,"0")</f>
        <v/>
      </c>
      <c r="V277" s="640">
        <f>IFERROR(V275/H275,"0")+IFERROR(V276/H276,"0")</f>
        <v/>
      </c>
      <c r="W277" s="640">
        <f>IFERROR(IF(W275="",0,W275),"0")+IFERROR(IF(W276="",0,W276),"0")</f>
        <v/>
      </c>
      <c r="X277" s="641" t="n"/>
      <c r="Y277" s="641" t="n"/>
    </row>
    <row r="27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638" t="n"/>
      <c r="M278" s="639" t="inlineStr">
        <is>
          <t>Итого</t>
        </is>
      </c>
      <c r="N278" s="609" t="n"/>
      <c r="O278" s="609" t="n"/>
      <c r="P278" s="609" t="n"/>
      <c r="Q278" s="609" t="n"/>
      <c r="R278" s="609" t="n"/>
      <c r="S278" s="610" t="n"/>
      <c r="T278" s="43" t="inlineStr">
        <is>
          <t>кг</t>
        </is>
      </c>
      <c r="U278" s="640">
        <f>IFERROR(SUM(U275:U276),"0")</f>
        <v/>
      </c>
      <c r="V278" s="640">
        <f>IFERROR(SUM(V275:V276),"0")</f>
        <v/>
      </c>
      <c r="W278" s="43" t="n"/>
      <c r="X278" s="641" t="n"/>
      <c r="Y278" s="641" t="n"/>
    </row>
    <row r="279" ht="14.25" customHeight="1">
      <c r="A279" s="355" t="inlineStr">
        <is>
          <t>Копченые колбасы</t>
        </is>
      </c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355" t="n"/>
      <c r="Y279" s="355" t="n"/>
    </row>
    <row r="280" ht="27" customHeight="1">
      <c r="A280" s="64" t="inlineStr">
        <is>
          <t>SU002362</t>
        </is>
      </c>
      <c r="B280" s="64" t="inlineStr">
        <is>
          <t>P002631</t>
        </is>
      </c>
      <c r="C280" s="37" t="n">
        <v>4301031141</v>
      </c>
      <c r="D280" s="356" t="n">
        <v>4607091384833</v>
      </c>
      <c r="E280" s="601" t="n"/>
      <c r="F280" s="633" t="n">
        <v>0.73</v>
      </c>
      <c r="G280" s="38" t="n">
        <v>6</v>
      </c>
      <c r="H280" s="633" t="n">
        <v>4.38</v>
      </c>
      <c r="I280" s="633" t="n">
        <v>4.58</v>
      </c>
      <c r="J280" s="38" t="n">
        <v>156</v>
      </c>
      <c r="K280" s="39" t="inlineStr">
        <is>
          <t>СК2</t>
        </is>
      </c>
      <c r="L280" s="38" t="n">
        <v>35</v>
      </c>
      <c r="M280" s="797">
        <f>HYPERLINK("https://abi.ru/products/Охлажденные/Особый рецепт/Особая/Копченые колбасы/P002631/","В/к колбасы Сервелат Филейный Особая Весовые Фиброуз в/у Особый рецепт")</f>
        <v/>
      </c>
      <c r="N280" s="635" t="n"/>
      <c r="O280" s="635" t="n"/>
      <c r="P280" s="635" t="n"/>
      <c r="Q280" s="601" t="n"/>
      <c r="R280" s="40" t="inlineStr"/>
      <c r="S280" s="40" t="inlineStr"/>
      <c r="T280" s="41" t="inlineStr">
        <is>
          <t>кг</t>
        </is>
      </c>
      <c r="U280" s="636" t="n">
        <v>0</v>
      </c>
      <c r="V280" s="637">
        <f>IFERROR(IF(U280="",0,CEILING((U280/$H280),1)*$H280),"")</f>
        <v/>
      </c>
      <c r="W280" s="42">
        <f>IFERROR(IF(V280=0,"",ROUNDUP(V280/H280,0)*0.00753),"")</f>
        <v/>
      </c>
      <c r="X280" s="69" t="inlineStr"/>
      <c r="Y280" s="70" t="inlineStr"/>
      <c r="AC280" s="231" t="inlineStr">
        <is>
          <t>КИ</t>
        </is>
      </c>
    </row>
    <row r="281" ht="27" customHeight="1">
      <c r="A281" s="64" t="inlineStr">
        <is>
          <t>SU002364</t>
        </is>
      </c>
      <c r="B281" s="64" t="inlineStr">
        <is>
          <t>P002633</t>
        </is>
      </c>
      <c r="C281" s="37" t="n">
        <v>4301031137</v>
      </c>
      <c r="D281" s="356" t="n">
        <v>4607091384857</v>
      </c>
      <c r="E281" s="601" t="n"/>
      <c r="F281" s="633" t="n">
        <v>0.73</v>
      </c>
      <c r="G281" s="38" t="n">
        <v>6</v>
      </c>
      <c r="H281" s="633" t="n">
        <v>4.38</v>
      </c>
      <c r="I281" s="633" t="n">
        <v>4.58</v>
      </c>
      <c r="J281" s="38" t="n">
        <v>156</v>
      </c>
      <c r="K281" s="39" t="inlineStr">
        <is>
          <t>СК2</t>
        </is>
      </c>
      <c r="L281" s="38" t="n">
        <v>35</v>
      </c>
      <c r="M281" s="798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1" s="635" t="n"/>
      <c r="O281" s="635" t="n"/>
      <c r="P281" s="635" t="n"/>
      <c r="Q281" s="601" t="n"/>
      <c r="R281" s="40" t="inlineStr"/>
      <c r="S281" s="40" t="inlineStr"/>
      <c r="T281" s="41" t="inlineStr">
        <is>
          <t>кг</t>
        </is>
      </c>
      <c r="U281" s="636" t="n">
        <v>0</v>
      </c>
      <c r="V281" s="637">
        <f>IFERROR(IF(U281="",0,CEILING((U281/$H281),1)*$H281),"")</f>
        <v/>
      </c>
      <c r="W281" s="42">
        <f>IFERROR(IF(V281=0,"",ROUNDUP(V281/H281,0)*0.00753),"")</f>
        <v/>
      </c>
      <c r="X281" s="69" t="inlineStr"/>
      <c r="Y281" s="70" t="inlineStr"/>
      <c r="AC281" s="232" t="inlineStr">
        <is>
          <t>КИ</t>
        </is>
      </c>
    </row>
    <row r="282">
      <c r="A282" s="364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38" t="n"/>
      <c r="M282" s="639" t="inlineStr">
        <is>
          <t>Итого</t>
        </is>
      </c>
      <c r="N282" s="609" t="n"/>
      <c r="O282" s="609" t="n"/>
      <c r="P282" s="609" t="n"/>
      <c r="Q282" s="609" t="n"/>
      <c r="R282" s="609" t="n"/>
      <c r="S282" s="610" t="n"/>
      <c r="T282" s="43" t="inlineStr">
        <is>
          <t>кор</t>
        </is>
      </c>
      <c r="U282" s="640">
        <f>IFERROR(U280/H280,"0")+IFERROR(U281/H281,"0")</f>
        <v/>
      </c>
      <c r="V282" s="640">
        <f>IFERROR(V280/H280,"0")+IFERROR(V281/H281,"0")</f>
        <v/>
      </c>
      <c r="W282" s="640">
        <f>IFERROR(IF(W280="",0,W280),"0")+IFERROR(IF(W281="",0,W281),"0")</f>
        <v/>
      </c>
      <c r="X282" s="641" t="n"/>
      <c r="Y282" s="641" t="n"/>
    </row>
    <row r="28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38" t="n"/>
      <c r="M283" s="639" t="inlineStr">
        <is>
          <t>Итого</t>
        </is>
      </c>
      <c r="N283" s="609" t="n"/>
      <c r="O283" s="609" t="n"/>
      <c r="P283" s="609" t="n"/>
      <c r="Q283" s="609" t="n"/>
      <c r="R283" s="609" t="n"/>
      <c r="S283" s="610" t="n"/>
      <c r="T283" s="43" t="inlineStr">
        <is>
          <t>кг</t>
        </is>
      </c>
      <c r="U283" s="640">
        <f>IFERROR(SUM(U280:U281),"0")</f>
        <v/>
      </c>
      <c r="V283" s="640">
        <f>IFERROR(SUM(V280:V281),"0")</f>
        <v/>
      </c>
      <c r="W283" s="43" t="n"/>
      <c r="X283" s="641" t="n"/>
      <c r="Y283" s="641" t="n"/>
    </row>
    <row r="284" ht="14.25" customHeight="1">
      <c r="A284" s="355" t="inlineStr">
        <is>
          <t>Сосиски</t>
        </is>
      </c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355" t="n"/>
      <c r="Y284" s="355" t="n"/>
    </row>
    <row r="285" ht="27" customHeight="1">
      <c r="A285" s="64" t="inlineStr">
        <is>
          <t>SU000246</t>
        </is>
      </c>
      <c r="B285" s="64" t="inlineStr">
        <is>
          <t>P002690</t>
        </is>
      </c>
      <c r="C285" s="37" t="n">
        <v>4301051298</v>
      </c>
      <c r="D285" s="356" t="n">
        <v>4607091384260</v>
      </c>
      <c r="E285" s="601" t="n"/>
      <c r="F285" s="633" t="n">
        <v>1.3</v>
      </c>
      <c r="G285" s="38" t="n">
        <v>6</v>
      </c>
      <c r="H285" s="633" t="n">
        <v>7.8</v>
      </c>
      <c r="I285" s="633" t="n">
        <v>8.364000000000001</v>
      </c>
      <c r="J285" s="38" t="n">
        <v>56</v>
      </c>
      <c r="K285" s="39" t="inlineStr">
        <is>
          <t>СК2</t>
        </is>
      </c>
      <c r="L285" s="38" t="n">
        <v>35</v>
      </c>
      <c r="M285" s="79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5" s="635" t="n"/>
      <c r="O285" s="635" t="n"/>
      <c r="P285" s="635" t="n"/>
      <c r="Q285" s="601" t="n"/>
      <c r="R285" s="40" t="inlineStr"/>
      <c r="S285" s="40" t="inlineStr"/>
      <c r="T285" s="41" t="inlineStr">
        <is>
          <t>кг</t>
        </is>
      </c>
      <c r="U285" s="636" t="n">
        <v>0</v>
      </c>
      <c r="V285" s="637">
        <f>IFERROR(IF(U285="",0,CEILING((U285/$H285),1)*$H285),"")</f>
        <v/>
      </c>
      <c r="W285" s="42">
        <f>IFERROR(IF(V285=0,"",ROUNDUP(V285/H285,0)*0.02175),"")</f>
        <v/>
      </c>
      <c r="X285" s="69" t="inlineStr"/>
      <c r="Y285" s="70" t="inlineStr"/>
      <c r="AC285" s="233" t="inlineStr">
        <is>
          <t>КИ</t>
        </is>
      </c>
    </row>
    <row r="286">
      <c r="A286" s="364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38" t="n"/>
      <c r="M286" s="639" t="inlineStr">
        <is>
          <t>Итого</t>
        </is>
      </c>
      <c r="N286" s="609" t="n"/>
      <c r="O286" s="609" t="n"/>
      <c r="P286" s="609" t="n"/>
      <c r="Q286" s="609" t="n"/>
      <c r="R286" s="609" t="n"/>
      <c r="S286" s="610" t="n"/>
      <c r="T286" s="43" t="inlineStr">
        <is>
          <t>кор</t>
        </is>
      </c>
      <c r="U286" s="640">
        <f>IFERROR(U285/H285,"0")</f>
        <v/>
      </c>
      <c r="V286" s="640">
        <f>IFERROR(V285/H285,"0")</f>
        <v/>
      </c>
      <c r="W286" s="640">
        <f>IFERROR(IF(W285="",0,W285),"0")</f>
        <v/>
      </c>
      <c r="X286" s="641" t="n"/>
      <c r="Y286" s="641" t="n"/>
    </row>
    <row r="28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638" t="n"/>
      <c r="M287" s="639" t="inlineStr">
        <is>
          <t>Итого</t>
        </is>
      </c>
      <c r="N287" s="609" t="n"/>
      <c r="O287" s="609" t="n"/>
      <c r="P287" s="609" t="n"/>
      <c r="Q287" s="609" t="n"/>
      <c r="R287" s="609" t="n"/>
      <c r="S287" s="610" t="n"/>
      <c r="T287" s="43" t="inlineStr">
        <is>
          <t>кг</t>
        </is>
      </c>
      <c r="U287" s="640">
        <f>IFERROR(SUM(U285:U285),"0")</f>
        <v/>
      </c>
      <c r="V287" s="640">
        <f>IFERROR(SUM(V285:V285),"0")</f>
        <v/>
      </c>
      <c r="W287" s="43" t="n"/>
      <c r="X287" s="641" t="n"/>
      <c r="Y287" s="641" t="n"/>
    </row>
    <row r="288" ht="14.25" customHeight="1">
      <c r="A288" s="355" t="inlineStr">
        <is>
          <t>Сардельки</t>
        </is>
      </c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355" t="n"/>
      <c r="Y288" s="355" t="n"/>
    </row>
    <row r="289" ht="16.5" customHeight="1">
      <c r="A289" s="64" t="inlineStr">
        <is>
          <t>SU002287</t>
        </is>
      </c>
      <c r="B289" s="64" t="inlineStr">
        <is>
          <t>P002490</t>
        </is>
      </c>
      <c r="C289" s="37" t="n">
        <v>4301060314</v>
      </c>
      <c r="D289" s="356" t="n">
        <v>4607091384673</v>
      </c>
      <c r="E289" s="601" t="n"/>
      <c r="F289" s="633" t="n">
        <v>1.3</v>
      </c>
      <c r="G289" s="38" t="n">
        <v>6</v>
      </c>
      <c r="H289" s="633" t="n">
        <v>7.8</v>
      </c>
      <c r="I289" s="633" t="n">
        <v>8.364000000000001</v>
      </c>
      <c r="J289" s="38" t="n">
        <v>56</v>
      </c>
      <c r="K289" s="39" t="inlineStr">
        <is>
          <t>СК2</t>
        </is>
      </c>
      <c r="L289" s="38" t="n">
        <v>30</v>
      </c>
      <c r="M289" s="80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89" s="635" t="n"/>
      <c r="O289" s="635" t="n"/>
      <c r="P289" s="635" t="n"/>
      <c r="Q289" s="601" t="n"/>
      <c r="R289" s="40" t="inlineStr"/>
      <c r="S289" s="40" t="inlineStr"/>
      <c r="T289" s="41" t="inlineStr">
        <is>
          <t>кг</t>
        </is>
      </c>
      <c r="U289" s="636" t="n">
        <v>0</v>
      </c>
      <c r="V289" s="637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234" t="inlineStr">
        <is>
          <t>КИ</t>
        </is>
      </c>
    </row>
    <row r="290">
      <c r="A290" s="364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638" t="n"/>
      <c r="M290" s="639" t="inlineStr">
        <is>
          <t>Итого</t>
        </is>
      </c>
      <c r="N290" s="609" t="n"/>
      <c r="O290" s="609" t="n"/>
      <c r="P290" s="609" t="n"/>
      <c r="Q290" s="609" t="n"/>
      <c r="R290" s="609" t="n"/>
      <c r="S290" s="610" t="n"/>
      <c r="T290" s="43" t="inlineStr">
        <is>
          <t>кор</t>
        </is>
      </c>
      <c r="U290" s="640">
        <f>IFERROR(U289/H289,"0")</f>
        <v/>
      </c>
      <c r="V290" s="640">
        <f>IFERROR(V289/H289,"0")</f>
        <v/>
      </c>
      <c r="W290" s="640">
        <f>IFERROR(IF(W289="",0,W289),"0")</f>
        <v/>
      </c>
      <c r="X290" s="641" t="n"/>
      <c r="Y290" s="641" t="n"/>
    </row>
    <row r="29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638" t="n"/>
      <c r="M291" s="639" t="inlineStr">
        <is>
          <t>Итого</t>
        </is>
      </c>
      <c r="N291" s="609" t="n"/>
      <c r="O291" s="609" t="n"/>
      <c r="P291" s="609" t="n"/>
      <c r="Q291" s="609" t="n"/>
      <c r="R291" s="609" t="n"/>
      <c r="S291" s="610" t="n"/>
      <c r="T291" s="43" t="inlineStr">
        <is>
          <t>кг</t>
        </is>
      </c>
      <c r="U291" s="640">
        <f>IFERROR(SUM(U289:U289),"0")</f>
        <v/>
      </c>
      <c r="V291" s="640">
        <f>IFERROR(SUM(V289:V289),"0")</f>
        <v/>
      </c>
      <c r="W291" s="43" t="n"/>
      <c r="X291" s="641" t="n"/>
      <c r="Y291" s="641" t="n"/>
    </row>
    <row r="292" ht="16.5" customHeight="1">
      <c r="A292" s="354" t="inlineStr">
        <is>
          <t>Особая Без свинины</t>
        </is>
      </c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354" t="n"/>
      <c r="Y292" s="354" t="n"/>
    </row>
    <row r="293" ht="14.25" customHeight="1">
      <c r="A293" s="355" t="inlineStr">
        <is>
          <t>Вареные колбасы</t>
        </is>
      </c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355" t="n"/>
      <c r="Y293" s="355" t="n"/>
    </row>
    <row r="294" ht="27" customHeight="1">
      <c r="A294" s="64" t="inlineStr">
        <is>
          <t>SU002073</t>
        </is>
      </c>
      <c r="B294" s="64" t="inlineStr">
        <is>
          <t>P002563</t>
        </is>
      </c>
      <c r="C294" s="37" t="n">
        <v>4301011324</v>
      </c>
      <c r="D294" s="356" t="n">
        <v>4607091384185</v>
      </c>
      <c r="E294" s="601" t="n"/>
      <c r="F294" s="633" t="n">
        <v>0.8</v>
      </c>
      <c r="G294" s="38" t="n">
        <v>15</v>
      </c>
      <c r="H294" s="633" t="n">
        <v>12</v>
      </c>
      <c r="I294" s="633" t="n">
        <v>12.48</v>
      </c>
      <c r="J294" s="38" t="n">
        <v>56</v>
      </c>
      <c r="K294" s="39" t="inlineStr">
        <is>
          <t>СК2</t>
        </is>
      </c>
      <c r="L294" s="38" t="n">
        <v>60</v>
      </c>
      <c r="M294" s="80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4" s="635" t="n"/>
      <c r="O294" s="635" t="n"/>
      <c r="P294" s="635" t="n"/>
      <c r="Q294" s="601" t="n"/>
      <c r="R294" s="40" t="inlineStr"/>
      <c r="S294" s="40" t="inlineStr"/>
      <c r="T294" s="41" t="inlineStr">
        <is>
          <t>кг</t>
        </is>
      </c>
      <c r="U294" s="636" t="n">
        <v>0</v>
      </c>
      <c r="V294" s="637">
        <f>IFERROR(IF(U294="",0,CEILING((U294/$H294),1)*$H294),"")</f>
        <v/>
      </c>
      <c r="W294" s="42">
        <f>IFERROR(IF(V294=0,"",ROUNDUP(V294/H294,0)*0.02175),"")</f>
        <v/>
      </c>
      <c r="X294" s="69" t="inlineStr"/>
      <c r="Y294" s="70" t="inlineStr"/>
      <c r="AC294" s="235" t="inlineStr">
        <is>
          <t>КИ</t>
        </is>
      </c>
    </row>
    <row r="295" ht="27" customHeight="1">
      <c r="A295" s="64" t="inlineStr">
        <is>
          <t>SU002187</t>
        </is>
      </c>
      <c r="B295" s="64" t="inlineStr">
        <is>
          <t>P002559</t>
        </is>
      </c>
      <c r="C295" s="37" t="n">
        <v>4301011312</v>
      </c>
      <c r="D295" s="356" t="n">
        <v>4607091384192</v>
      </c>
      <c r="E295" s="601" t="n"/>
      <c r="F295" s="633" t="n">
        <v>1.8</v>
      </c>
      <c r="G295" s="38" t="n">
        <v>6</v>
      </c>
      <c r="H295" s="633" t="n">
        <v>10.8</v>
      </c>
      <c r="I295" s="633" t="n">
        <v>11.28</v>
      </c>
      <c r="J295" s="38" t="n">
        <v>56</v>
      </c>
      <c r="K295" s="39" t="inlineStr">
        <is>
          <t>СК1</t>
        </is>
      </c>
      <c r="L295" s="38" t="n">
        <v>60</v>
      </c>
      <c r="M295" s="80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5" s="635" t="n"/>
      <c r="O295" s="635" t="n"/>
      <c r="P295" s="635" t="n"/>
      <c r="Q295" s="601" t="n"/>
      <c r="R295" s="40" t="inlineStr"/>
      <c r="S295" s="40" t="inlineStr"/>
      <c r="T295" s="41" t="inlineStr">
        <is>
          <t>кг</t>
        </is>
      </c>
      <c r="U295" s="636" t="n">
        <v>0</v>
      </c>
      <c r="V295" s="637">
        <f>IFERROR(IF(U295="",0,CEILING((U295/$H295),1)*$H295),"")</f>
        <v/>
      </c>
      <c r="W295" s="42">
        <f>IFERROR(IF(V295=0,"",ROUNDUP(V295/H295,0)*0.02175),"")</f>
        <v/>
      </c>
      <c r="X295" s="69" t="inlineStr"/>
      <c r="Y295" s="70" t="inlineStr"/>
      <c r="AC295" s="236" t="inlineStr">
        <is>
          <t>КИ</t>
        </is>
      </c>
    </row>
    <row r="296" ht="27" customHeight="1">
      <c r="A296" s="64" t="inlineStr">
        <is>
          <t>SU002899</t>
        </is>
      </c>
      <c r="B296" s="64" t="inlineStr">
        <is>
          <t>P003323</t>
        </is>
      </c>
      <c r="C296" s="37" t="n">
        <v>4301011483</v>
      </c>
      <c r="D296" s="356" t="n">
        <v>4680115881907</v>
      </c>
      <c r="E296" s="601" t="n"/>
      <c r="F296" s="633" t="n">
        <v>1.8</v>
      </c>
      <c r="G296" s="38" t="n">
        <v>6</v>
      </c>
      <c r="H296" s="633" t="n">
        <v>10.8</v>
      </c>
      <c r="I296" s="633" t="n">
        <v>11.28</v>
      </c>
      <c r="J296" s="38" t="n">
        <v>56</v>
      </c>
      <c r="K296" s="39" t="inlineStr">
        <is>
          <t>СК2</t>
        </is>
      </c>
      <c r="L296" s="38" t="n">
        <v>60</v>
      </c>
      <c r="M296" s="803" t="inlineStr">
        <is>
          <t>Вареные колбасы "Молочная оригинальная" Вес П/а ТМ "Особый рецепт" большой батон</t>
        </is>
      </c>
      <c r="N296" s="635" t="n"/>
      <c r="O296" s="635" t="n"/>
      <c r="P296" s="635" t="n"/>
      <c r="Q296" s="601" t="n"/>
      <c r="R296" s="40" t="inlineStr"/>
      <c r="S296" s="40" t="inlineStr"/>
      <c r="T296" s="41" t="inlineStr">
        <is>
          <t>кг</t>
        </is>
      </c>
      <c r="U296" s="636" t="n">
        <v>0</v>
      </c>
      <c r="V296" s="637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237" t="inlineStr">
        <is>
          <t>КИ</t>
        </is>
      </c>
    </row>
    <row r="297" ht="27" customHeight="1">
      <c r="A297" s="64" t="inlineStr">
        <is>
          <t>SU002462</t>
        </is>
      </c>
      <c r="B297" s="64" t="inlineStr">
        <is>
          <t>P002768</t>
        </is>
      </c>
      <c r="C297" s="37" t="n">
        <v>4301011303</v>
      </c>
      <c r="D297" s="356" t="n">
        <v>4607091384680</v>
      </c>
      <c r="E297" s="601" t="n"/>
      <c r="F297" s="633" t="n">
        <v>0.4</v>
      </c>
      <c r="G297" s="38" t="n">
        <v>10</v>
      </c>
      <c r="H297" s="633" t="n">
        <v>4</v>
      </c>
      <c r="I297" s="633" t="n">
        <v>4.21</v>
      </c>
      <c r="J297" s="38" t="n">
        <v>120</v>
      </c>
      <c r="K297" s="39" t="inlineStr">
        <is>
          <t>СК2</t>
        </is>
      </c>
      <c r="L297" s="38" t="n">
        <v>60</v>
      </c>
      <c r="M297" s="80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297" s="635" t="n"/>
      <c r="O297" s="635" t="n"/>
      <c r="P297" s="635" t="n"/>
      <c r="Q297" s="601" t="n"/>
      <c r="R297" s="40" t="inlineStr"/>
      <c r="S297" s="40" t="inlineStr"/>
      <c r="T297" s="41" t="inlineStr">
        <is>
          <t>кг</t>
        </is>
      </c>
      <c r="U297" s="636" t="n">
        <v>0</v>
      </c>
      <c r="V297" s="637">
        <f>IFERROR(IF(U297="",0,CEILING((U297/$H297),1)*$H297),"")</f>
        <v/>
      </c>
      <c r="W297" s="42">
        <f>IFERROR(IF(V297=0,"",ROUNDUP(V297/H297,0)*0.00937),"")</f>
        <v/>
      </c>
      <c r="X297" s="69" t="inlineStr"/>
      <c r="Y297" s="70" t="inlineStr"/>
      <c r="AC297" s="238" t="inlineStr">
        <is>
          <t>КИ</t>
        </is>
      </c>
    </row>
    <row r="298">
      <c r="A298" s="364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38" t="n"/>
      <c r="M298" s="639" t="inlineStr">
        <is>
          <t>Итого</t>
        </is>
      </c>
      <c r="N298" s="609" t="n"/>
      <c r="O298" s="609" t="n"/>
      <c r="P298" s="609" t="n"/>
      <c r="Q298" s="609" t="n"/>
      <c r="R298" s="609" t="n"/>
      <c r="S298" s="610" t="n"/>
      <c r="T298" s="43" t="inlineStr">
        <is>
          <t>кор</t>
        </is>
      </c>
      <c r="U298" s="640">
        <f>IFERROR(U294/H294,"0")+IFERROR(U295/H295,"0")+IFERROR(U296/H296,"0")+IFERROR(U297/H297,"0")</f>
        <v/>
      </c>
      <c r="V298" s="640">
        <f>IFERROR(V294/H294,"0")+IFERROR(V295/H295,"0")+IFERROR(V296/H296,"0")+IFERROR(V297/H297,"0")</f>
        <v/>
      </c>
      <c r="W298" s="640">
        <f>IFERROR(IF(W294="",0,W294),"0")+IFERROR(IF(W295="",0,W295),"0")+IFERROR(IF(W296="",0,W296),"0")+IFERROR(IF(W297="",0,W297),"0")</f>
        <v/>
      </c>
      <c r="X298" s="641" t="n"/>
      <c r="Y298" s="641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638" t="n"/>
      <c r="M299" s="639" t="inlineStr">
        <is>
          <t>Итого</t>
        </is>
      </c>
      <c r="N299" s="609" t="n"/>
      <c r="O299" s="609" t="n"/>
      <c r="P299" s="609" t="n"/>
      <c r="Q299" s="609" t="n"/>
      <c r="R299" s="609" t="n"/>
      <c r="S299" s="610" t="n"/>
      <c r="T299" s="43" t="inlineStr">
        <is>
          <t>кг</t>
        </is>
      </c>
      <c r="U299" s="640">
        <f>IFERROR(SUM(U294:U297),"0")</f>
        <v/>
      </c>
      <c r="V299" s="640">
        <f>IFERROR(SUM(V294:V297),"0")</f>
        <v/>
      </c>
      <c r="W299" s="43" t="n"/>
      <c r="X299" s="641" t="n"/>
      <c r="Y299" s="641" t="n"/>
    </row>
    <row r="300" ht="14.25" customHeight="1">
      <c r="A300" s="355" t="inlineStr">
        <is>
          <t>Копченые колбасы</t>
        </is>
      </c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355" t="n"/>
      <c r="Y300" s="355" t="n"/>
    </row>
    <row r="301" ht="27" customHeight="1">
      <c r="A301" s="64" t="inlineStr">
        <is>
          <t>SU002360</t>
        </is>
      </c>
      <c r="B301" s="64" t="inlineStr">
        <is>
          <t>P002629</t>
        </is>
      </c>
      <c r="C301" s="37" t="n">
        <v>4301031139</v>
      </c>
      <c r="D301" s="356" t="n">
        <v>4607091384802</v>
      </c>
      <c r="E301" s="601" t="n"/>
      <c r="F301" s="633" t="n">
        <v>0.73</v>
      </c>
      <c r="G301" s="38" t="n">
        <v>6</v>
      </c>
      <c r="H301" s="633" t="n">
        <v>4.38</v>
      </c>
      <c r="I301" s="633" t="n">
        <v>4.58</v>
      </c>
      <c r="J301" s="38" t="n">
        <v>156</v>
      </c>
      <c r="K301" s="39" t="inlineStr">
        <is>
          <t>СК2</t>
        </is>
      </c>
      <c r="L301" s="38" t="n">
        <v>35</v>
      </c>
      <c r="M301" s="80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1" s="635" t="n"/>
      <c r="O301" s="635" t="n"/>
      <c r="P301" s="635" t="n"/>
      <c r="Q301" s="601" t="n"/>
      <c r="R301" s="40" t="inlineStr"/>
      <c r="S301" s="40" t="inlineStr"/>
      <c r="T301" s="41" t="inlineStr">
        <is>
          <t>кг</t>
        </is>
      </c>
      <c r="U301" s="636" t="n">
        <v>0</v>
      </c>
      <c r="V301" s="637">
        <f>IFERROR(IF(U301="",0,CEILING((U301/$H301),1)*$H301),"")</f>
        <v/>
      </c>
      <c r="W301" s="42">
        <f>IFERROR(IF(V301=0,"",ROUNDUP(V301/H301,0)*0.00753),"")</f>
        <v/>
      </c>
      <c r="X301" s="69" t="inlineStr"/>
      <c r="Y301" s="70" t="inlineStr"/>
      <c r="AC301" s="239" t="inlineStr">
        <is>
          <t>КИ</t>
        </is>
      </c>
    </row>
    <row r="302" ht="27" customHeight="1">
      <c r="A302" s="64" t="inlineStr">
        <is>
          <t>SU002361</t>
        </is>
      </c>
      <c r="B302" s="64" t="inlineStr">
        <is>
          <t>P002630</t>
        </is>
      </c>
      <c r="C302" s="37" t="n">
        <v>4301031140</v>
      </c>
      <c r="D302" s="356" t="n">
        <v>4607091384826</v>
      </c>
      <c r="E302" s="601" t="n"/>
      <c r="F302" s="633" t="n">
        <v>0.35</v>
      </c>
      <c r="G302" s="38" t="n">
        <v>8</v>
      </c>
      <c r="H302" s="633" t="n">
        <v>2.8</v>
      </c>
      <c r="I302" s="633" t="n">
        <v>2.9</v>
      </c>
      <c r="J302" s="38" t="n">
        <v>234</v>
      </c>
      <c r="K302" s="39" t="inlineStr">
        <is>
          <t>СК2</t>
        </is>
      </c>
      <c r="L302" s="38" t="n">
        <v>35</v>
      </c>
      <c r="M302" s="80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2" s="635" t="n"/>
      <c r="O302" s="635" t="n"/>
      <c r="P302" s="635" t="n"/>
      <c r="Q302" s="601" t="n"/>
      <c r="R302" s="40" t="inlineStr"/>
      <c r="S302" s="40" t="inlineStr"/>
      <c r="T302" s="41" t="inlineStr">
        <is>
          <t>кг</t>
        </is>
      </c>
      <c r="U302" s="636" t="n">
        <v>0</v>
      </c>
      <c r="V302" s="637">
        <f>IFERROR(IF(U302="",0,CEILING((U302/$H302),1)*$H302),"")</f>
        <v/>
      </c>
      <c r="W302" s="42">
        <f>IFERROR(IF(V302=0,"",ROUNDUP(V302/H302,0)*0.00502),"")</f>
        <v/>
      </c>
      <c r="X302" s="69" t="inlineStr"/>
      <c r="Y302" s="70" t="inlineStr"/>
      <c r="AC302" s="240" t="inlineStr">
        <is>
          <t>КИ</t>
        </is>
      </c>
    </row>
    <row r="303">
      <c r="A303" s="364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38" t="n"/>
      <c r="M303" s="639" t="inlineStr">
        <is>
          <t>Итого</t>
        </is>
      </c>
      <c r="N303" s="609" t="n"/>
      <c r="O303" s="609" t="n"/>
      <c r="P303" s="609" t="n"/>
      <c r="Q303" s="609" t="n"/>
      <c r="R303" s="609" t="n"/>
      <c r="S303" s="610" t="n"/>
      <c r="T303" s="43" t="inlineStr">
        <is>
          <t>кор</t>
        </is>
      </c>
      <c r="U303" s="640">
        <f>IFERROR(U301/H301,"0")+IFERROR(U302/H302,"0")</f>
        <v/>
      </c>
      <c r="V303" s="640">
        <f>IFERROR(V301/H301,"0")+IFERROR(V302/H302,"0")</f>
        <v/>
      </c>
      <c r="W303" s="640">
        <f>IFERROR(IF(W301="",0,W301),"0")+IFERROR(IF(W302="",0,W302),"0")</f>
        <v/>
      </c>
      <c r="X303" s="641" t="n"/>
      <c r="Y303" s="641" t="n"/>
    </row>
    <row r="304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638" t="n"/>
      <c r="M304" s="639" t="inlineStr">
        <is>
          <t>Итого</t>
        </is>
      </c>
      <c r="N304" s="609" t="n"/>
      <c r="O304" s="609" t="n"/>
      <c r="P304" s="609" t="n"/>
      <c r="Q304" s="609" t="n"/>
      <c r="R304" s="609" t="n"/>
      <c r="S304" s="610" t="n"/>
      <c r="T304" s="43" t="inlineStr">
        <is>
          <t>кг</t>
        </is>
      </c>
      <c r="U304" s="640">
        <f>IFERROR(SUM(U301:U302),"0")</f>
        <v/>
      </c>
      <c r="V304" s="640">
        <f>IFERROR(SUM(V301:V302),"0")</f>
        <v/>
      </c>
      <c r="W304" s="43" t="n"/>
      <c r="X304" s="641" t="n"/>
      <c r="Y304" s="641" t="n"/>
    </row>
    <row r="305" ht="14.25" customHeight="1">
      <c r="A305" s="355" t="inlineStr">
        <is>
          <t>Сосиски</t>
        </is>
      </c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355" t="n"/>
      <c r="Y305" s="355" t="n"/>
    </row>
    <row r="306" ht="27" customHeight="1">
      <c r="A306" s="64" t="inlineStr">
        <is>
          <t>SU002896</t>
        </is>
      </c>
      <c r="B306" s="64" t="inlineStr">
        <is>
          <t>P003330</t>
        </is>
      </c>
      <c r="C306" s="37" t="n">
        <v>4301051445</v>
      </c>
      <c r="D306" s="356" t="n">
        <v>4680115881976</v>
      </c>
      <c r="E306" s="601" t="n"/>
      <c r="F306" s="633" t="n">
        <v>1.3</v>
      </c>
      <c r="G306" s="38" t="n">
        <v>6</v>
      </c>
      <c r="H306" s="633" t="n">
        <v>7.8</v>
      </c>
      <c r="I306" s="633" t="n">
        <v>8.279999999999999</v>
      </c>
      <c r="J306" s="38" t="n">
        <v>56</v>
      </c>
      <c r="K306" s="39" t="inlineStr">
        <is>
          <t>СК2</t>
        </is>
      </c>
      <c r="L306" s="38" t="n">
        <v>40</v>
      </c>
      <c r="M306" s="807" t="inlineStr">
        <is>
          <t>Сосиски "Сочные без свинины" Весовые ТМ "Особый рецепт" 1,3 кг</t>
        </is>
      </c>
      <c r="N306" s="635" t="n"/>
      <c r="O306" s="635" t="n"/>
      <c r="P306" s="635" t="n"/>
      <c r="Q306" s="601" t="n"/>
      <c r="R306" s="40" t="inlineStr"/>
      <c r="S306" s="40" t="inlineStr"/>
      <c r="T306" s="41" t="inlineStr">
        <is>
          <t>кг</t>
        </is>
      </c>
      <c r="U306" s="636" t="n">
        <v>0</v>
      </c>
      <c r="V306" s="637">
        <f>IFERROR(IF(U306="",0,CEILING((U306/$H306),1)*$H306),"")</f>
        <v/>
      </c>
      <c r="W306" s="42">
        <f>IFERROR(IF(V306=0,"",ROUNDUP(V306/H306,0)*0.02175),"")</f>
        <v/>
      </c>
      <c r="X306" s="69" t="inlineStr"/>
      <c r="Y306" s="70" t="inlineStr">
        <is>
          <t>Новинка</t>
        </is>
      </c>
      <c r="AC306" s="241" t="inlineStr">
        <is>
          <t>КИ</t>
        </is>
      </c>
    </row>
    <row r="307" ht="27" customHeight="1">
      <c r="A307" s="64" t="inlineStr">
        <is>
          <t>SU002895</t>
        </is>
      </c>
      <c r="B307" s="64" t="inlineStr">
        <is>
          <t>P003329</t>
        </is>
      </c>
      <c r="C307" s="37" t="n">
        <v>4301051444</v>
      </c>
      <c r="D307" s="356" t="n">
        <v>4680115881969</v>
      </c>
      <c r="E307" s="601" t="n"/>
      <c r="F307" s="633" t="n">
        <v>0.4</v>
      </c>
      <c r="G307" s="38" t="n">
        <v>6</v>
      </c>
      <c r="H307" s="633" t="n">
        <v>2.4</v>
      </c>
      <c r="I307" s="633" t="n">
        <v>2.6</v>
      </c>
      <c r="J307" s="38" t="n">
        <v>156</v>
      </c>
      <c r="K307" s="39" t="inlineStr">
        <is>
          <t>СК2</t>
        </is>
      </c>
      <c r="L307" s="38" t="n">
        <v>40</v>
      </c>
      <c r="M307" s="808" t="inlineStr">
        <is>
          <t>Сосиски "Сочные без свинины" ф/в 0,4 кг ТМ "Особый рецепт"</t>
        </is>
      </c>
      <c r="N307" s="635" t="n"/>
      <c r="O307" s="635" t="n"/>
      <c r="P307" s="635" t="n"/>
      <c r="Q307" s="601" t="n"/>
      <c r="R307" s="40" t="inlineStr"/>
      <c r="S307" s="40" t="inlineStr"/>
      <c r="T307" s="41" t="inlineStr">
        <is>
          <t>кг</t>
        </is>
      </c>
      <c r="U307" s="636" t="n">
        <v>0</v>
      </c>
      <c r="V307" s="637">
        <f>IFERROR(IF(U307="",0,CEILING((U307/$H307),1)*$H307),"")</f>
        <v/>
      </c>
      <c r="W307" s="42">
        <f>IFERROR(IF(V307=0,"",ROUNDUP(V307/H307,0)*0.00753),"")</f>
        <v/>
      </c>
      <c r="X307" s="69" t="inlineStr"/>
      <c r="Y307" s="70" t="inlineStr">
        <is>
          <t>Новинка</t>
        </is>
      </c>
      <c r="AC307" s="242" t="inlineStr">
        <is>
          <t>КИ</t>
        </is>
      </c>
    </row>
    <row r="308" ht="27" customHeight="1">
      <c r="A308" s="64" t="inlineStr">
        <is>
          <t>SU002074</t>
        </is>
      </c>
      <c r="B308" s="64" t="inlineStr">
        <is>
          <t>P002693</t>
        </is>
      </c>
      <c r="C308" s="37" t="n">
        <v>4301051303</v>
      </c>
      <c r="D308" s="356" t="n">
        <v>4607091384246</v>
      </c>
      <c r="E308" s="601" t="n"/>
      <c r="F308" s="633" t="n">
        <v>1.3</v>
      </c>
      <c r="G308" s="38" t="n">
        <v>6</v>
      </c>
      <c r="H308" s="633" t="n">
        <v>7.8</v>
      </c>
      <c r="I308" s="633" t="n">
        <v>8.364000000000001</v>
      </c>
      <c r="J308" s="38" t="n">
        <v>56</v>
      </c>
      <c r="K308" s="39" t="inlineStr">
        <is>
          <t>СК2</t>
        </is>
      </c>
      <c r="L308" s="38" t="n">
        <v>40</v>
      </c>
      <c r="M308" s="809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08" s="635" t="n"/>
      <c r="O308" s="635" t="n"/>
      <c r="P308" s="635" t="n"/>
      <c r="Q308" s="601" t="n"/>
      <c r="R308" s="40" t="inlineStr"/>
      <c r="S308" s="40" t="inlineStr"/>
      <c r="T308" s="41" t="inlineStr">
        <is>
          <t>кг</t>
        </is>
      </c>
      <c r="U308" s="636" t="n">
        <v>0</v>
      </c>
      <c r="V308" s="637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243" t="inlineStr">
        <is>
          <t>КИ</t>
        </is>
      </c>
    </row>
    <row r="309" ht="27" customHeight="1">
      <c r="A309" s="64" t="inlineStr">
        <is>
          <t>SU002205</t>
        </is>
      </c>
      <c r="B309" s="64" t="inlineStr">
        <is>
          <t>P002694</t>
        </is>
      </c>
      <c r="C309" s="37" t="n">
        <v>4301051297</v>
      </c>
      <c r="D309" s="356" t="n">
        <v>4607091384253</v>
      </c>
      <c r="E309" s="601" t="n"/>
      <c r="F309" s="633" t="n">
        <v>0.4</v>
      </c>
      <c r="G309" s="38" t="n">
        <v>6</v>
      </c>
      <c r="H309" s="633" t="n">
        <v>2.4</v>
      </c>
      <c r="I309" s="633" t="n">
        <v>2.684</v>
      </c>
      <c r="J309" s="38" t="n">
        <v>156</v>
      </c>
      <c r="K309" s="39" t="inlineStr">
        <is>
          <t>СК2</t>
        </is>
      </c>
      <c r="L309" s="38" t="n">
        <v>40</v>
      </c>
      <c r="M309" s="810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09" s="635" t="n"/>
      <c r="O309" s="635" t="n"/>
      <c r="P309" s="635" t="n"/>
      <c r="Q309" s="601" t="n"/>
      <c r="R309" s="40" t="inlineStr"/>
      <c r="S309" s="40" t="inlineStr"/>
      <c r="T309" s="41" t="inlineStr">
        <is>
          <t>кг</t>
        </is>
      </c>
      <c r="U309" s="636" t="n">
        <v>0</v>
      </c>
      <c r="V309" s="637">
        <f>IFERROR(IF(U309="",0,CEILING((U309/$H309),1)*$H309),"")</f>
        <v/>
      </c>
      <c r="W309" s="42">
        <f>IFERROR(IF(V309=0,"",ROUNDUP(V309/H309,0)*0.00753),"")</f>
        <v/>
      </c>
      <c r="X309" s="69" t="inlineStr"/>
      <c r="Y309" s="70" t="inlineStr"/>
      <c r="AC309" s="244" t="inlineStr">
        <is>
          <t>КИ</t>
        </is>
      </c>
    </row>
    <row r="310">
      <c r="A310" s="364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38" t="n"/>
      <c r="M310" s="639" t="inlineStr">
        <is>
          <t>Итого</t>
        </is>
      </c>
      <c r="N310" s="609" t="n"/>
      <c r="O310" s="609" t="n"/>
      <c r="P310" s="609" t="n"/>
      <c r="Q310" s="609" t="n"/>
      <c r="R310" s="609" t="n"/>
      <c r="S310" s="610" t="n"/>
      <c r="T310" s="43" t="inlineStr">
        <is>
          <t>кор</t>
        </is>
      </c>
      <c r="U310" s="640">
        <f>IFERROR(U306/H306,"0")+IFERROR(U307/H307,"0")+IFERROR(U308/H308,"0")+IFERROR(U309/H309,"0")</f>
        <v/>
      </c>
      <c r="V310" s="640">
        <f>IFERROR(V306/H306,"0")+IFERROR(V307/H307,"0")+IFERROR(V308/H308,"0")+IFERROR(V309/H309,"0")</f>
        <v/>
      </c>
      <c r="W310" s="640">
        <f>IFERROR(IF(W306="",0,W306),"0")+IFERROR(IF(W307="",0,W307),"0")+IFERROR(IF(W308="",0,W308),"0")+IFERROR(IF(W309="",0,W309),"0")</f>
        <v/>
      </c>
      <c r="X310" s="641" t="n"/>
      <c r="Y310" s="641" t="n"/>
    </row>
    <row r="311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638" t="n"/>
      <c r="M311" s="639" t="inlineStr">
        <is>
          <t>Итого</t>
        </is>
      </c>
      <c r="N311" s="609" t="n"/>
      <c r="O311" s="609" t="n"/>
      <c r="P311" s="609" t="n"/>
      <c r="Q311" s="609" t="n"/>
      <c r="R311" s="609" t="n"/>
      <c r="S311" s="610" t="n"/>
      <c r="T311" s="43" t="inlineStr">
        <is>
          <t>кг</t>
        </is>
      </c>
      <c r="U311" s="640">
        <f>IFERROR(SUM(U306:U309),"0")</f>
        <v/>
      </c>
      <c r="V311" s="640">
        <f>IFERROR(SUM(V306:V309),"0")</f>
        <v/>
      </c>
      <c r="W311" s="43" t="n"/>
      <c r="X311" s="641" t="n"/>
      <c r="Y311" s="641" t="n"/>
    </row>
    <row r="312" ht="14.25" customHeight="1">
      <c r="A312" s="355" t="inlineStr">
        <is>
          <t>Сардельки</t>
        </is>
      </c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355" t="n"/>
      <c r="Y312" s="355" t="n"/>
    </row>
    <row r="313" ht="27" customHeight="1">
      <c r="A313" s="64" t="inlineStr">
        <is>
          <t>SU002472</t>
        </is>
      </c>
      <c r="B313" s="64" t="inlineStr">
        <is>
          <t>P002973</t>
        </is>
      </c>
      <c r="C313" s="37" t="n">
        <v>4301060322</v>
      </c>
      <c r="D313" s="356" t="n">
        <v>4607091389357</v>
      </c>
      <c r="E313" s="601" t="n"/>
      <c r="F313" s="633" t="n">
        <v>1.3</v>
      </c>
      <c r="G313" s="38" t="n">
        <v>6</v>
      </c>
      <c r="H313" s="633" t="n">
        <v>7.8</v>
      </c>
      <c r="I313" s="633" t="n">
        <v>8.279999999999999</v>
      </c>
      <c r="J313" s="38" t="n">
        <v>56</v>
      </c>
      <c r="K313" s="39" t="inlineStr">
        <is>
          <t>СК2</t>
        </is>
      </c>
      <c r="L313" s="38" t="n">
        <v>40</v>
      </c>
      <c r="M313" s="811" t="inlineStr">
        <is>
          <t>Сардельки Левантские Особая Без свинины Весовые NDX мгс Особый рецепт</t>
        </is>
      </c>
      <c r="N313" s="635" t="n"/>
      <c r="O313" s="635" t="n"/>
      <c r="P313" s="635" t="n"/>
      <c r="Q313" s="601" t="n"/>
      <c r="R313" s="40" t="inlineStr"/>
      <c r="S313" s="40" t="inlineStr"/>
      <c r="T313" s="41" t="inlineStr">
        <is>
          <t>кг</t>
        </is>
      </c>
      <c r="U313" s="636" t="n">
        <v>0</v>
      </c>
      <c r="V313" s="637">
        <f>IFERROR(IF(U313="",0,CEILING((U313/$H313),1)*$H313),"")</f>
        <v/>
      </c>
      <c r="W313" s="42">
        <f>IFERROR(IF(V313=0,"",ROUNDUP(V313/H313,0)*0.02175),"")</f>
        <v/>
      </c>
      <c r="X313" s="69" t="inlineStr"/>
      <c r="Y313" s="70" t="inlineStr"/>
      <c r="AC313" s="245" t="inlineStr">
        <is>
          <t>КИ</t>
        </is>
      </c>
    </row>
    <row r="314">
      <c r="A314" s="364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38" t="n"/>
      <c r="M314" s="639" t="inlineStr">
        <is>
          <t>Итого</t>
        </is>
      </c>
      <c r="N314" s="609" t="n"/>
      <c r="O314" s="609" t="n"/>
      <c r="P314" s="609" t="n"/>
      <c r="Q314" s="609" t="n"/>
      <c r="R314" s="609" t="n"/>
      <c r="S314" s="610" t="n"/>
      <c r="T314" s="43" t="inlineStr">
        <is>
          <t>кор</t>
        </is>
      </c>
      <c r="U314" s="640">
        <f>IFERROR(U313/H313,"0")</f>
        <v/>
      </c>
      <c r="V314" s="640">
        <f>IFERROR(V313/H313,"0")</f>
        <v/>
      </c>
      <c r="W314" s="640">
        <f>IFERROR(IF(W313="",0,W313),"0")</f>
        <v/>
      </c>
      <c r="X314" s="641" t="n"/>
      <c r="Y314" s="641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38" t="n"/>
      <c r="M315" s="639" t="inlineStr">
        <is>
          <t>Итого</t>
        </is>
      </c>
      <c r="N315" s="609" t="n"/>
      <c r="O315" s="609" t="n"/>
      <c r="P315" s="609" t="n"/>
      <c r="Q315" s="609" t="n"/>
      <c r="R315" s="609" t="n"/>
      <c r="S315" s="610" t="n"/>
      <c r="T315" s="43" t="inlineStr">
        <is>
          <t>кг</t>
        </is>
      </c>
      <c r="U315" s="640">
        <f>IFERROR(SUM(U313:U313),"0")</f>
        <v/>
      </c>
      <c r="V315" s="640">
        <f>IFERROR(SUM(V313:V313),"0")</f>
        <v/>
      </c>
      <c r="W315" s="43" t="n"/>
      <c r="X315" s="641" t="n"/>
      <c r="Y315" s="641" t="n"/>
    </row>
    <row r="316" ht="27.75" customHeight="1">
      <c r="A316" s="353" t="inlineStr">
        <is>
          <t>Баварушка</t>
        </is>
      </c>
      <c r="B316" s="632" t="n"/>
      <c r="C316" s="632" t="n"/>
      <c r="D316" s="632" t="n"/>
      <c r="E316" s="632" t="n"/>
      <c r="F316" s="632" t="n"/>
      <c r="G316" s="632" t="n"/>
      <c r="H316" s="632" t="n"/>
      <c r="I316" s="632" t="n"/>
      <c r="J316" s="632" t="n"/>
      <c r="K316" s="632" t="n"/>
      <c r="L316" s="632" t="n"/>
      <c r="M316" s="632" t="n"/>
      <c r="N316" s="632" t="n"/>
      <c r="O316" s="632" t="n"/>
      <c r="P316" s="632" t="n"/>
      <c r="Q316" s="632" t="n"/>
      <c r="R316" s="632" t="n"/>
      <c r="S316" s="632" t="n"/>
      <c r="T316" s="632" t="n"/>
      <c r="U316" s="632" t="n"/>
      <c r="V316" s="632" t="n"/>
      <c r="W316" s="632" t="n"/>
      <c r="X316" s="55" t="n"/>
      <c r="Y316" s="55" t="n"/>
    </row>
    <row r="317" ht="16.5" customHeight="1">
      <c r="A317" s="354" t="inlineStr">
        <is>
          <t>Филейбургская</t>
        </is>
      </c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354" t="n"/>
      <c r="Y317" s="354" t="n"/>
    </row>
    <row r="318" ht="14.25" customHeight="1">
      <c r="A318" s="355" t="inlineStr">
        <is>
          <t>Вареные колбасы</t>
        </is>
      </c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355" t="n"/>
      <c r="Y318" s="355" t="n"/>
    </row>
    <row r="319" ht="27" customHeight="1">
      <c r="A319" s="64" t="inlineStr">
        <is>
          <t>SU002477</t>
        </is>
      </c>
      <c r="B319" s="64" t="inlineStr">
        <is>
          <t>P003148</t>
        </is>
      </c>
      <c r="C319" s="37" t="n">
        <v>4301011428</v>
      </c>
      <c r="D319" s="356" t="n">
        <v>4607091389708</v>
      </c>
      <c r="E319" s="601" t="n"/>
      <c r="F319" s="633" t="n">
        <v>0.45</v>
      </c>
      <c r="G319" s="38" t="n">
        <v>6</v>
      </c>
      <c r="H319" s="633" t="n">
        <v>2.7</v>
      </c>
      <c r="I319" s="633" t="n">
        <v>2.9</v>
      </c>
      <c r="J319" s="38" t="n">
        <v>156</v>
      </c>
      <c r="K319" s="39" t="inlineStr">
        <is>
          <t>СК1</t>
        </is>
      </c>
      <c r="L319" s="38" t="n">
        <v>50</v>
      </c>
      <c r="M319" s="81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19" s="635" t="n"/>
      <c r="O319" s="635" t="n"/>
      <c r="P319" s="635" t="n"/>
      <c r="Q319" s="601" t="n"/>
      <c r="R319" s="40" t="inlineStr"/>
      <c r="S319" s="40" t="inlineStr"/>
      <c r="T319" s="41" t="inlineStr">
        <is>
          <t>кг</t>
        </is>
      </c>
      <c r="U319" s="636" t="n">
        <v>0</v>
      </c>
      <c r="V319" s="637">
        <f>IFERROR(IF(U319="",0,CEILING((U319/$H319),1)*$H319),"")</f>
        <v/>
      </c>
      <c r="W319" s="42">
        <f>IFERROR(IF(V319=0,"",ROUNDUP(V319/H319,0)*0.00753),"")</f>
        <v/>
      </c>
      <c r="X319" s="69" t="inlineStr"/>
      <c r="Y319" s="70" t="inlineStr"/>
      <c r="AC319" s="246" t="inlineStr">
        <is>
          <t>КИ</t>
        </is>
      </c>
    </row>
    <row r="320" ht="27" customHeight="1">
      <c r="A320" s="64" t="inlineStr">
        <is>
          <t>SU002476</t>
        </is>
      </c>
      <c r="B320" s="64" t="inlineStr">
        <is>
          <t>P003147</t>
        </is>
      </c>
      <c r="C320" s="37" t="n">
        <v>4301011427</v>
      </c>
      <c r="D320" s="356" t="n">
        <v>4607091389692</v>
      </c>
      <c r="E320" s="601" t="n"/>
      <c r="F320" s="633" t="n">
        <v>0.45</v>
      </c>
      <c r="G320" s="38" t="n">
        <v>6</v>
      </c>
      <c r="H320" s="633" t="n">
        <v>2.7</v>
      </c>
      <c r="I320" s="633" t="n">
        <v>2.9</v>
      </c>
      <c r="J320" s="38" t="n">
        <v>156</v>
      </c>
      <c r="K320" s="39" t="inlineStr">
        <is>
          <t>СК1</t>
        </is>
      </c>
      <c r="L320" s="38" t="n">
        <v>50</v>
      </c>
      <c r="M320" s="813" t="inlineStr">
        <is>
          <t>Вареные колбасы Филейбургская Филейбургская Фикс.Вес 0,45 П/а Баварушка</t>
        </is>
      </c>
      <c r="N320" s="635" t="n"/>
      <c r="O320" s="635" t="n"/>
      <c r="P320" s="635" t="n"/>
      <c r="Q320" s="601" t="n"/>
      <c r="R320" s="40" t="inlineStr"/>
      <c r="S320" s="40" t="inlineStr"/>
      <c r="T320" s="41" t="inlineStr">
        <is>
          <t>кг</t>
        </is>
      </c>
      <c r="U320" s="636" t="n">
        <v>0</v>
      </c>
      <c r="V320" s="637">
        <f>IFERROR(IF(U320="",0,CEILING((U320/$H320),1)*$H320),"")</f>
        <v/>
      </c>
      <c r="W320" s="42">
        <f>IFERROR(IF(V320=0,"",ROUNDUP(V320/H320,0)*0.00753),"")</f>
        <v/>
      </c>
      <c r="X320" s="69" t="inlineStr"/>
      <c r="Y320" s="70" t="inlineStr"/>
      <c r="AC320" s="247" t="inlineStr">
        <is>
          <t>КИ</t>
        </is>
      </c>
    </row>
    <row r="321">
      <c r="A321" s="364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38" t="n"/>
      <c r="M321" s="639" t="inlineStr">
        <is>
          <t>Итого</t>
        </is>
      </c>
      <c r="N321" s="609" t="n"/>
      <c r="O321" s="609" t="n"/>
      <c r="P321" s="609" t="n"/>
      <c r="Q321" s="609" t="n"/>
      <c r="R321" s="609" t="n"/>
      <c r="S321" s="610" t="n"/>
      <c r="T321" s="43" t="inlineStr">
        <is>
          <t>кор</t>
        </is>
      </c>
      <c r="U321" s="640">
        <f>IFERROR(U319/H319,"0")+IFERROR(U320/H320,"0")</f>
        <v/>
      </c>
      <c r="V321" s="640">
        <f>IFERROR(V319/H319,"0")+IFERROR(V320/H320,"0")</f>
        <v/>
      </c>
      <c r="W321" s="640">
        <f>IFERROR(IF(W319="",0,W319),"0")+IFERROR(IF(W320="",0,W320),"0")</f>
        <v/>
      </c>
      <c r="X321" s="641" t="n"/>
      <c r="Y321" s="641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38" t="n"/>
      <c r="M322" s="639" t="inlineStr">
        <is>
          <t>Итого</t>
        </is>
      </c>
      <c r="N322" s="609" t="n"/>
      <c r="O322" s="609" t="n"/>
      <c r="P322" s="609" t="n"/>
      <c r="Q322" s="609" t="n"/>
      <c r="R322" s="609" t="n"/>
      <c r="S322" s="610" t="n"/>
      <c r="T322" s="43" t="inlineStr">
        <is>
          <t>кг</t>
        </is>
      </c>
      <c r="U322" s="640">
        <f>IFERROR(SUM(U319:U320),"0")</f>
        <v/>
      </c>
      <c r="V322" s="640">
        <f>IFERROR(SUM(V319:V320),"0")</f>
        <v/>
      </c>
      <c r="W322" s="43" t="n"/>
      <c r="X322" s="641" t="n"/>
      <c r="Y322" s="641" t="n"/>
    </row>
    <row r="323" ht="14.25" customHeight="1">
      <c r="A323" s="355" t="inlineStr">
        <is>
          <t>Копченые колбасы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355" t="n"/>
      <c r="Y323" s="355" t="n"/>
    </row>
    <row r="324" ht="27" customHeight="1">
      <c r="A324" s="64" t="inlineStr">
        <is>
          <t>SU002614</t>
        </is>
      </c>
      <c r="B324" s="64" t="inlineStr">
        <is>
          <t>P003138</t>
        </is>
      </c>
      <c r="C324" s="37" t="n">
        <v>4301031177</v>
      </c>
      <c r="D324" s="356" t="n">
        <v>4607091389753</v>
      </c>
      <c r="E324" s="601" t="n"/>
      <c r="F324" s="633" t="n">
        <v>0.7</v>
      </c>
      <c r="G324" s="38" t="n">
        <v>6</v>
      </c>
      <c r="H324" s="633" t="n">
        <v>4.2</v>
      </c>
      <c r="I324" s="633" t="n">
        <v>4.43</v>
      </c>
      <c r="J324" s="38" t="n">
        <v>156</v>
      </c>
      <c r="K324" s="39" t="inlineStr">
        <is>
          <t>СК2</t>
        </is>
      </c>
      <c r="L324" s="38" t="n">
        <v>45</v>
      </c>
      <c r="M324" s="81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24" s="635" t="n"/>
      <c r="O324" s="635" t="n"/>
      <c r="P324" s="635" t="n"/>
      <c r="Q324" s="601" t="n"/>
      <c r="R324" s="40" t="inlineStr"/>
      <c r="S324" s="40" t="inlineStr"/>
      <c r="T324" s="41" t="inlineStr">
        <is>
          <t>кг</t>
        </is>
      </c>
      <c r="U324" s="636" t="n">
        <v>100</v>
      </c>
      <c r="V324" s="637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248" t="inlineStr">
        <is>
          <t>КИ</t>
        </is>
      </c>
    </row>
    <row r="325" ht="27" customHeight="1">
      <c r="A325" s="64" t="inlineStr">
        <is>
          <t>SU002615</t>
        </is>
      </c>
      <c r="B325" s="64" t="inlineStr">
        <is>
          <t>P003136</t>
        </is>
      </c>
      <c r="C325" s="37" t="n">
        <v>4301031174</v>
      </c>
      <c r="D325" s="356" t="n">
        <v>4607091389760</v>
      </c>
      <c r="E325" s="601" t="n"/>
      <c r="F325" s="633" t="n">
        <v>0.7</v>
      </c>
      <c r="G325" s="38" t="n">
        <v>6</v>
      </c>
      <c r="H325" s="633" t="n">
        <v>4.2</v>
      </c>
      <c r="I325" s="633" t="n">
        <v>4.43</v>
      </c>
      <c r="J325" s="38" t="n">
        <v>156</v>
      </c>
      <c r="K325" s="39" t="inlineStr">
        <is>
          <t>СК2</t>
        </is>
      </c>
      <c r="L325" s="38" t="n">
        <v>45</v>
      </c>
      <c r="M325" s="81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25" s="635" t="n"/>
      <c r="O325" s="635" t="n"/>
      <c r="P325" s="635" t="n"/>
      <c r="Q325" s="601" t="n"/>
      <c r="R325" s="40" t="inlineStr"/>
      <c r="S325" s="40" t="inlineStr"/>
      <c r="T325" s="41" t="inlineStr">
        <is>
          <t>кг</t>
        </is>
      </c>
      <c r="U325" s="636" t="n">
        <v>0</v>
      </c>
      <c r="V325" s="637">
        <f>IFERROR(IF(U325="",0,CEILING((U325/$H325),1)*$H325),"")</f>
        <v/>
      </c>
      <c r="W325" s="42">
        <f>IFERROR(IF(V325=0,"",ROUNDUP(V325/H325,0)*0.00753),"")</f>
        <v/>
      </c>
      <c r="X325" s="69" t="inlineStr"/>
      <c r="Y325" s="70" t="inlineStr"/>
      <c r="AC325" s="249" t="inlineStr">
        <is>
          <t>КИ</t>
        </is>
      </c>
    </row>
    <row r="326" ht="27" customHeight="1">
      <c r="A326" s="64" t="inlineStr">
        <is>
          <t>SU002613</t>
        </is>
      </c>
      <c r="B326" s="64" t="inlineStr">
        <is>
          <t>P003133</t>
        </is>
      </c>
      <c r="C326" s="37" t="n">
        <v>4301031175</v>
      </c>
      <c r="D326" s="356" t="n">
        <v>4607091389746</v>
      </c>
      <c r="E326" s="601" t="n"/>
      <c r="F326" s="633" t="n">
        <v>0.7</v>
      </c>
      <c r="G326" s="38" t="n">
        <v>6</v>
      </c>
      <c r="H326" s="633" t="n">
        <v>4.2</v>
      </c>
      <c r="I326" s="633" t="n">
        <v>4.43</v>
      </c>
      <c r="J326" s="38" t="n">
        <v>156</v>
      </c>
      <c r="K326" s="39" t="inlineStr">
        <is>
          <t>СК2</t>
        </is>
      </c>
      <c r="L326" s="38" t="n">
        <v>45</v>
      </c>
      <c r="M326" s="81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26" s="635" t="n"/>
      <c r="O326" s="635" t="n"/>
      <c r="P326" s="635" t="n"/>
      <c r="Q326" s="601" t="n"/>
      <c r="R326" s="40" t="inlineStr"/>
      <c r="S326" s="40" t="inlineStr"/>
      <c r="T326" s="41" t="inlineStr">
        <is>
          <t>кг</t>
        </is>
      </c>
      <c r="U326" s="636" t="n">
        <v>0</v>
      </c>
      <c r="V326" s="637">
        <f>IFERROR(IF(U326="",0,CEILING((U326/$H326),1)*$H326),"")</f>
        <v/>
      </c>
      <c r="W326" s="42">
        <f>IFERROR(IF(V326=0,"",ROUNDUP(V326/H326,0)*0.00753),"")</f>
        <v/>
      </c>
      <c r="X326" s="69" t="inlineStr"/>
      <c r="Y326" s="70" t="inlineStr"/>
      <c r="AC326" s="250" t="inlineStr">
        <is>
          <t>КИ</t>
        </is>
      </c>
    </row>
    <row r="327" ht="27" customHeight="1">
      <c r="A327" s="64" t="inlineStr">
        <is>
          <t>SU002538</t>
        </is>
      </c>
      <c r="B327" s="64" t="inlineStr">
        <is>
          <t>P003139</t>
        </is>
      </c>
      <c r="C327" s="37" t="n">
        <v>4301031178</v>
      </c>
      <c r="D327" s="356" t="n">
        <v>4607091384338</v>
      </c>
      <c r="E327" s="601" t="n"/>
      <c r="F327" s="633" t="n">
        <v>0.35</v>
      </c>
      <c r="G327" s="38" t="n">
        <v>6</v>
      </c>
      <c r="H327" s="633" t="n">
        <v>2.1</v>
      </c>
      <c r="I327" s="633" t="n">
        <v>2.23</v>
      </c>
      <c r="J327" s="38" t="n">
        <v>234</v>
      </c>
      <c r="K327" s="39" t="inlineStr">
        <is>
          <t>СК2</t>
        </is>
      </c>
      <c r="L327" s="38" t="n">
        <v>45</v>
      </c>
      <c r="M327" s="817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27" s="635" t="n"/>
      <c r="O327" s="635" t="n"/>
      <c r="P327" s="635" t="n"/>
      <c r="Q327" s="601" t="n"/>
      <c r="R327" s="40" t="inlineStr"/>
      <c r="S327" s="40" t="inlineStr"/>
      <c r="T327" s="41" t="inlineStr">
        <is>
          <t>кг</t>
        </is>
      </c>
      <c r="U327" s="636" t="n">
        <v>0</v>
      </c>
      <c r="V327" s="637">
        <f>IFERROR(IF(U327="",0,CEILING((U327/$H327),1)*$H327),"")</f>
        <v/>
      </c>
      <c r="W327" s="42">
        <f>IFERROR(IF(V327=0,"",ROUNDUP(V327/H327,0)*0.00502),"")</f>
        <v/>
      </c>
      <c r="X327" s="69" t="inlineStr"/>
      <c r="Y327" s="70" t="inlineStr"/>
      <c r="AC327" s="251" t="inlineStr">
        <is>
          <t>КИ</t>
        </is>
      </c>
    </row>
    <row r="328" ht="37.5" customHeight="1">
      <c r="A328" s="64" t="inlineStr">
        <is>
          <t>SU002602</t>
        </is>
      </c>
      <c r="B328" s="64" t="inlineStr">
        <is>
          <t>P003132</t>
        </is>
      </c>
      <c r="C328" s="37" t="n">
        <v>4301031171</v>
      </c>
      <c r="D328" s="356" t="n">
        <v>4607091389524</v>
      </c>
      <c r="E328" s="601" t="n"/>
      <c r="F328" s="633" t="n">
        <v>0.35</v>
      </c>
      <c r="G328" s="38" t="n">
        <v>6</v>
      </c>
      <c r="H328" s="633" t="n">
        <v>2.1</v>
      </c>
      <c r="I328" s="633" t="n">
        <v>2.23</v>
      </c>
      <c r="J328" s="38" t="n">
        <v>234</v>
      </c>
      <c r="K328" s="39" t="inlineStr">
        <is>
          <t>СК2</t>
        </is>
      </c>
      <c r="L328" s="38" t="n">
        <v>45</v>
      </c>
      <c r="M328" s="818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28" s="635" t="n"/>
      <c r="O328" s="635" t="n"/>
      <c r="P328" s="635" t="n"/>
      <c r="Q328" s="601" t="n"/>
      <c r="R328" s="40" t="inlineStr"/>
      <c r="S328" s="40" t="inlineStr"/>
      <c r="T328" s="41" t="inlineStr">
        <is>
          <t>кг</t>
        </is>
      </c>
      <c r="U328" s="636" t="n">
        <v>0</v>
      </c>
      <c r="V328" s="637">
        <f>IFERROR(IF(U328="",0,CEILING((U328/$H328),1)*$H328),"")</f>
        <v/>
      </c>
      <c r="W328" s="42">
        <f>IFERROR(IF(V328=0,"",ROUNDUP(V328/H328,0)*0.00502),"")</f>
        <v/>
      </c>
      <c r="X328" s="69" t="inlineStr"/>
      <c r="Y328" s="70" t="inlineStr"/>
      <c r="AC328" s="252" t="inlineStr">
        <is>
          <t>КИ</t>
        </is>
      </c>
    </row>
    <row r="329" ht="27" customHeight="1">
      <c r="A329" s="64" t="inlineStr">
        <is>
          <t>SU002603</t>
        </is>
      </c>
      <c r="B329" s="64" t="inlineStr">
        <is>
          <t>P003131</t>
        </is>
      </c>
      <c r="C329" s="37" t="n">
        <v>4301031170</v>
      </c>
      <c r="D329" s="356" t="n">
        <v>4607091384345</v>
      </c>
      <c r="E329" s="601" t="n"/>
      <c r="F329" s="633" t="n">
        <v>0.35</v>
      </c>
      <c r="G329" s="38" t="n">
        <v>6</v>
      </c>
      <c r="H329" s="633" t="n">
        <v>2.1</v>
      </c>
      <c r="I329" s="633" t="n">
        <v>2.23</v>
      </c>
      <c r="J329" s="38" t="n">
        <v>234</v>
      </c>
      <c r="K329" s="39" t="inlineStr">
        <is>
          <t>СК2</t>
        </is>
      </c>
      <c r="L329" s="38" t="n">
        <v>45</v>
      </c>
      <c r="M329" s="819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29" s="635" t="n"/>
      <c r="O329" s="635" t="n"/>
      <c r="P329" s="635" t="n"/>
      <c r="Q329" s="601" t="n"/>
      <c r="R329" s="40" t="inlineStr"/>
      <c r="S329" s="40" t="inlineStr"/>
      <c r="T329" s="41" t="inlineStr">
        <is>
          <t>кг</t>
        </is>
      </c>
      <c r="U329" s="636" t="n">
        <v>0</v>
      </c>
      <c r="V329" s="637">
        <f>IFERROR(IF(U329="",0,CEILING((U329/$H329),1)*$H329),"")</f>
        <v/>
      </c>
      <c r="W329" s="42">
        <f>IFERROR(IF(V329=0,"",ROUNDUP(V329/H329,0)*0.00502),"")</f>
        <v/>
      </c>
      <c r="X329" s="69" t="inlineStr"/>
      <c r="Y329" s="70" t="inlineStr"/>
      <c r="AC329" s="253" t="inlineStr">
        <is>
          <t>КИ</t>
        </is>
      </c>
    </row>
    <row r="330" ht="27" customHeight="1">
      <c r="A330" s="64" t="inlineStr">
        <is>
          <t>SU002606</t>
        </is>
      </c>
      <c r="B330" s="64" t="inlineStr">
        <is>
          <t>P003134</t>
        </is>
      </c>
      <c r="C330" s="37" t="n">
        <v>4301031172</v>
      </c>
      <c r="D330" s="356" t="n">
        <v>4607091389531</v>
      </c>
      <c r="E330" s="601" t="n"/>
      <c r="F330" s="633" t="n">
        <v>0.35</v>
      </c>
      <c r="G330" s="38" t="n">
        <v>6</v>
      </c>
      <c r="H330" s="633" t="n">
        <v>2.1</v>
      </c>
      <c r="I330" s="633" t="n">
        <v>2.23</v>
      </c>
      <c r="J330" s="38" t="n">
        <v>234</v>
      </c>
      <c r="K330" s="39" t="inlineStr">
        <is>
          <t>СК2</t>
        </is>
      </c>
      <c r="L330" s="38" t="n">
        <v>45</v>
      </c>
      <c r="M330" s="820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30" s="635" t="n"/>
      <c r="O330" s="635" t="n"/>
      <c r="P330" s="635" t="n"/>
      <c r="Q330" s="601" t="n"/>
      <c r="R330" s="40" t="inlineStr"/>
      <c r="S330" s="40" t="inlineStr"/>
      <c r="T330" s="41" t="inlineStr">
        <is>
          <t>кг</t>
        </is>
      </c>
      <c r="U330" s="636" t="n">
        <v>0</v>
      </c>
      <c r="V330" s="637">
        <f>IFERROR(IF(U330="",0,CEILING((U330/$H330),1)*$H330),"")</f>
        <v/>
      </c>
      <c r="W330" s="42">
        <f>IFERROR(IF(V330=0,"",ROUNDUP(V330/H330,0)*0.00502),"")</f>
        <v/>
      </c>
      <c r="X330" s="69" t="inlineStr"/>
      <c r="Y330" s="70" t="inlineStr"/>
      <c r="AC330" s="254" t="inlineStr">
        <is>
          <t>КИ</t>
        </is>
      </c>
    </row>
    <row r="331">
      <c r="A331" s="364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38" t="n"/>
      <c r="M331" s="639" t="inlineStr">
        <is>
          <t>Итого</t>
        </is>
      </c>
      <c r="N331" s="609" t="n"/>
      <c r="O331" s="609" t="n"/>
      <c r="P331" s="609" t="n"/>
      <c r="Q331" s="609" t="n"/>
      <c r="R331" s="609" t="n"/>
      <c r="S331" s="610" t="n"/>
      <c r="T331" s="43" t="inlineStr">
        <is>
          <t>кор</t>
        </is>
      </c>
      <c r="U331" s="640">
        <f>IFERROR(U324/H324,"0")+IFERROR(U325/H325,"0")+IFERROR(U326/H326,"0")+IFERROR(U327/H327,"0")+IFERROR(U328/H328,"0")+IFERROR(U329/H329,"0")+IFERROR(U330/H330,"0")</f>
        <v/>
      </c>
      <c r="V331" s="640">
        <f>IFERROR(V324/H324,"0")+IFERROR(V325/H325,"0")+IFERROR(V326/H326,"0")+IFERROR(V327/H327,"0")+IFERROR(V328/H328,"0")+IFERROR(V329/H329,"0")+IFERROR(V330/H330,"0")</f>
        <v/>
      </c>
      <c r="W331" s="640">
        <f>IFERROR(IF(W324="",0,W324),"0")+IFERROR(IF(W325="",0,W325),"0")+IFERROR(IF(W326="",0,W326),"0")+IFERROR(IF(W327="",0,W327),"0")+IFERROR(IF(W328="",0,W328),"0")+IFERROR(IF(W329="",0,W329),"0")+IFERROR(IF(W330="",0,W330),"0")</f>
        <v/>
      </c>
      <c r="X331" s="641" t="n"/>
      <c r="Y331" s="641" t="n"/>
    </row>
    <row r="332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638" t="n"/>
      <c r="M332" s="639" t="inlineStr">
        <is>
          <t>Итого</t>
        </is>
      </c>
      <c r="N332" s="609" t="n"/>
      <c r="O332" s="609" t="n"/>
      <c r="P332" s="609" t="n"/>
      <c r="Q332" s="609" t="n"/>
      <c r="R332" s="609" t="n"/>
      <c r="S332" s="610" t="n"/>
      <c r="T332" s="43" t="inlineStr">
        <is>
          <t>кг</t>
        </is>
      </c>
      <c r="U332" s="640">
        <f>IFERROR(SUM(U324:U330),"0")</f>
        <v/>
      </c>
      <c r="V332" s="640">
        <f>IFERROR(SUM(V324:V330),"0")</f>
        <v/>
      </c>
      <c r="W332" s="43" t="n"/>
      <c r="X332" s="641" t="n"/>
      <c r="Y332" s="641" t="n"/>
    </row>
    <row r="333" ht="14.25" customHeight="1">
      <c r="A333" s="355" t="inlineStr">
        <is>
          <t>Сосиски</t>
        </is>
      </c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355" t="n"/>
      <c r="Y333" s="355" t="n"/>
    </row>
    <row r="334" ht="27" customHeight="1">
      <c r="A334" s="64" t="inlineStr">
        <is>
          <t>SU002448</t>
        </is>
      </c>
      <c r="B334" s="64" t="inlineStr">
        <is>
          <t>P002914</t>
        </is>
      </c>
      <c r="C334" s="37" t="n">
        <v>4301051258</v>
      </c>
      <c r="D334" s="356" t="n">
        <v>4607091389685</v>
      </c>
      <c r="E334" s="601" t="n"/>
      <c r="F334" s="633" t="n">
        <v>1.3</v>
      </c>
      <c r="G334" s="38" t="n">
        <v>6</v>
      </c>
      <c r="H334" s="633" t="n">
        <v>7.8</v>
      </c>
      <c r="I334" s="633" t="n">
        <v>8.346</v>
      </c>
      <c r="J334" s="38" t="n">
        <v>56</v>
      </c>
      <c r="K334" s="39" t="inlineStr">
        <is>
          <t>СК3</t>
        </is>
      </c>
      <c r="L334" s="38" t="n">
        <v>45</v>
      </c>
      <c r="M334" s="821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34" s="635" t="n"/>
      <c r="O334" s="635" t="n"/>
      <c r="P334" s="635" t="n"/>
      <c r="Q334" s="601" t="n"/>
      <c r="R334" s="40" t="inlineStr"/>
      <c r="S334" s="40" t="inlineStr"/>
      <c r="T334" s="41" t="inlineStr">
        <is>
          <t>кг</t>
        </is>
      </c>
      <c r="U334" s="636" t="n">
        <v>0</v>
      </c>
      <c r="V334" s="637">
        <f>IFERROR(IF(U334="",0,CEILING((U334/$H334),1)*$H334),"")</f>
        <v/>
      </c>
      <c r="W334" s="42">
        <f>IFERROR(IF(V334=0,"",ROUNDUP(V334/H334,0)*0.02175),"")</f>
        <v/>
      </c>
      <c r="X334" s="69" t="inlineStr"/>
      <c r="Y334" s="70" t="inlineStr"/>
      <c r="AC334" s="255" t="inlineStr">
        <is>
          <t>КИ</t>
        </is>
      </c>
    </row>
    <row r="335" ht="27" customHeight="1">
      <c r="A335" s="64" t="inlineStr">
        <is>
          <t>SU002557</t>
        </is>
      </c>
      <c r="B335" s="64" t="inlineStr">
        <is>
          <t>P003318</t>
        </is>
      </c>
      <c r="C335" s="37" t="n">
        <v>4301051431</v>
      </c>
      <c r="D335" s="356" t="n">
        <v>4607091389654</v>
      </c>
      <c r="E335" s="601" t="n"/>
      <c r="F335" s="633" t="n">
        <v>0.33</v>
      </c>
      <c r="G335" s="38" t="n">
        <v>6</v>
      </c>
      <c r="H335" s="633" t="n">
        <v>1.98</v>
      </c>
      <c r="I335" s="633" t="n">
        <v>2.258</v>
      </c>
      <c r="J335" s="38" t="n">
        <v>156</v>
      </c>
      <c r="K335" s="39" t="inlineStr">
        <is>
          <t>СК3</t>
        </is>
      </c>
      <c r="L335" s="38" t="n">
        <v>45</v>
      </c>
      <c r="M335" s="822" t="inlineStr">
        <is>
          <t>Сосиски Баварушки (с грудкой ГОСТ 31962-2013) Филейбургская Фикс.вес 0,33 П/а мгс Баварушка</t>
        </is>
      </c>
      <c r="N335" s="635" t="n"/>
      <c r="O335" s="635" t="n"/>
      <c r="P335" s="635" t="n"/>
      <c r="Q335" s="601" t="n"/>
      <c r="R335" s="40" t="inlineStr"/>
      <c r="S335" s="40" t="inlineStr"/>
      <c r="T335" s="41" t="inlineStr">
        <is>
          <t>кг</t>
        </is>
      </c>
      <c r="U335" s="636" t="n">
        <v>0</v>
      </c>
      <c r="V335" s="637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256" t="inlineStr">
        <is>
          <t>КИ</t>
        </is>
      </c>
    </row>
    <row r="336" ht="27" customHeight="1">
      <c r="A336" s="64" t="inlineStr">
        <is>
          <t>SU002285</t>
        </is>
      </c>
      <c r="B336" s="64" t="inlineStr">
        <is>
          <t>P002969</t>
        </is>
      </c>
      <c r="C336" s="37" t="n">
        <v>4301051284</v>
      </c>
      <c r="D336" s="356" t="n">
        <v>4607091384352</v>
      </c>
      <c r="E336" s="601" t="n"/>
      <c r="F336" s="633" t="n">
        <v>0.6</v>
      </c>
      <c r="G336" s="38" t="n">
        <v>4</v>
      </c>
      <c r="H336" s="633" t="n">
        <v>2.4</v>
      </c>
      <c r="I336" s="633" t="n">
        <v>2.646</v>
      </c>
      <c r="J336" s="38" t="n">
        <v>120</v>
      </c>
      <c r="K336" s="39" t="inlineStr">
        <is>
          <t>СК3</t>
        </is>
      </c>
      <c r="L336" s="38" t="n">
        <v>45</v>
      </c>
      <c r="M336" s="823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36" s="635" t="n"/>
      <c r="O336" s="635" t="n"/>
      <c r="P336" s="635" t="n"/>
      <c r="Q336" s="601" t="n"/>
      <c r="R336" s="40" t="inlineStr"/>
      <c r="S336" s="40" t="inlineStr"/>
      <c r="T336" s="41" t="inlineStr">
        <is>
          <t>кг</t>
        </is>
      </c>
      <c r="U336" s="636" t="n">
        <v>0</v>
      </c>
      <c r="V336" s="637">
        <f>IFERROR(IF(U336="",0,CEILING((U336/$H336),1)*$H336),"")</f>
        <v/>
      </c>
      <c r="W336" s="42">
        <f>IFERROR(IF(V336=0,"",ROUNDUP(V336/H336,0)*0.00937),"")</f>
        <v/>
      </c>
      <c r="X336" s="69" t="inlineStr"/>
      <c r="Y336" s="70" t="inlineStr"/>
      <c r="AC336" s="257" t="inlineStr">
        <is>
          <t>КИ</t>
        </is>
      </c>
    </row>
    <row r="337" ht="27" customHeight="1">
      <c r="A337" s="64" t="inlineStr">
        <is>
          <t>SU002419</t>
        </is>
      </c>
      <c r="B337" s="64" t="inlineStr">
        <is>
          <t>P002913</t>
        </is>
      </c>
      <c r="C337" s="37" t="n">
        <v>4301051257</v>
      </c>
      <c r="D337" s="356" t="n">
        <v>4607091389661</v>
      </c>
      <c r="E337" s="601" t="n"/>
      <c r="F337" s="633" t="n">
        <v>0.55</v>
      </c>
      <c r="G337" s="38" t="n">
        <v>4</v>
      </c>
      <c r="H337" s="633" t="n">
        <v>2.2</v>
      </c>
      <c r="I337" s="633" t="n">
        <v>2.492</v>
      </c>
      <c r="J337" s="38" t="n">
        <v>120</v>
      </c>
      <c r="K337" s="39" t="inlineStr">
        <is>
          <t>СК3</t>
        </is>
      </c>
      <c r="L337" s="38" t="n">
        <v>45</v>
      </c>
      <c r="M337" s="824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37" s="635" t="n"/>
      <c r="O337" s="635" t="n"/>
      <c r="P337" s="635" t="n"/>
      <c r="Q337" s="601" t="n"/>
      <c r="R337" s="40" t="inlineStr"/>
      <c r="S337" s="40" t="inlineStr"/>
      <c r="T337" s="41" t="inlineStr">
        <is>
          <t>кг</t>
        </is>
      </c>
      <c r="U337" s="636" t="n">
        <v>0</v>
      </c>
      <c r="V337" s="637">
        <f>IFERROR(IF(U337="",0,CEILING((U337/$H337),1)*$H337),"")</f>
        <v/>
      </c>
      <c r="W337" s="42">
        <f>IFERROR(IF(V337=0,"",ROUNDUP(V337/H337,0)*0.00937),"")</f>
        <v/>
      </c>
      <c r="X337" s="69" t="inlineStr"/>
      <c r="Y337" s="70" t="inlineStr"/>
      <c r="AC337" s="258" t="inlineStr">
        <is>
          <t>КИ</t>
        </is>
      </c>
    </row>
    <row r="338">
      <c r="A338" s="364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38" t="n"/>
      <c r="M338" s="639" t="inlineStr">
        <is>
          <t>Итого</t>
        </is>
      </c>
      <c r="N338" s="609" t="n"/>
      <c r="O338" s="609" t="n"/>
      <c r="P338" s="609" t="n"/>
      <c r="Q338" s="609" t="n"/>
      <c r="R338" s="609" t="n"/>
      <c r="S338" s="610" t="n"/>
      <c r="T338" s="43" t="inlineStr">
        <is>
          <t>кор</t>
        </is>
      </c>
      <c r="U338" s="640">
        <f>IFERROR(U334/H334,"0")+IFERROR(U335/H335,"0")+IFERROR(U336/H336,"0")+IFERROR(U337/H337,"0")</f>
        <v/>
      </c>
      <c r="V338" s="640">
        <f>IFERROR(V334/H334,"0")+IFERROR(V335/H335,"0")+IFERROR(V336/H336,"0")+IFERROR(V337/H337,"0")</f>
        <v/>
      </c>
      <c r="W338" s="640">
        <f>IFERROR(IF(W334="",0,W334),"0")+IFERROR(IF(W335="",0,W335),"0")+IFERROR(IF(W336="",0,W336),"0")+IFERROR(IF(W337="",0,W337),"0")</f>
        <v/>
      </c>
      <c r="X338" s="641" t="n"/>
      <c r="Y338" s="641" t="n"/>
    </row>
    <row r="339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638" t="n"/>
      <c r="M339" s="639" t="inlineStr">
        <is>
          <t>Итого</t>
        </is>
      </c>
      <c r="N339" s="609" t="n"/>
      <c r="O339" s="609" t="n"/>
      <c r="P339" s="609" t="n"/>
      <c r="Q339" s="609" t="n"/>
      <c r="R339" s="609" t="n"/>
      <c r="S339" s="610" t="n"/>
      <c r="T339" s="43" t="inlineStr">
        <is>
          <t>кг</t>
        </is>
      </c>
      <c r="U339" s="640">
        <f>IFERROR(SUM(U334:U337),"0")</f>
        <v/>
      </c>
      <c r="V339" s="640">
        <f>IFERROR(SUM(V334:V337),"0")</f>
        <v/>
      </c>
      <c r="W339" s="43" t="n"/>
      <c r="X339" s="641" t="n"/>
      <c r="Y339" s="641" t="n"/>
    </row>
    <row r="340" ht="14.25" customHeight="1">
      <c r="A340" s="355" t="inlineStr">
        <is>
          <t>Сардельки</t>
        </is>
      </c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355" t="n"/>
      <c r="Y340" s="355" t="n"/>
    </row>
    <row r="341" ht="27" customHeight="1">
      <c r="A341" s="64" t="inlineStr">
        <is>
          <t>SU002846</t>
        </is>
      </c>
      <c r="B341" s="64" t="inlineStr">
        <is>
          <t>P003254</t>
        </is>
      </c>
      <c r="C341" s="37" t="n">
        <v>4301060352</v>
      </c>
      <c r="D341" s="356" t="n">
        <v>4680115881648</v>
      </c>
      <c r="E341" s="601" t="n"/>
      <c r="F341" s="633" t="n">
        <v>1</v>
      </c>
      <c r="G341" s="38" t="n">
        <v>4</v>
      </c>
      <c r="H341" s="633" t="n">
        <v>4</v>
      </c>
      <c r="I341" s="633" t="n">
        <v>4.404</v>
      </c>
      <c r="J341" s="38" t="n">
        <v>104</v>
      </c>
      <c r="K341" s="39" t="inlineStr">
        <is>
          <t>СК2</t>
        </is>
      </c>
      <c r="L341" s="38" t="n">
        <v>35</v>
      </c>
      <c r="M341" s="825" t="inlineStr">
        <is>
          <t>Сардельки "Шпикачки Филейбургские" весовые н/о ТМ "Баварушка"</t>
        </is>
      </c>
      <c r="N341" s="635" t="n"/>
      <c r="O341" s="635" t="n"/>
      <c r="P341" s="635" t="n"/>
      <c r="Q341" s="601" t="n"/>
      <c r="R341" s="40" t="inlineStr"/>
      <c r="S341" s="40" t="inlineStr"/>
      <c r="T341" s="41" t="inlineStr">
        <is>
          <t>кг</t>
        </is>
      </c>
      <c r="U341" s="636" t="n">
        <v>0</v>
      </c>
      <c r="V341" s="637">
        <f>IFERROR(IF(U341="",0,CEILING((U341/$H341),1)*$H341),"")</f>
        <v/>
      </c>
      <c r="W341" s="42">
        <f>IFERROR(IF(V341=0,"",ROUNDUP(V341/H341,0)*0.01196),"")</f>
        <v/>
      </c>
      <c r="X341" s="69" t="inlineStr"/>
      <c r="Y341" s="70" t="inlineStr"/>
      <c r="AC341" s="259" t="inlineStr">
        <is>
          <t>КИ</t>
        </is>
      </c>
    </row>
    <row r="342">
      <c r="A342" s="364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38" t="n"/>
      <c r="M342" s="639" t="inlineStr">
        <is>
          <t>Итого</t>
        </is>
      </c>
      <c r="N342" s="609" t="n"/>
      <c r="O342" s="609" t="n"/>
      <c r="P342" s="609" t="n"/>
      <c r="Q342" s="609" t="n"/>
      <c r="R342" s="609" t="n"/>
      <c r="S342" s="610" t="n"/>
      <c r="T342" s="43" t="inlineStr">
        <is>
          <t>кор</t>
        </is>
      </c>
      <c r="U342" s="640">
        <f>IFERROR(U341/H341,"0")</f>
        <v/>
      </c>
      <c r="V342" s="640">
        <f>IFERROR(V341/H341,"0")</f>
        <v/>
      </c>
      <c r="W342" s="640">
        <f>IFERROR(IF(W341="",0,W341),"0")</f>
        <v/>
      </c>
      <c r="X342" s="641" t="n"/>
      <c r="Y342" s="641" t="n"/>
    </row>
    <row r="34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638" t="n"/>
      <c r="M343" s="639" t="inlineStr">
        <is>
          <t>Итого</t>
        </is>
      </c>
      <c r="N343" s="609" t="n"/>
      <c r="O343" s="609" t="n"/>
      <c r="P343" s="609" t="n"/>
      <c r="Q343" s="609" t="n"/>
      <c r="R343" s="609" t="n"/>
      <c r="S343" s="610" t="n"/>
      <c r="T343" s="43" t="inlineStr">
        <is>
          <t>кг</t>
        </is>
      </c>
      <c r="U343" s="640">
        <f>IFERROR(SUM(U341:U341),"0")</f>
        <v/>
      </c>
      <c r="V343" s="640">
        <f>IFERROR(SUM(V341:V341),"0")</f>
        <v/>
      </c>
      <c r="W343" s="43" t="n"/>
      <c r="X343" s="641" t="n"/>
      <c r="Y343" s="641" t="n"/>
    </row>
    <row r="344" ht="16.5" customHeight="1">
      <c r="A344" s="354" t="inlineStr">
        <is>
          <t>Балыкбургская</t>
        </is>
      </c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354" t="n"/>
      <c r="Y344" s="354" t="n"/>
    </row>
    <row r="345" ht="14.25" customHeight="1">
      <c r="A345" s="355" t="inlineStr">
        <is>
          <t>Ветчины</t>
        </is>
      </c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355" t="n"/>
      <c r="Y345" s="355" t="n"/>
    </row>
    <row r="346" ht="27" customHeight="1">
      <c r="A346" s="64" t="inlineStr">
        <is>
          <t>SU002542</t>
        </is>
      </c>
      <c r="B346" s="64" t="inlineStr">
        <is>
          <t>P002847</t>
        </is>
      </c>
      <c r="C346" s="37" t="n">
        <v>4301020196</v>
      </c>
      <c r="D346" s="356" t="n">
        <v>4607091389388</v>
      </c>
      <c r="E346" s="601" t="n"/>
      <c r="F346" s="633" t="n">
        <v>1.3</v>
      </c>
      <c r="G346" s="38" t="n">
        <v>4</v>
      </c>
      <c r="H346" s="633" t="n">
        <v>5.2</v>
      </c>
      <c r="I346" s="633" t="n">
        <v>5.608</v>
      </c>
      <c r="J346" s="38" t="n">
        <v>104</v>
      </c>
      <c r="K346" s="39" t="inlineStr">
        <is>
          <t>СК3</t>
        </is>
      </c>
      <c r="L346" s="38" t="n">
        <v>35</v>
      </c>
      <c r="M346" s="82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46" s="635" t="n"/>
      <c r="O346" s="635" t="n"/>
      <c r="P346" s="635" t="n"/>
      <c r="Q346" s="601" t="n"/>
      <c r="R346" s="40" t="inlineStr"/>
      <c r="S346" s="40" t="inlineStr"/>
      <c r="T346" s="41" t="inlineStr">
        <is>
          <t>кг</t>
        </is>
      </c>
      <c r="U346" s="636" t="n">
        <v>0</v>
      </c>
      <c r="V346" s="637">
        <f>IFERROR(IF(U346="",0,CEILING((U346/$H346),1)*$H346),"")</f>
        <v/>
      </c>
      <c r="W346" s="42">
        <f>IFERROR(IF(V346=0,"",ROUNDUP(V346/H346,0)*0.01196),"")</f>
        <v/>
      </c>
      <c r="X346" s="69" t="inlineStr"/>
      <c r="Y346" s="70" t="inlineStr"/>
      <c r="AC346" s="260" t="inlineStr">
        <is>
          <t>КИ</t>
        </is>
      </c>
    </row>
    <row r="347" ht="27" customHeight="1">
      <c r="A347" s="64" t="inlineStr">
        <is>
          <t>SU002319</t>
        </is>
      </c>
      <c r="B347" s="64" t="inlineStr">
        <is>
          <t>P002597</t>
        </is>
      </c>
      <c r="C347" s="37" t="n">
        <v>4301020185</v>
      </c>
      <c r="D347" s="356" t="n">
        <v>4607091389364</v>
      </c>
      <c r="E347" s="601" t="n"/>
      <c r="F347" s="633" t="n">
        <v>0.42</v>
      </c>
      <c r="G347" s="38" t="n">
        <v>6</v>
      </c>
      <c r="H347" s="633" t="n">
        <v>2.52</v>
      </c>
      <c r="I347" s="633" t="n">
        <v>2.75</v>
      </c>
      <c r="J347" s="38" t="n">
        <v>156</v>
      </c>
      <c r="K347" s="39" t="inlineStr">
        <is>
          <t>СК3</t>
        </is>
      </c>
      <c r="L347" s="38" t="n">
        <v>35</v>
      </c>
      <c r="M347" s="82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47" s="635" t="n"/>
      <c r="O347" s="635" t="n"/>
      <c r="P347" s="635" t="n"/>
      <c r="Q347" s="601" t="n"/>
      <c r="R347" s="40" t="inlineStr"/>
      <c r="S347" s="40" t="inlineStr"/>
      <c r="T347" s="41" t="inlineStr">
        <is>
          <t>кг</t>
        </is>
      </c>
      <c r="U347" s="636" t="n">
        <v>0</v>
      </c>
      <c r="V347" s="637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/>
      <c r="AC347" s="261" t="inlineStr">
        <is>
          <t>КИ</t>
        </is>
      </c>
    </row>
    <row r="348">
      <c r="A348" s="364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638" t="n"/>
      <c r="M348" s="639" t="inlineStr">
        <is>
          <t>Итого</t>
        </is>
      </c>
      <c r="N348" s="609" t="n"/>
      <c r="O348" s="609" t="n"/>
      <c r="P348" s="609" t="n"/>
      <c r="Q348" s="609" t="n"/>
      <c r="R348" s="609" t="n"/>
      <c r="S348" s="610" t="n"/>
      <c r="T348" s="43" t="inlineStr">
        <is>
          <t>кор</t>
        </is>
      </c>
      <c r="U348" s="640">
        <f>IFERROR(U346/H346,"0")+IFERROR(U347/H347,"0")</f>
        <v/>
      </c>
      <c r="V348" s="640">
        <f>IFERROR(V346/H346,"0")+IFERROR(V347/H347,"0")</f>
        <v/>
      </c>
      <c r="W348" s="640">
        <f>IFERROR(IF(W346="",0,W346),"0")+IFERROR(IF(W347="",0,W347),"0")</f>
        <v/>
      </c>
      <c r="X348" s="641" t="n"/>
      <c r="Y348" s="641" t="n"/>
    </row>
    <row r="349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638" t="n"/>
      <c r="M349" s="639" t="inlineStr">
        <is>
          <t>Итого</t>
        </is>
      </c>
      <c r="N349" s="609" t="n"/>
      <c r="O349" s="609" t="n"/>
      <c r="P349" s="609" t="n"/>
      <c r="Q349" s="609" t="n"/>
      <c r="R349" s="609" t="n"/>
      <c r="S349" s="610" t="n"/>
      <c r="T349" s="43" t="inlineStr">
        <is>
          <t>кг</t>
        </is>
      </c>
      <c r="U349" s="640">
        <f>IFERROR(SUM(U346:U347),"0")</f>
        <v/>
      </c>
      <c r="V349" s="640">
        <f>IFERROR(SUM(V346:V347),"0")</f>
        <v/>
      </c>
      <c r="W349" s="43" t="n"/>
      <c r="X349" s="641" t="n"/>
      <c r="Y349" s="641" t="n"/>
    </row>
    <row r="350" ht="14.25" customHeight="1">
      <c r="A350" s="355" t="inlineStr">
        <is>
          <t>Копченые колбасы</t>
        </is>
      </c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355" t="n"/>
      <c r="Y350" s="355" t="n"/>
    </row>
    <row r="351" ht="27" customHeight="1">
      <c r="A351" s="64" t="inlineStr">
        <is>
          <t>SU002612</t>
        </is>
      </c>
      <c r="B351" s="64" t="inlineStr">
        <is>
          <t>P003140</t>
        </is>
      </c>
      <c r="C351" s="37" t="n">
        <v>4301031195</v>
      </c>
      <c r="D351" s="356" t="n">
        <v>4607091389739</v>
      </c>
      <c r="E351" s="601" t="n"/>
      <c r="F351" s="633" t="n">
        <v>0.7</v>
      </c>
      <c r="G351" s="38" t="n">
        <v>6</v>
      </c>
      <c r="H351" s="633" t="n">
        <v>4.2</v>
      </c>
      <c r="I351" s="633" t="n">
        <v>4.43</v>
      </c>
      <c r="J351" s="38" t="n">
        <v>156</v>
      </c>
      <c r="K351" s="39" t="inlineStr">
        <is>
          <t>СК2</t>
        </is>
      </c>
      <c r="L351" s="38" t="n">
        <v>45</v>
      </c>
      <c r="M351" s="828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51" s="635" t="n"/>
      <c r="O351" s="635" t="n"/>
      <c r="P351" s="635" t="n"/>
      <c r="Q351" s="601" t="n"/>
      <c r="R351" s="40" t="inlineStr"/>
      <c r="S351" s="40" t="inlineStr"/>
      <c r="T351" s="41" t="inlineStr">
        <is>
          <t>кг</t>
        </is>
      </c>
      <c r="U351" s="636" t="n">
        <v>150</v>
      </c>
      <c r="V351" s="637">
        <f>IFERROR(IF(U351="",0,CEILING((U351/$H351),1)*$H351),"")</f>
        <v/>
      </c>
      <c r="W351" s="42">
        <f>IFERROR(IF(V351=0,"",ROUNDUP(V351/H351,0)*0.00753),"")</f>
        <v/>
      </c>
      <c r="X351" s="69" t="inlineStr"/>
      <c r="Y351" s="70" t="inlineStr"/>
      <c r="AC351" s="262" t="inlineStr">
        <is>
          <t>КИ</t>
        </is>
      </c>
    </row>
    <row r="352" ht="27" customHeight="1">
      <c r="A352" s="64" t="inlineStr">
        <is>
          <t>SU002545</t>
        </is>
      </c>
      <c r="B352" s="64" t="inlineStr">
        <is>
          <t>P003137</t>
        </is>
      </c>
      <c r="C352" s="37" t="n">
        <v>4301031176</v>
      </c>
      <c r="D352" s="356" t="n">
        <v>4607091389425</v>
      </c>
      <c r="E352" s="601" t="n"/>
      <c r="F352" s="633" t="n">
        <v>0.35</v>
      </c>
      <c r="G352" s="38" t="n">
        <v>6</v>
      </c>
      <c r="H352" s="633" t="n">
        <v>2.1</v>
      </c>
      <c r="I352" s="633" t="n">
        <v>2.23</v>
      </c>
      <c r="J352" s="38" t="n">
        <v>234</v>
      </c>
      <c r="K352" s="39" t="inlineStr">
        <is>
          <t>СК2</t>
        </is>
      </c>
      <c r="L352" s="38" t="n">
        <v>45</v>
      </c>
      <c r="M352" s="829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52" s="635" t="n"/>
      <c r="O352" s="635" t="n"/>
      <c r="P352" s="635" t="n"/>
      <c r="Q352" s="601" t="n"/>
      <c r="R352" s="40" t="inlineStr"/>
      <c r="S352" s="40" t="inlineStr"/>
      <c r="T352" s="41" t="inlineStr">
        <is>
          <t>кг</t>
        </is>
      </c>
      <c r="U352" s="636" t="n">
        <v>0</v>
      </c>
      <c r="V352" s="637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263" t="inlineStr">
        <is>
          <t>КИ</t>
        </is>
      </c>
    </row>
    <row r="353" ht="27" customHeight="1">
      <c r="A353" s="64" t="inlineStr">
        <is>
          <t>SU002726</t>
        </is>
      </c>
      <c r="B353" s="64" t="inlineStr">
        <is>
          <t>P003095</t>
        </is>
      </c>
      <c r="C353" s="37" t="n">
        <v>4301031167</v>
      </c>
      <c r="D353" s="356" t="n">
        <v>4680115880771</v>
      </c>
      <c r="E353" s="601" t="n"/>
      <c r="F353" s="633" t="n">
        <v>0.28</v>
      </c>
      <c r="G353" s="38" t="n">
        <v>6</v>
      </c>
      <c r="H353" s="633" t="n">
        <v>1.68</v>
      </c>
      <c r="I353" s="633" t="n">
        <v>1.81</v>
      </c>
      <c r="J353" s="38" t="n">
        <v>234</v>
      </c>
      <c r="K353" s="39" t="inlineStr">
        <is>
          <t>СК2</t>
        </is>
      </c>
      <c r="L353" s="38" t="n">
        <v>45</v>
      </c>
      <c r="M353" s="830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53" s="635" t="n"/>
      <c r="O353" s="635" t="n"/>
      <c r="P353" s="635" t="n"/>
      <c r="Q353" s="601" t="n"/>
      <c r="R353" s="40" t="inlineStr"/>
      <c r="S353" s="40" t="inlineStr"/>
      <c r="T353" s="41" t="inlineStr">
        <is>
          <t>кг</t>
        </is>
      </c>
      <c r="U353" s="636" t="n">
        <v>0</v>
      </c>
      <c r="V353" s="637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264" t="inlineStr">
        <is>
          <t>КИ</t>
        </is>
      </c>
    </row>
    <row r="354" ht="27" customHeight="1">
      <c r="A354" s="64" t="inlineStr">
        <is>
          <t>SU002604</t>
        </is>
      </c>
      <c r="B354" s="64" t="inlineStr">
        <is>
          <t>P003135</t>
        </is>
      </c>
      <c r="C354" s="37" t="n">
        <v>4301031173</v>
      </c>
      <c r="D354" s="356" t="n">
        <v>4607091389500</v>
      </c>
      <c r="E354" s="601" t="n"/>
      <c r="F354" s="633" t="n">
        <v>0.35</v>
      </c>
      <c r="G354" s="38" t="n">
        <v>6</v>
      </c>
      <c r="H354" s="633" t="n">
        <v>2.1</v>
      </c>
      <c r="I354" s="633" t="n">
        <v>2.23</v>
      </c>
      <c r="J354" s="38" t="n">
        <v>234</v>
      </c>
      <c r="K354" s="39" t="inlineStr">
        <is>
          <t>СК2</t>
        </is>
      </c>
      <c r="L354" s="38" t="n">
        <v>45</v>
      </c>
      <c r="M354" s="831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54" s="635" t="n"/>
      <c r="O354" s="635" t="n"/>
      <c r="P354" s="635" t="n"/>
      <c r="Q354" s="601" t="n"/>
      <c r="R354" s="40" t="inlineStr"/>
      <c r="S354" s="40" t="inlineStr"/>
      <c r="T354" s="41" t="inlineStr">
        <is>
          <t>кг</t>
        </is>
      </c>
      <c r="U354" s="636" t="n">
        <v>0</v>
      </c>
      <c r="V354" s="637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265" t="inlineStr">
        <is>
          <t>КИ</t>
        </is>
      </c>
    </row>
    <row r="355" ht="27" customHeight="1">
      <c r="A355" s="64" t="inlineStr">
        <is>
          <t>SU002358</t>
        </is>
      </c>
      <c r="B355" s="64" t="inlineStr">
        <is>
          <t>P002642</t>
        </is>
      </c>
      <c r="C355" s="37" t="n">
        <v>4301031103</v>
      </c>
      <c r="D355" s="356" t="n">
        <v>4680115881983</v>
      </c>
      <c r="E355" s="601" t="n"/>
      <c r="F355" s="633" t="n">
        <v>0.28</v>
      </c>
      <c r="G355" s="38" t="n">
        <v>4</v>
      </c>
      <c r="H355" s="633" t="n">
        <v>1.12</v>
      </c>
      <c r="I355" s="633" t="n">
        <v>1.252</v>
      </c>
      <c r="J355" s="38" t="n">
        <v>234</v>
      </c>
      <c r="K355" s="39" t="inlineStr">
        <is>
          <t>СК2</t>
        </is>
      </c>
      <c r="L355" s="38" t="n">
        <v>40</v>
      </c>
      <c r="M355" s="832" t="inlineStr">
        <is>
          <t>Колбаса Балыкбургская по-краковски с копченым балыком в натуральной оболочке 0,28 кг</t>
        </is>
      </c>
      <c r="N355" s="635" t="n"/>
      <c r="O355" s="635" t="n"/>
      <c r="P355" s="635" t="n"/>
      <c r="Q355" s="601" t="n"/>
      <c r="R355" s="40" t="inlineStr"/>
      <c r="S355" s="40" t="inlineStr"/>
      <c r="T355" s="41" t="inlineStr">
        <is>
          <t>кг</t>
        </is>
      </c>
      <c r="U355" s="636" t="n">
        <v>0</v>
      </c>
      <c r="V355" s="637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266" t="inlineStr">
        <is>
          <t>КИ</t>
        </is>
      </c>
    </row>
    <row r="356">
      <c r="A356" s="364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638" t="n"/>
      <c r="M356" s="639" t="inlineStr">
        <is>
          <t>Итого</t>
        </is>
      </c>
      <c r="N356" s="609" t="n"/>
      <c r="O356" s="609" t="n"/>
      <c r="P356" s="609" t="n"/>
      <c r="Q356" s="609" t="n"/>
      <c r="R356" s="609" t="n"/>
      <c r="S356" s="610" t="n"/>
      <c r="T356" s="43" t="inlineStr">
        <is>
          <t>кор</t>
        </is>
      </c>
      <c r="U356" s="640">
        <f>IFERROR(U351/H351,"0")+IFERROR(U352/H352,"0")+IFERROR(U353/H353,"0")+IFERROR(U354/H354,"0")+IFERROR(U355/H355,"0")</f>
        <v/>
      </c>
      <c r="V356" s="640">
        <f>IFERROR(V351/H351,"0")+IFERROR(V352/H352,"0")+IFERROR(V353/H353,"0")+IFERROR(V354/H354,"0")+IFERROR(V355/H355,"0")</f>
        <v/>
      </c>
      <c r="W356" s="640">
        <f>IFERROR(IF(W351="",0,W351),"0")+IFERROR(IF(W352="",0,W352),"0")+IFERROR(IF(W353="",0,W353),"0")+IFERROR(IF(W354="",0,W354),"0")+IFERROR(IF(W355="",0,W355),"0")</f>
        <v/>
      </c>
      <c r="X356" s="641" t="n"/>
      <c r="Y356" s="641" t="n"/>
    </row>
    <row r="357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638" t="n"/>
      <c r="M357" s="639" t="inlineStr">
        <is>
          <t>Итого</t>
        </is>
      </c>
      <c r="N357" s="609" t="n"/>
      <c r="O357" s="609" t="n"/>
      <c r="P357" s="609" t="n"/>
      <c r="Q357" s="609" t="n"/>
      <c r="R357" s="609" t="n"/>
      <c r="S357" s="610" t="n"/>
      <c r="T357" s="43" t="inlineStr">
        <is>
          <t>кг</t>
        </is>
      </c>
      <c r="U357" s="640">
        <f>IFERROR(SUM(U351:U355),"0")</f>
        <v/>
      </c>
      <c r="V357" s="640">
        <f>IFERROR(SUM(V351:V355),"0")</f>
        <v/>
      </c>
      <c r="W357" s="43" t="n"/>
      <c r="X357" s="641" t="n"/>
      <c r="Y357" s="641" t="n"/>
    </row>
    <row r="358" ht="27.75" customHeight="1">
      <c r="A358" s="353" t="inlineStr">
        <is>
          <t>Дугушка</t>
        </is>
      </c>
      <c r="B358" s="632" t="n"/>
      <c r="C358" s="632" t="n"/>
      <c r="D358" s="632" t="n"/>
      <c r="E358" s="632" t="n"/>
      <c r="F358" s="632" t="n"/>
      <c r="G358" s="632" t="n"/>
      <c r="H358" s="632" t="n"/>
      <c r="I358" s="632" t="n"/>
      <c r="J358" s="632" t="n"/>
      <c r="K358" s="632" t="n"/>
      <c r="L358" s="632" t="n"/>
      <c r="M358" s="632" t="n"/>
      <c r="N358" s="632" t="n"/>
      <c r="O358" s="632" t="n"/>
      <c r="P358" s="632" t="n"/>
      <c r="Q358" s="632" t="n"/>
      <c r="R358" s="632" t="n"/>
      <c r="S358" s="632" t="n"/>
      <c r="T358" s="632" t="n"/>
      <c r="U358" s="632" t="n"/>
      <c r="V358" s="632" t="n"/>
      <c r="W358" s="632" t="n"/>
      <c r="X358" s="55" t="n"/>
      <c r="Y358" s="55" t="n"/>
    </row>
    <row r="359" ht="16.5" customHeight="1">
      <c r="A359" s="354" t="inlineStr">
        <is>
          <t>Дугушка</t>
        </is>
      </c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354" t="n"/>
      <c r="Y359" s="354" t="n"/>
    </row>
    <row r="360" ht="14.25" customHeight="1">
      <c r="A360" s="355" t="inlineStr">
        <is>
          <t>Вареные колбасы</t>
        </is>
      </c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355" t="n"/>
      <c r="Y360" s="355" t="n"/>
    </row>
    <row r="361" ht="27" customHeight="1">
      <c r="A361" s="64" t="inlineStr">
        <is>
          <t>SU002011</t>
        </is>
      </c>
      <c r="B361" s="64" t="inlineStr">
        <is>
          <t>P002991</t>
        </is>
      </c>
      <c r="C361" s="37" t="n">
        <v>4301011371</v>
      </c>
      <c r="D361" s="356" t="n">
        <v>4607091389067</v>
      </c>
      <c r="E361" s="601" t="n"/>
      <c r="F361" s="633" t="n">
        <v>0.88</v>
      </c>
      <c r="G361" s="38" t="n">
        <v>6</v>
      </c>
      <c r="H361" s="633" t="n">
        <v>5.28</v>
      </c>
      <c r="I361" s="633" t="n">
        <v>5.64</v>
      </c>
      <c r="J361" s="38" t="n">
        <v>104</v>
      </c>
      <c r="K361" s="39" t="inlineStr">
        <is>
          <t>СК3</t>
        </is>
      </c>
      <c r="L361" s="38" t="n">
        <v>55</v>
      </c>
      <c r="M361" s="833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61" s="635" t="n"/>
      <c r="O361" s="635" t="n"/>
      <c r="P361" s="635" t="n"/>
      <c r="Q361" s="601" t="n"/>
      <c r="R361" s="40" t="inlineStr"/>
      <c r="S361" s="40" t="inlineStr"/>
      <c r="T361" s="41" t="inlineStr">
        <is>
          <t>кг</t>
        </is>
      </c>
      <c r="U361" s="636" t="n">
        <v>0</v>
      </c>
      <c r="V361" s="637">
        <f>IFERROR(IF(U361="",0,CEILING((U361/$H361),1)*$H361),"")</f>
        <v/>
      </c>
      <c r="W361" s="42">
        <f>IFERROR(IF(V361=0,"",ROUNDUP(V361/H361,0)*0.01196),"")</f>
        <v/>
      </c>
      <c r="X361" s="69" t="inlineStr"/>
      <c r="Y361" s="70" t="inlineStr"/>
      <c r="AC361" s="267" t="inlineStr">
        <is>
          <t>КИ</t>
        </is>
      </c>
    </row>
    <row r="362" ht="27" customHeight="1">
      <c r="A362" s="64" t="inlineStr">
        <is>
          <t>SU002094</t>
        </is>
      </c>
      <c r="B362" s="64" t="inlineStr">
        <is>
          <t>P002975</t>
        </is>
      </c>
      <c r="C362" s="37" t="n">
        <v>4301011363</v>
      </c>
      <c r="D362" s="356" t="n">
        <v>4607091383522</v>
      </c>
      <c r="E362" s="601" t="n"/>
      <c r="F362" s="633" t="n">
        <v>0.88</v>
      </c>
      <c r="G362" s="38" t="n">
        <v>6</v>
      </c>
      <c r="H362" s="633" t="n">
        <v>5.28</v>
      </c>
      <c r="I362" s="633" t="n">
        <v>5.64</v>
      </c>
      <c r="J362" s="38" t="n">
        <v>104</v>
      </c>
      <c r="K362" s="39" t="inlineStr">
        <is>
          <t>СК1</t>
        </is>
      </c>
      <c r="L362" s="38" t="n">
        <v>55</v>
      </c>
      <c r="M362" s="834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62" s="635" t="n"/>
      <c r="O362" s="635" t="n"/>
      <c r="P362" s="635" t="n"/>
      <c r="Q362" s="601" t="n"/>
      <c r="R362" s="40" t="inlineStr"/>
      <c r="S362" s="40" t="inlineStr"/>
      <c r="T362" s="41" t="inlineStr">
        <is>
          <t>кг</t>
        </is>
      </c>
      <c r="U362" s="636" t="n">
        <v>600</v>
      </c>
      <c r="V362" s="637">
        <f>IFERROR(IF(U362="",0,CEILING((U362/$H362),1)*$H362),"")</f>
        <v/>
      </c>
      <c r="W362" s="42">
        <f>IFERROR(IF(V362=0,"",ROUNDUP(V362/H362,0)*0.01196),"")</f>
        <v/>
      </c>
      <c r="X362" s="69" t="inlineStr"/>
      <c r="Y362" s="70" t="inlineStr"/>
      <c r="AC362" s="268" t="inlineStr">
        <is>
          <t>КИ</t>
        </is>
      </c>
    </row>
    <row r="363" ht="27" customHeight="1">
      <c r="A363" s="64" t="inlineStr">
        <is>
          <t>SU002182</t>
        </is>
      </c>
      <c r="B363" s="64" t="inlineStr">
        <is>
          <t>P002990</t>
        </is>
      </c>
      <c r="C363" s="37" t="n">
        <v>4301011431</v>
      </c>
      <c r="D363" s="356" t="n">
        <v>4607091384437</v>
      </c>
      <c r="E363" s="601" t="n"/>
      <c r="F363" s="633" t="n">
        <v>0.88</v>
      </c>
      <c r="G363" s="38" t="n">
        <v>6</v>
      </c>
      <c r="H363" s="633" t="n">
        <v>5.28</v>
      </c>
      <c r="I363" s="633" t="n">
        <v>5.64</v>
      </c>
      <c r="J363" s="38" t="n">
        <v>104</v>
      </c>
      <c r="K363" s="39" t="inlineStr">
        <is>
          <t>СК1</t>
        </is>
      </c>
      <c r="L363" s="38" t="n">
        <v>50</v>
      </c>
      <c r="M363" s="835" t="inlineStr">
        <is>
          <t>Вареные колбасы Дугушка со шпиком Дугушка Весовые Вектор Дугушка</t>
        </is>
      </c>
      <c r="N363" s="635" t="n"/>
      <c r="O363" s="635" t="n"/>
      <c r="P363" s="635" t="n"/>
      <c r="Q363" s="601" t="n"/>
      <c r="R363" s="40" t="inlineStr"/>
      <c r="S363" s="40" t="inlineStr"/>
      <c r="T363" s="41" t="inlineStr">
        <is>
          <t>кг</t>
        </is>
      </c>
      <c r="U363" s="636" t="n">
        <v>0</v>
      </c>
      <c r="V363" s="637">
        <f>IFERROR(IF(U363="",0,CEILING((U363/$H363),1)*$H363),"")</f>
        <v/>
      </c>
      <c r="W363" s="42">
        <f>IFERROR(IF(V363=0,"",ROUNDUP(V363/H363,0)*0.01196),"")</f>
        <v/>
      </c>
      <c r="X363" s="69" t="inlineStr"/>
      <c r="Y363" s="70" t="inlineStr"/>
      <c r="AC363" s="269" t="inlineStr">
        <is>
          <t>КИ</t>
        </is>
      </c>
    </row>
    <row r="364" ht="27" customHeight="1">
      <c r="A364" s="64" t="inlineStr">
        <is>
          <t>SU002010</t>
        </is>
      </c>
      <c r="B364" s="64" t="inlineStr">
        <is>
          <t>P002979</t>
        </is>
      </c>
      <c r="C364" s="37" t="n">
        <v>4301011365</v>
      </c>
      <c r="D364" s="356" t="n">
        <v>4607091389104</v>
      </c>
      <c r="E364" s="601" t="n"/>
      <c r="F364" s="633" t="n">
        <v>0.88</v>
      </c>
      <c r="G364" s="38" t="n">
        <v>6</v>
      </c>
      <c r="H364" s="633" t="n">
        <v>5.28</v>
      </c>
      <c r="I364" s="633" t="n">
        <v>5.64</v>
      </c>
      <c r="J364" s="38" t="n">
        <v>104</v>
      </c>
      <c r="K364" s="39" t="inlineStr">
        <is>
          <t>СК1</t>
        </is>
      </c>
      <c r="L364" s="38" t="n">
        <v>55</v>
      </c>
      <c r="M364" s="83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64" s="635" t="n"/>
      <c r="O364" s="635" t="n"/>
      <c r="P364" s="635" t="n"/>
      <c r="Q364" s="601" t="n"/>
      <c r="R364" s="40" t="inlineStr"/>
      <c r="S364" s="40" t="inlineStr"/>
      <c r="T364" s="41" t="inlineStr">
        <is>
          <t>кг</t>
        </is>
      </c>
      <c r="U364" s="636" t="n">
        <v>400</v>
      </c>
      <c r="V364" s="637">
        <f>IFERROR(IF(U364="",0,CEILING((U364/$H364),1)*$H364),"")</f>
        <v/>
      </c>
      <c r="W364" s="42">
        <f>IFERROR(IF(V364=0,"",ROUNDUP(V364/H364,0)*0.01196),"")</f>
        <v/>
      </c>
      <c r="X364" s="69" t="inlineStr"/>
      <c r="Y364" s="70" t="inlineStr"/>
      <c r="AC364" s="270" t="inlineStr">
        <is>
          <t>КИ</t>
        </is>
      </c>
    </row>
    <row r="365" ht="27" customHeight="1">
      <c r="A365" s="64" t="inlineStr">
        <is>
          <t>SU002019</t>
        </is>
      </c>
      <c r="B365" s="64" t="inlineStr">
        <is>
          <t>P002306</t>
        </is>
      </c>
      <c r="C365" s="37" t="n">
        <v>4301011142</v>
      </c>
      <c r="D365" s="356" t="n">
        <v>4607091389036</v>
      </c>
      <c r="E365" s="601" t="n"/>
      <c r="F365" s="633" t="n">
        <v>0.4</v>
      </c>
      <c r="G365" s="38" t="n">
        <v>6</v>
      </c>
      <c r="H365" s="633" t="n">
        <v>2.4</v>
      </c>
      <c r="I365" s="633" t="n">
        <v>2.6</v>
      </c>
      <c r="J365" s="38" t="n">
        <v>156</v>
      </c>
      <c r="K365" s="39" t="inlineStr">
        <is>
          <t>СК3</t>
        </is>
      </c>
      <c r="L365" s="38" t="n">
        <v>50</v>
      </c>
      <c r="M365" s="837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65" s="635" t="n"/>
      <c r="O365" s="635" t="n"/>
      <c r="P365" s="635" t="n"/>
      <c r="Q365" s="601" t="n"/>
      <c r="R365" s="40" t="inlineStr"/>
      <c r="S365" s="40" t="inlineStr"/>
      <c r="T365" s="41" t="inlineStr">
        <is>
          <t>кг</t>
        </is>
      </c>
      <c r="U365" s="636" t="n">
        <v>0</v>
      </c>
      <c r="V365" s="637">
        <f>IFERROR(IF(U365="",0,CEILING((U365/$H365),1)*$H365),"")</f>
        <v/>
      </c>
      <c r="W365" s="42">
        <f>IFERROR(IF(V365=0,"",ROUNDUP(V365/H365,0)*0.00753),"")</f>
        <v/>
      </c>
      <c r="X365" s="69" t="inlineStr"/>
      <c r="Y365" s="70" t="inlineStr"/>
      <c r="AC365" s="271" t="inlineStr">
        <is>
          <t>КИ</t>
        </is>
      </c>
    </row>
    <row r="366" ht="27" customHeight="1">
      <c r="A366" s="64" t="inlineStr">
        <is>
          <t>SU002632</t>
        </is>
      </c>
      <c r="B366" s="64" t="inlineStr">
        <is>
          <t>P002982</t>
        </is>
      </c>
      <c r="C366" s="37" t="n">
        <v>4301011367</v>
      </c>
      <c r="D366" s="356" t="n">
        <v>4680115880603</v>
      </c>
      <c r="E366" s="601" t="n"/>
      <c r="F366" s="633" t="n">
        <v>0.6</v>
      </c>
      <c r="G366" s="38" t="n">
        <v>6</v>
      </c>
      <c r="H366" s="633" t="n">
        <v>3.6</v>
      </c>
      <c r="I366" s="633" t="n">
        <v>3.84</v>
      </c>
      <c r="J366" s="38" t="n">
        <v>120</v>
      </c>
      <c r="K366" s="39" t="inlineStr">
        <is>
          <t>СК1</t>
        </is>
      </c>
      <c r="L366" s="38" t="n">
        <v>55</v>
      </c>
      <c r="M366" s="838" t="inlineStr">
        <is>
          <t>Вареные колбасы "Докторская ГОСТ" Фикс.вес 0,6 Вектор ТМ "Дугушка"</t>
        </is>
      </c>
      <c r="N366" s="635" t="n"/>
      <c r="O366" s="635" t="n"/>
      <c r="P366" s="635" t="n"/>
      <c r="Q366" s="601" t="n"/>
      <c r="R366" s="40" t="inlineStr"/>
      <c r="S366" s="40" t="inlineStr"/>
      <c r="T366" s="41" t="inlineStr">
        <is>
          <t>кг</t>
        </is>
      </c>
      <c r="U366" s="636" t="n">
        <v>0</v>
      </c>
      <c r="V366" s="637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272" t="inlineStr">
        <is>
          <t>КИ</t>
        </is>
      </c>
    </row>
    <row r="367" ht="27" customHeight="1">
      <c r="A367" s="64" t="inlineStr">
        <is>
          <t>SU002220</t>
        </is>
      </c>
      <c r="B367" s="64" t="inlineStr">
        <is>
          <t>P002404</t>
        </is>
      </c>
      <c r="C367" s="37" t="n">
        <v>4301011168</v>
      </c>
      <c r="D367" s="356" t="n">
        <v>4607091389999</v>
      </c>
      <c r="E367" s="601" t="n"/>
      <c r="F367" s="633" t="n">
        <v>0.6</v>
      </c>
      <c r="G367" s="38" t="n">
        <v>6</v>
      </c>
      <c r="H367" s="633" t="n">
        <v>3.6</v>
      </c>
      <c r="I367" s="633" t="n">
        <v>3.84</v>
      </c>
      <c r="J367" s="38" t="n">
        <v>120</v>
      </c>
      <c r="K367" s="39" t="inlineStr">
        <is>
          <t>СК1</t>
        </is>
      </c>
      <c r="L367" s="38" t="n">
        <v>55</v>
      </c>
      <c r="M367" s="839" t="inlineStr">
        <is>
          <t>Вареные колбасы "Докторская Дугушка" Фикс.вес 0,6 П/а ТМ "Дугушка"</t>
        </is>
      </c>
      <c r="N367" s="635" t="n"/>
      <c r="O367" s="635" t="n"/>
      <c r="P367" s="635" t="n"/>
      <c r="Q367" s="601" t="n"/>
      <c r="R367" s="40" t="inlineStr"/>
      <c r="S367" s="40" t="inlineStr"/>
      <c r="T367" s="41" t="inlineStr">
        <is>
          <t>кг</t>
        </is>
      </c>
      <c r="U367" s="636" t="n">
        <v>0</v>
      </c>
      <c r="V367" s="637">
        <f>IFERROR(IF(U367="",0,CEILING((U367/$H367),1)*$H367),"")</f>
        <v/>
      </c>
      <c r="W367" s="42">
        <f>IFERROR(IF(V367=0,"",ROUNDUP(V367/H367,0)*0.00937),"")</f>
        <v/>
      </c>
      <c r="X367" s="69" t="inlineStr"/>
      <c r="Y367" s="70" t="inlineStr"/>
      <c r="AC367" s="273" t="inlineStr">
        <is>
          <t>КИ</t>
        </is>
      </c>
    </row>
    <row r="368" ht="27" customHeight="1">
      <c r="A368" s="64" t="inlineStr">
        <is>
          <t>SU002635</t>
        </is>
      </c>
      <c r="B368" s="64" t="inlineStr">
        <is>
          <t>P002992</t>
        </is>
      </c>
      <c r="C368" s="37" t="n">
        <v>4301011372</v>
      </c>
      <c r="D368" s="356" t="n">
        <v>4680115882782</v>
      </c>
      <c r="E368" s="601" t="n"/>
      <c r="F368" s="633" t="n">
        <v>0.6</v>
      </c>
      <c r="G368" s="38" t="n">
        <v>6</v>
      </c>
      <c r="H368" s="633" t="n">
        <v>3.6</v>
      </c>
      <c r="I368" s="633" t="n">
        <v>3.84</v>
      </c>
      <c r="J368" s="38" t="n">
        <v>120</v>
      </c>
      <c r="K368" s="39" t="inlineStr">
        <is>
          <t>СК1</t>
        </is>
      </c>
      <c r="L368" s="38" t="n">
        <v>50</v>
      </c>
      <c r="M368" s="840" t="inlineStr">
        <is>
          <t>Вареные колбасы "Дугушка со шпиком" Фикс.вес 0,6 П/а ТМ "Дугушка"</t>
        </is>
      </c>
      <c r="N368" s="635" t="n"/>
      <c r="O368" s="635" t="n"/>
      <c r="P368" s="635" t="n"/>
      <c r="Q368" s="601" t="n"/>
      <c r="R368" s="40" t="inlineStr"/>
      <c r="S368" s="40" t="inlineStr"/>
      <c r="T368" s="41" t="inlineStr">
        <is>
          <t>кг</t>
        </is>
      </c>
      <c r="U368" s="636" t="n">
        <v>0</v>
      </c>
      <c r="V368" s="637">
        <f>IFERROR(IF(U368="",0,CEILING((U368/$H368),1)*$H368),"")</f>
        <v/>
      </c>
      <c r="W368" s="42">
        <f>IFERROR(IF(V368=0,"",ROUNDUP(V368/H368,0)*0.00937),"")</f>
        <v/>
      </c>
      <c r="X368" s="69" t="inlineStr"/>
      <c r="Y368" s="70" t="inlineStr"/>
      <c r="AC368" s="274" t="inlineStr">
        <is>
          <t>КИ</t>
        </is>
      </c>
    </row>
    <row r="369" ht="27" customHeight="1">
      <c r="A369" s="64" t="inlineStr">
        <is>
          <t>SU002020</t>
        </is>
      </c>
      <c r="B369" s="64" t="inlineStr">
        <is>
          <t>P002308</t>
        </is>
      </c>
      <c r="C369" s="37" t="n">
        <v>4301011190</v>
      </c>
      <c r="D369" s="356" t="n">
        <v>4607091389098</v>
      </c>
      <c r="E369" s="601" t="n"/>
      <c r="F369" s="633" t="n">
        <v>0.4</v>
      </c>
      <c r="G369" s="38" t="n">
        <v>6</v>
      </c>
      <c r="H369" s="633" t="n">
        <v>2.4</v>
      </c>
      <c r="I369" s="633" t="n">
        <v>2.6</v>
      </c>
      <c r="J369" s="38" t="n">
        <v>156</v>
      </c>
      <c r="K369" s="39" t="inlineStr">
        <is>
          <t>СК3</t>
        </is>
      </c>
      <c r="L369" s="38" t="n">
        <v>50</v>
      </c>
      <c r="M369" s="841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69" s="635" t="n"/>
      <c r="O369" s="635" t="n"/>
      <c r="P369" s="635" t="n"/>
      <c r="Q369" s="601" t="n"/>
      <c r="R369" s="40" t="inlineStr"/>
      <c r="S369" s="40" t="inlineStr"/>
      <c r="T369" s="41" t="inlineStr">
        <is>
          <t>кг</t>
        </is>
      </c>
      <c r="U369" s="636" t="n">
        <v>0</v>
      </c>
      <c r="V369" s="637">
        <f>IFERROR(IF(U369="",0,CEILING((U369/$H369),1)*$H369),"")</f>
        <v/>
      </c>
      <c r="W369" s="42">
        <f>IFERROR(IF(V369=0,"",ROUNDUP(V369/H369,0)*0.00753),"")</f>
        <v/>
      </c>
      <c r="X369" s="69" t="inlineStr"/>
      <c r="Y369" s="70" t="inlineStr"/>
      <c r="AC369" s="275" t="inlineStr">
        <is>
          <t>КИ</t>
        </is>
      </c>
    </row>
    <row r="370" ht="27" customHeight="1">
      <c r="A370" s="64" t="inlineStr">
        <is>
          <t>SU002631</t>
        </is>
      </c>
      <c r="B370" s="64" t="inlineStr">
        <is>
          <t>P002981</t>
        </is>
      </c>
      <c r="C370" s="37" t="n">
        <v>4301011366</v>
      </c>
      <c r="D370" s="356" t="n">
        <v>4607091389982</v>
      </c>
      <c r="E370" s="601" t="n"/>
      <c r="F370" s="633" t="n">
        <v>0.6</v>
      </c>
      <c r="G370" s="38" t="n">
        <v>6</v>
      </c>
      <c r="H370" s="633" t="n">
        <v>3.6</v>
      </c>
      <c r="I370" s="633" t="n">
        <v>3.84</v>
      </c>
      <c r="J370" s="38" t="n">
        <v>120</v>
      </c>
      <c r="K370" s="39" t="inlineStr">
        <is>
          <t>СК1</t>
        </is>
      </c>
      <c r="L370" s="38" t="n">
        <v>55</v>
      </c>
      <c r="M370" s="842" t="inlineStr">
        <is>
          <t>Вареные колбасы "Молочная Дугушка" Фикс.вес 0,6 П/а ТМ "Дугушка"</t>
        </is>
      </c>
      <c r="N370" s="635" t="n"/>
      <c r="O370" s="635" t="n"/>
      <c r="P370" s="635" t="n"/>
      <c r="Q370" s="601" t="n"/>
      <c r="R370" s="40" t="inlineStr"/>
      <c r="S370" s="40" t="inlineStr"/>
      <c r="T370" s="41" t="inlineStr">
        <is>
          <t>кг</t>
        </is>
      </c>
      <c r="U370" s="636" t="n">
        <v>0</v>
      </c>
      <c r="V370" s="637">
        <f>IFERROR(IF(U370="",0,CEILING((U370/$H370),1)*$H370),"")</f>
        <v/>
      </c>
      <c r="W370" s="42">
        <f>IFERROR(IF(V370=0,"",ROUNDUP(V370/H370,0)*0.00937),"")</f>
        <v/>
      </c>
      <c r="X370" s="69" t="inlineStr"/>
      <c r="Y370" s="70" t="inlineStr"/>
      <c r="AC370" s="276" t="inlineStr">
        <is>
          <t>КИ</t>
        </is>
      </c>
    </row>
    <row r="371">
      <c r="A371" s="364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38" t="n"/>
      <c r="M371" s="639" t="inlineStr">
        <is>
          <t>Итого</t>
        </is>
      </c>
      <c r="N371" s="609" t="n"/>
      <c r="O371" s="609" t="n"/>
      <c r="P371" s="609" t="n"/>
      <c r="Q371" s="609" t="n"/>
      <c r="R371" s="609" t="n"/>
      <c r="S371" s="610" t="n"/>
      <c r="T371" s="43" t="inlineStr">
        <is>
          <t>кор</t>
        </is>
      </c>
      <c r="U371" s="640">
        <f>IFERROR(U361/H361,"0")+IFERROR(U362/H362,"0")+IFERROR(U363/H363,"0")+IFERROR(U364/H364,"0")+IFERROR(U365/H365,"0")+IFERROR(U366/H366,"0")+IFERROR(U367/H367,"0")+IFERROR(U368/H368,"0")+IFERROR(U369/H369,"0")+IFERROR(U370/H370,"0")</f>
        <v/>
      </c>
      <c r="V371" s="640">
        <f>IFERROR(V361/H361,"0")+IFERROR(V362/H362,"0")+IFERROR(V363/H363,"0")+IFERROR(V364/H364,"0")+IFERROR(V365/H365,"0")+IFERROR(V366/H366,"0")+IFERROR(V367/H367,"0")+IFERROR(V368/H368,"0")+IFERROR(V369/H369,"0")+IFERROR(V370/H370,"0")</f>
        <v/>
      </c>
      <c r="W371" s="640">
        <f>IFERROR(IF(W361="",0,W361),"0")+IFERROR(IF(W362="",0,W362),"0")+IFERROR(IF(W363="",0,W363),"0")+IFERROR(IF(W364="",0,W364),"0")+IFERROR(IF(W365="",0,W365),"0")+IFERROR(IF(W366="",0,W366),"0")+IFERROR(IF(W367="",0,W367),"0")+IFERROR(IF(W368="",0,W368),"0")+IFERROR(IF(W369="",0,W369),"0")+IFERROR(IF(W370="",0,W370),"0")</f>
        <v/>
      </c>
      <c r="X371" s="641" t="n"/>
      <c r="Y371" s="641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38" t="n"/>
      <c r="M372" s="639" t="inlineStr">
        <is>
          <t>Итого</t>
        </is>
      </c>
      <c r="N372" s="609" t="n"/>
      <c r="O372" s="609" t="n"/>
      <c r="P372" s="609" t="n"/>
      <c r="Q372" s="609" t="n"/>
      <c r="R372" s="609" t="n"/>
      <c r="S372" s="610" t="n"/>
      <c r="T372" s="43" t="inlineStr">
        <is>
          <t>кг</t>
        </is>
      </c>
      <c r="U372" s="640">
        <f>IFERROR(SUM(U361:U370),"0")</f>
        <v/>
      </c>
      <c r="V372" s="640">
        <f>IFERROR(SUM(V361:V370),"0")</f>
        <v/>
      </c>
      <c r="W372" s="43" t="n"/>
      <c r="X372" s="641" t="n"/>
      <c r="Y372" s="641" t="n"/>
    </row>
    <row r="373" ht="14.25" customHeight="1">
      <c r="A373" s="355" t="inlineStr">
        <is>
          <t>Ветчины</t>
        </is>
      </c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355" t="n"/>
      <c r="Y373" s="355" t="n"/>
    </row>
    <row r="374" ht="16.5" customHeight="1">
      <c r="A374" s="64" t="inlineStr">
        <is>
          <t>SU002035</t>
        </is>
      </c>
      <c r="B374" s="64" t="inlineStr">
        <is>
          <t>P003146</t>
        </is>
      </c>
      <c r="C374" s="37" t="n">
        <v>4301020222</v>
      </c>
      <c r="D374" s="356" t="n">
        <v>4607091388930</v>
      </c>
      <c r="E374" s="601" t="n"/>
      <c r="F374" s="633" t="n">
        <v>0.88</v>
      </c>
      <c r="G374" s="38" t="n">
        <v>6</v>
      </c>
      <c r="H374" s="633" t="n">
        <v>5.28</v>
      </c>
      <c r="I374" s="633" t="n">
        <v>5.64</v>
      </c>
      <c r="J374" s="38" t="n">
        <v>104</v>
      </c>
      <c r="K374" s="39" t="inlineStr">
        <is>
          <t>СК1</t>
        </is>
      </c>
      <c r="L374" s="38" t="n">
        <v>55</v>
      </c>
      <c r="M374" s="843">
        <f>HYPERLINK("https://abi.ru/products/Охлажденные/Дугушка/Дугушка/Ветчины/P003146/","Ветчины Дугушка Дугушка Вес б/о Дугушка")</f>
        <v/>
      </c>
      <c r="N374" s="635" t="n"/>
      <c r="O374" s="635" t="n"/>
      <c r="P374" s="635" t="n"/>
      <c r="Q374" s="601" t="n"/>
      <c r="R374" s="40" t="inlineStr"/>
      <c r="S374" s="40" t="inlineStr"/>
      <c r="T374" s="41" t="inlineStr">
        <is>
          <t>кг</t>
        </is>
      </c>
      <c r="U374" s="636" t="n">
        <v>300</v>
      </c>
      <c r="V374" s="637">
        <f>IFERROR(IF(U374="",0,CEILING((U374/$H374),1)*$H374),"")</f>
        <v/>
      </c>
      <c r="W374" s="42">
        <f>IFERROR(IF(V374=0,"",ROUNDUP(V374/H374,0)*0.01196),"")</f>
        <v/>
      </c>
      <c r="X374" s="69" t="inlineStr"/>
      <c r="Y374" s="70" t="inlineStr"/>
      <c r="AC374" s="277" t="inlineStr">
        <is>
          <t>КИ</t>
        </is>
      </c>
    </row>
    <row r="375" ht="16.5" customHeight="1">
      <c r="A375" s="64" t="inlineStr">
        <is>
          <t>SU002643</t>
        </is>
      </c>
      <c r="B375" s="64" t="inlineStr">
        <is>
          <t>P002993</t>
        </is>
      </c>
      <c r="C375" s="37" t="n">
        <v>4301020206</v>
      </c>
      <c r="D375" s="356" t="n">
        <v>4680115880054</v>
      </c>
      <c r="E375" s="601" t="n"/>
      <c r="F375" s="633" t="n">
        <v>0.6</v>
      </c>
      <c r="G375" s="38" t="n">
        <v>6</v>
      </c>
      <c r="H375" s="633" t="n">
        <v>3.6</v>
      </c>
      <c r="I375" s="633" t="n">
        <v>3.84</v>
      </c>
      <c r="J375" s="38" t="n">
        <v>120</v>
      </c>
      <c r="K375" s="39" t="inlineStr">
        <is>
          <t>СК1</t>
        </is>
      </c>
      <c r="L375" s="38" t="n">
        <v>55</v>
      </c>
      <c r="M375" s="844" t="inlineStr">
        <is>
          <t>Ветчины "Дугушка" Фикс.вес 0,6 П/а ТМ "Дугушка"</t>
        </is>
      </c>
      <c r="N375" s="635" t="n"/>
      <c r="O375" s="635" t="n"/>
      <c r="P375" s="635" t="n"/>
      <c r="Q375" s="601" t="n"/>
      <c r="R375" s="40" t="inlineStr"/>
      <c r="S375" s="40" t="inlineStr"/>
      <c r="T375" s="41" t="inlineStr">
        <is>
          <t>кг</t>
        </is>
      </c>
      <c r="U375" s="636" t="n">
        <v>0</v>
      </c>
      <c r="V375" s="637">
        <f>IFERROR(IF(U375="",0,CEILING((U375/$H375),1)*$H375),"")</f>
        <v/>
      </c>
      <c r="W375" s="42">
        <f>IFERROR(IF(V375=0,"",ROUNDUP(V375/H375,0)*0.00937),"")</f>
        <v/>
      </c>
      <c r="X375" s="69" t="inlineStr"/>
      <c r="Y375" s="70" t="inlineStr"/>
      <c r="AC375" s="278" t="inlineStr">
        <is>
          <t>КИ</t>
        </is>
      </c>
    </row>
    <row r="376">
      <c r="A376" s="364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38" t="n"/>
      <c r="M376" s="639" t="inlineStr">
        <is>
          <t>Итого</t>
        </is>
      </c>
      <c r="N376" s="609" t="n"/>
      <c r="O376" s="609" t="n"/>
      <c r="P376" s="609" t="n"/>
      <c r="Q376" s="609" t="n"/>
      <c r="R376" s="609" t="n"/>
      <c r="S376" s="610" t="n"/>
      <c r="T376" s="43" t="inlineStr">
        <is>
          <t>кор</t>
        </is>
      </c>
      <c r="U376" s="640">
        <f>IFERROR(U374/H374,"0")+IFERROR(U375/H375,"0")</f>
        <v/>
      </c>
      <c r="V376" s="640">
        <f>IFERROR(V374/H374,"0")+IFERROR(V375/H375,"0")</f>
        <v/>
      </c>
      <c r="W376" s="640">
        <f>IFERROR(IF(W374="",0,W374),"0")+IFERROR(IF(W375="",0,W375),"0")</f>
        <v/>
      </c>
      <c r="X376" s="641" t="n"/>
      <c r="Y376" s="641" t="n"/>
    </row>
    <row r="37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38" t="n"/>
      <c r="M377" s="639" t="inlineStr">
        <is>
          <t>Итого</t>
        </is>
      </c>
      <c r="N377" s="609" t="n"/>
      <c r="O377" s="609" t="n"/>
      <c r="P377" s="609" t="n"/>
      <c r="Q377" s="609" t="n"/>
      <c r="R377" s="609" t="n"/>
      <c r="S377" s="610" t="n"/>
      <c r="T377" s="43" t="inlineStr">
        <is>
          <t>кг</t>
        </is>
      </c>
      <c r="U377" s="640">
        <f>IFERROR(SUM(U374:U375),"0")</f>
        <v/>
      </c>
      <c r="V377" s="640">
        <f>IFERROR(SUM(V374:V375),"0")</f>
        <v/>
      </c>
      <c r="W377" s="43" t="n"/>
      <c r="X377" s="641" t="n"/>
      <c r="Y377" s="641" t="n"/>
    </row>
    <row r="378" ht="14.25" customHeight="1">
      <c r="A378" s="355" t="inlineStr">
        <is>
          <t>Копченые колбасы</t>
        </is>
      </c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355" t="n"/>
      <c r="Y378" s="355" t="n"/>
    </row>
    <row r="379" ht="27" customHeight="1">
      <c r="A379" s="64" t="inlineStr">
        <is>
          <t>SU002150</t>
        </is>
      </c>
      <c r="B379" s="64" t="inlineStr">
        <is>
          <t>P003249</t>
        </is>
      </c>
      <c r="C379" s="37" t="n">
        <v>4301031198</v>
      </c>
      <c r="D379" s="356" t="n">
        <v>4607091383348</v>
      </c>
      <c r="E379" s="601" t="n"/>
      <c r="F379" s="633" t="n">
        <v>0.88</v>
      </c>
      <c r="G379" s="38" t="n">
        <v>6</v>
      </c>
      <c r="H379" s="633" t="n">
        <v>5.28</v>
      </c>
      <c r="I379" s="633" t="n">
        <v>5.64</v>
      </c>
      <c r="J379" s="38" t="n">
        <v>104</v>
      </c>
      <c r="K379" s="39" t="inlineStr">
        <is>
          <t>СК1</t>
        </is>
      </c>
      <c r="L379" s="38" t="n">
        <v>55</v>
      </c>
      <c r="M379" s="845">
        <f>HYPERLINK("https://abi.ru/products/Охлажденные/Дугушка/Дугушка/Копченые колбасы/P003249/","В/к колбасы Рубленая Запеченная Дугушка Весовые Вектор Дугушка")</f>
        <v/>
      </c>
      <c r="N379" s="635" t="n"/>
      <c r="O379" s="635" t="n"/>
      <c r="P379" s="635" t="n"/>
      <c r="Q379" s="601" t="n"/>
      <c r="R379" s="40" t="inlineStr"/>
      <c r="S379" s="40" t="inlineStr"/>
      <c r="T379" s="41" t="inlineStr">
        <is>
          <t>кг</t>
        </is>
      </c>
      <c r="U379" s="636" t="n">
        <v>0</v>
      </c>
      <c r="V379" s="637">
        <f>IFERROR(IF(U379="",0,CEILING((U379/$H379),1)*$H379),"")</f>
        <v/>
      </c>
      <c r="W379" s="42">
        <f>IFERROR(IF(V379=0,"",ROUNDUP(V379/H379,0)*0.01196),"")</f>
        <v/>
      </c>
      <c r="X379" s="69" t="inlineStr"/>
      <c r="Y379" s="70" t="inlineStr"/>
      <c r="AC379" s="279" t="inlineStr">
        <is>
          <t>КИ</t>
        </is>
      </c>
    </row>
    <row r="380" ht="27" customHeight="1">
      <c r="A380" s="64" t="inlineStr">
        <is>
          <t>SU002158</t>
        </is>
      </c>
      <c r="B380" s="64" t="inlineStr">
        <is>
          <t>P003152</t>
        </is>
      </c>
      <c r="C380" s="37" t="n">
        <v>4301031188</v>
      </c>
      <c r="D380" s="356" t="n">
        <v>4607091383386</v>
      </c>
      <c r="E380" s="601" t="n"/>
      <c r="F380" s="633" t="n">
        <v>0.88</v>
      </c>
      <c r="G380" s="38" t="n">
        <v>6</v>
      </c>
      <c r="H380" s="633" t="n">
        <v>5.28</v>
      </c>
      <c r="I380" s="633" t="n">
        <v>5.64</v>
      </c>
      <c r="J380" s="38" t="n">
        <v>104</v>
      </c>
      <c r="K380" s="39" t="inlineStr">
        <is>
          <t>СК2</t>
        </is>
      </c>
      <c r="L380" s="38" t="n">
        <v>55</v>
      </c>
      <c r="M380" s="846">
        <f>HYPERLINK("https://abi.ru/products/Охлажденные/Дугушка/Дугушка/Копченые колбасы/P003152/","В/к колбасы Салями Запеченая Дугушка Весовые Вектор Дугушка")</f>
        <v/>
      </c>
      <c r="N380" s="635" t="n"/>
      <c r="O380" s="635" t="n"/>
      <c r="P380" s="635" t="n"/>
      <c r="Q380" s="601" t="n"/>
      <c r="R380" s="40" t="inlineStr"/>
      <c r="S380" s="40" t="inlineStr"/>
      <c r="T380" s="41" t="inlineStr">
        <is>
          <t>кг</t>
        </is>
      </c>
      <c r="U380" s="636" t="n">
        <v>0</v>
      </c>
      <c r="V380" s="637">
        <f>IFERROR(IF(U380="",0,CEILING((U380/$H380),1)*$H380),"")</f>
        <v/>
      </c>
      <c r="W380" s="42">
        <f>IFERROR(IF(V380=0,"",ROUNDUP(V380/H380,0)*0.01196),"")</f>
        <v/>
      </c>
      <c r="X380" s="69" t="inlineStr"/>
      <c r="Y380" s="70" t="inlineStr"/>
      <c r="AC380" s="280" t="inlineStr">
        <is>
          <t>КИ</t>
        </is>
      </c>
    </row>
    <row r="381" ht="27" customHeight="1">
      <c r="A381" s="64" t="inlineStr">
        <is>
          <t>SU002151</t>
        </is>
      </c>
      <c r="B381" s="64" t="inlineStr">
        <is>
          <t>P003153</t>
        </is>
      </c>
      <c r="C381" s="37" t="n">
        <v>4301031189</v>
      </c>
      <c r="D381" s="356" t="n">
        <v>4607091383355</v>
      </c>
      <c r="E381" s="601" t="n"/>
      <c r="F381" s="633" t="n">
        <v>0.88</v>
      </c>
      <c r="G381" s="38" t="n">
        <v>6</v>
      </c>
      <c r="H381" s="633" t="n">
        <v>5.28</v>
      </c>
      <c r="I381" s="633" t="n">
        <v>5.64</v>
      </c>
      <c r="J381" s="38" t="n">
        <v>104</v>
      </c>
      <c r="K381" s="39" t="inlineStr">
        <is>
          <t>СК2</t>
        </is>
      </c>
      <c r="L381" s="38" t="n">
        <v>55</v>
      </c>
      <c r="M381" s="847">
        <f>HYPERLINK("https://abi.ru/products/Охлажденные/Дугушка/Дугушка/Копченые колбасы/P003153/","В/к колбасы Сервелат Запеченный Дугушка Вес Вектор Дугушка")</f>
        <v/>
      </c>
      <c r="N381" s="635" t="n"/>
      <c r="O381" s="635" t="n"/>
      <c r="P381" s="635" t="n"/>
      <c r="Q381" s="601" t="n"/>
      <c r="R381" s="40" t="inlineStr"/>
      <c r="S381" s="40" t="inlineStr"/>
      <c r="T381" s="41" t="inlineStr">
        <is>
          <t>кг</t>
        </is>
      </c>
      <c r="U381" s="636" t="n">
        <v>0</v>
      </c>
      <c r="V381" s="637">
        <f>IFERROR(IF(U381="",0,CEILING((U381/$H381),1)*$H381),"")</f>
        <v/>
      </c>
      <c r="W381" s="42">
        <f>IFERROR(IF(V381=0,"",ROUNDUP(V381/H381,0)*0.01196),"")</f>
        <v/>
      </c>
      <c r="X381" s="69" t="inlineStr"/>
      <c r="Y381" s="70" t="inlineStr"/>
      <c r="AC381" s="281" t="inlineStr">
        <is>
          <t>КИ</t>
        </is>
      </c>
    </row>
    <row r="382" ht="27" customHeight="1">
      <c r="A382" s="64" t="inlineStr">
        <is>
          <t>SU002916</t>
        </is>
      </c>
      <c r="B382" s="64" t="inlineStr">
        <is>
          <t>P003342</t>
        </is>
      </c>
      <c r="C382" s="37" t="n">
        <v>4301031214</v>
      </c>
      <c r="D382" s="356" t="n">
        <v>4680115882072</v>
      </c>
      <c r="E382" s="601" t="n"/>
      <c r="F382" s="633" t="n">
        <v>0.6</v>
      </c>
      <c r="G382" s="38" t="n">
        <v>6</v>
      </c>
      <c r="H382" s="633" t="n">
        <v>3.6</v>
      </c>
      <c r="I382" s="633" t="n">
        <v>3.84</v>
      </c>
      <c r="J382" s="38" t="n">
        <v>120</v>
      </c>
      <c r="K382" s="39" t="inlineStr">
        <is>
          <t>СК1</t>
        </is>
      </c>
      <c r="L382" s="38" t="n">
        <v>55</v>
      </c>
      <c r="M382" s="848" t="inlineStr">
        <is>
          <t>В/к колбасы "Рубленая Запеченная" Фикс.вес 0,6 Вектор ТМ "Дугушка"</t>
        </is>
      </c>
      <c r="N382" s="635" t="n"/>
      <c r="O382" s="635" t="n"/>
      <c r="P382" s="635" t="n"/>
      <c r="Q382" s="601" t="n"/>
      <c r="R382" s="40" t="inlineStr"/>
      <c r="S382" s="40" t="inlineStr"/>
      <c r="T382" s="41" t="inlineStr">
        <is>
          <t>кг</t>
        </is>
      </c>
      <c r="U382" s="636" t="n">
        <v>150</v>
      </c>
      <c r="V382" s="637">
        <f>IFERROR(IF(U382="",0,CEILING((U382/$H382),1)*$H382),"")</f>
        <v/>
      </c>
      <c r="W382" s="42">
        <f>IFERROR(IF(V382=0,"",ROUNDUP(V382/H382,0)*0.00937),"")</f>
        <v/>
      </c>
      <c r="X382" s="69" t="inlineStr"/>
      <c r="Y382" s="70" t="inlineStr"/>
      <c r="AC382" s="282" t="inlineStr">
        <is>
          <t>КИ</t>
        </is>
      </c>
    </row>
    <row r="383" ht="27" customHeight="1">
      <c r="A383" s="64" t="inlineStr">
        <is>
          <t>SU002919</t>
        </is>
      </c>
      <c r="B383" s="64" t="inlineStr">
        <is>
          <t>P003345</t>
        </is>
      </c>
      <c r="C383" s="37" t="n">
        <v>4301031217</v>
      </c>
      <c r="D383" s="356" t="n">
        <v>4680115882102</v>
      </c>
      <c r="E383" s="601" t="n"/>
      <c r="F383" s="633" t="n">
        <v>0.6</v>
      </c>
      <c r="G383" s="38" t="n">
        <v>6</v>
      </c>
      <c r="H383" s="633" t="n">
        <v>3.6</v>
      </c>
      <c r="I383" s="633" t="n">
        <v>3.81</v>
      </c>
      <c r="J383" s="38" t="n">
        <v>120</v>
      </c>
      <c r="K383" s="39" t="inlineStr">
        <is>
          <t>СК2</t>
        </is>
      </c>
      <c r="L383" s="38" t="n">
        <v>55</v>
      </c>
      <c r="M383" s="849" t="inlineStr">
        <is>
          <t>В/к колбасы "Салями Запеченая" Фикс.вес 0,6 Вектор ТМ "Дугушка"</t>
        </is>
      </c>
      <c r="N383" s="635" t="n"/>
      <c r="O383" s="635" t="n"/>
      <c r="P383" s="635" t="n"/>
      <c r="Q383" s="601" t="n"/>
      <c r="R383" s="40" t="inlineStr"/>
      <c r="S383" s="40" t="inlineStr"/>
      <c r="T383" s="41" t="inlineStr">
        <is>
          <t>кг</t>
        </is>
      </c>
      <c r="U383" s="636" t="n">
        <v>150</v>
      </c>
      <c r="V383" s="637">
        <f>IFERROR(IF(U383="",0,CEILING((U383/$H383),1)*$H383),"")</f>
        <v/>
      </c>
      <c r="W383" s="42">
        <f>IFERROR(IF(V383=0,"",ROUNDUP(V383/H383,0)*0.00937),"")</f>
        <v/>
      </c>
      <c r="X383" s="69" t="inlineStr"/>
      <c r="Y383" s="70" t="inlineStr"/>
      <c r="AC383" s="283" t="inlineStr">
        <is>
          <t>КИ</t>
        </is>
      </c>
    </row>
    <row r="384" ht="27" customHeight="1">
      <c r="A384" s="64" t="inlineStr">
        <is>
          <t>SU002918</t>
        </is>
      </c>
      <c r="B384" s="64" t="inlineStr">
        <is>
          <t>P003344</t>
        </is>
      </c>
      <c r="C384" s="37" t="n">
        <v>4301031216</v>
      </c>
      <c r="D384" s="356" t="n">
        <v>4680115882096</v>
      </c>
      <c r="E384" s="601" t="n"/>
      <c r="F384" s="633" t="n">
        <v>0.6</v>
      </c>
      <c r="G384" s="38" t="n">
        <v>6</v>
      </c>
      <c r="H384" s="633" t="n">
        <v>3.6</v>
      </c>
      <c r="I384" s="633" t="n">
        <v>3.81</v>
      </c>
      <c r="J384" s="38" t="n">
        <v>120</v>
      </c>
      <c r="K384" s="39" t="inlineStr">
        <is>
          <t>СК2</t>
        </is>
      </c>
      <c r="L384" s="38" t="n">
        <v>55</v>
      </c>
      <c r="M384" s="850" t="inlineStr">
        <is>
          <t>В/к колбасы "Сервелат Запеченный" Фикс.вес 0,6 Вектор ТМ "Дугушка"</t>
        </is>
      </c>
      <c r="N384" s="635" t="n"/>
      <c r="O384" s="635" t="n"/>
      <c r="P384" s="635" t="n"/>
      <c r="Q384" s="601" t="n"/>
      <c r="R384" s="40" t="inlineStr"/>
      <c r="S384" s="40" t="inlineStr"/>
      <c r="T384" s="41" t="inlineStr">
        <is>
          <t>кг</t>
        </is>
      </c>
      <c r="U384" s="636" t="n">
        <v>150</v>
      </c>
      <c r="V384" s="637">
        <f>IFERROR(IF(U384="",0,CEILING((U384/$H384),1)*$H384),"")</f>
        <v/>
      </c>
      <c r="W384" s="42">
        <f>IFERROR(IF(V384=0,"",ROUNDUP(V384/H384,0)*0.00937),"")</f>
        <v/>
      </c>
      <c r="X384" s="69" t="inlineStr"/>
      <c r="Y384" s="70" t="inlineStr"/>
      <c r="AC384" s="284" t="inlineStr">
        <is>
          <t>КИ</t>
        </is>
      </c>
    </row>
    <row r="385">
      <c r="A385" s="364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638" t="n"/>
      <c r="M385" s="639" t="inlineStr">
        <is>
          <t>Итого</t>
        </is>
      </c>
      <c r="N385" s="609" t="n"/>
      <c r="O385" s="609" t="n"/>
      <c r="P385" s="609" t="n"/>
      <c r="Q385" s="609" t="n"/>
      <c r="R385" s="609" t="n"/>
      <c r="S385" s="610" t="n"/>
      <c r="T385" s="43" t="inlineStr">
        <is>
          <t>кор</t>
        </is>
      </c>
      <c r="U385" s="640">
        <f>IFERROR(U379/H379,"0")+IFERROR(U380/H380,"0")+IFERROR(U381/H381,"0")+IFERROR(U382/H382,"0")+IFERROR(U383/H383,"0")+IFERROR(U384/H384,"0")</f>
        <v/>
      </c>
      <c r="V385" s="640">
        <f>IFERROR(V379/H379,"0")+IFERROR(V380/H380,"0")+IFERROR(V381/H381,"0")+IFERROR(V382/H382,"0")+IFERROR(V383/H383,"0")+IFERROR(V384/H384,"0")</f>
        <v/>
      </c>
      <c r="W385" s="640">
        <f>IFERROR(IF(W379="",0,W379),"0")+IFERROR(IF(W380="",0,W380),"0")+IFERROR(IF(W381="",0,W381),"0")+IFERROR(IF(W382="",0,W382),"0")+IFERROR(IF(W383="",0,W383),"0")+IFERROR(IF(W384="",0,W384),"0")</f>
        <v/>
      </c>
      <c r="X385" s="641" t="n"/>
      <c r="Y385" s="641" t="n"/>
    </row>
    <row r="386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638" t="n"/>
      <c r="M386" s="639" t="inlineStr">
        <is>
          <t>Итого</t>
        </is>
      </c>
      <c r="N386" s="609" t="n"/>
      <c r="O386" s="609" t="n"/>
      <c r="P386" s="609" t="n"/>
      <c r="Q386" s="609" t="n"/>
      <c r="R386" s="609" t="n"/>
      <c r="S386" s="610" t="n"/>
      <c r="T386" s="43" t="inlineStr">
        <is>
          <t>кг</t>
        </is>
      </c>
      <c r="U386" s="640">
        <f>IFERROR(SUM(U379:U384),"0")</f>
        <v/>
      </c>
      <c r="V386" s="640">
        <f>IFERROR(SUM(V379:V384),"0")</f>
        <v/>
      </c>
      <c r="W386" s="43" t="n"/>
      <c r="X386" s="641" t="n"/>
      <c r="Y386" s="641" t="n"/>
    </row>
    <row r="387" ht="14.25" customHeight="1">
      <c r="A387" s="355" t="inlineStr">
        <is>
          <t>Сосиски</t>
        </is>
      </c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355" t="n"/>
      <c r="Y387" s="355" t="n"/>
    </row>
    <row r="388" ht="16.5" customHeight="1">
      <c r="A388" s="64" t="inlineStr">
        <is>
          <t>SU002218</t>
        </is>
      </c>
      <c r="B388" s="64" t="inlineStr">
        <is>
          <t>P002854</t>
        </is>
      </c>
      <c r="C388" s="37" t="n">
        <v>4301051230</v>
      </c>
      <c r="D388" s="356" t="n">
        <v>4607091383409</v>
      </c>
      <c r="E388" s="601" t="n"/>
      <c r="F388" s="633" t="n">
        <v>1.3</v>
      </c>
      <c r="G388" s="38" t="n">
        <v>6</v>
      </c>
      <c r="H388" s="633" t="n">
        <v>7.8</v>
      </c>
      <c r="I388" s="633" t="n">
        <v>8.346</v>
      </c>
      <c r="J388" s="38" t="n">
        <v>56</v>
      </c>
      <c r="K388" s="39" t="inlineStr">
        <is>
          <t>СК2</t>
        </is>
      </c>
      <c r="L388" s="38" t="n">
        <v>45</v>
      </c>
      <c r="M388" s="851">
        <f>HYPERLINK("https://abi.ru/products/Охлажденные/Дугушка/Дугушка/Сосиски/P002854/","Сосиски Молочные Дугушки Дугушка Весовые П/а мгс Дугушка")</f>
        <v/>
      </c>
      <c r="N388" s="635" t="n"/>
      <c r="O388" s="635" t="n"/>
      <c r="P388" s="635" t="n"/>
      <c r="Q388" s="601" t="n"/>
      <c r="R388" s="40" t="inlineStr"/>
      <c r="S388" s="40" t="inlineStr"/>
      <c r="T388" s="41" t="inlineStr">
        <is>
          <t>кг</t>
        </is>
      </c>
      <c r="U388" s="636" t="n">
        <v>0</v>
      </c>
      <c r="V388" s="637">
        <f>IFERROR(IF(U388="",0,CEILING((U388/$H388),1)*$H388),"")</f>
        <v/>
      </c>
      <c r="W388" s="42">
        <f>IFERROR(IF(V388=0,"",ROUNDUP(V388/H388,0)*0.02175),"")</f>
        <v/>
      </c>
      <c r="X388" s="69" t="inlineStr"/>
      <c r="Y388" s="70" t="inlineStr"/>
      <c r="AC388" s="285" t="inlineStr">
        <is>
          <t>КИ</t>
        </is>
      </c>
    </row>
    <row r="389" ht="16.5" customHeight="1">
      <c r="A389" s="64" t="inlineStr">
        <is>
          <t>SU002219</t>
        </is>
      </c>
      <c r="B389" s="64" t="inlineStr">
        <is>
          <t>P002855</t>
        </is>
      </c>
      <c r="C389" s="37" t="n">
        <v>4301051231</v>
      </c>
      <c r="D389" s="356" t="n">
        <v>4607091383416</v>
      </c>
      <c r="E389" s="601" t="n"/>
      <c r="F389" s="633" t="n">
        <v>1.3</v>
      </c>
      <c r="G389" s="38" t="n">
        <v>6</v>
      </c>
      <c r="H389" s="633" t="n">
        <v>7.8</v>
      </c>
      <c r="I389" s="633" t="n">
        <v>8.346</v>
      </c>
      <c r="J389" s="38" t="n">
        <v>56</v>
      </c>
      <c r="K389" s="39" t="inlineStr">
        <is>
          <t>СК2</t>
        </is>
      </c>
      <c r="L389" s="38" t="n">
        <v>45</v>
      </c>
      <c r="M389" s="852">
        <f>HYPERLINK("https://abi.ru/products/Охлажденные/Дугушка/Дугушка/Сосиски/P002855/","Сосиски Сливочные Дугушки Дугушка Весовые П/а мгс Дугушка")</f>
        <v/>
      </c>
      <c r="N389" s="635" t="n"/>
      <c r="O389" s="635" t="n"/>
      <c r="P389" s="635" t="n"/>
      <c r="Q389" s="601" t="n"/>
      <c r="R389" s="40" t="inlineStr"/>
      <c r="S389" s="40" t="inlineStr"/>
      <c r="T389" s="41" t="inlineStr">
        <is>
          <t>кг</t>
        </is>
      </c>
      <c r="U389" s="636" t="n">
        <v>0</v>
      </c>
      <c r="V389" s="637">
        <f>IFERROR(IF(U389="",0,CEILING((U389/$H389),1)*$H389),"")</f>
        <v/>
      </c>
      <c r="W389" s="42">
        <f>IFERROR(IF(V389=0,"",ROUNDUP(V389/H389,0)*0.02175),"")</f>
        <v/>
      </c>
      <c r="X389" s="69" t="inlineStr"/>
      <c r="Y389" s="70" t="inlineStr"/>
      <c r="AC389" s="286" t="inlineStr">
        <is>
          <t>КИ</t>
        </is>
      </c>
    </row>
    <row r="390">
      <c r="A390" s="364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38" t="n"/>
      <c r="M390" s="639" t="inlineStr">
        <is>
          <t>Итого</t>
        </is>
      </c>
      <c r="N390" s="609" t="n"/>
      <c r="O390" s="609" t="n"/>
      <c r="P390" s="609" t="n"/>
      <c r="Q390" s="609" t="n"/>
      <c r="R390" s="609" t="n"/>
      <c r="S390" s="610" t="n"/>
      <c r="T390" s="43" t="inlineStr">
        <is>
          <t>кор</t>
        </is>
      </c>
      <c r="U390" s="640">
        <f>IFERROR(U388/H388,"0")+IFERROR(U389/H389,"0")</f>
        <v/>
      </c>
      <c r="V390" s="640">
        <f>IFERROR(V388/H388,"0")+IFERROR(V389/H389,"0")</f>
        <v/>
      </c>
      <c r="W390" s="640">
        <f>IFERROR(IF(W388="",0,W388),"0")+IFERROR(IF(W389="",0,W389),"0")</f>
        <v/>
      </c>
      <c r="X390" s="641" t="n"/>
      <c r="Y390" s="641" t="n"/>
    </row>
    <row r="39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638" t="n"/>
      <c r="M391" s="639" t="inlineStr">
        <is>
          <t>Итого</t>
        </is>
      </c>
      <c r="N391" s="609" t="n"/>
      <c r="O391" s="609" t="n"/>
      <c r="P391" s="609" t="n"/>
      <c r="Q391" s="609" t="n"/>
      <c r="R391" s="609" t="n"/>
      <c r="S391" s="610" t="n"/>
      <c r="T391" s="43" t="inlineStr">
        <is>
          <t>кг</t>
        </is>
      </c>
      <c r="U391" s="640">
        <f>IFERROR(SUM(U388:U389),"0")</f>
        <v/>
      </c>
      <c r="V391" s="640">
        <f>IFERROR(SUM(V388:V389),"0")</f>
        <v/>
      </c>
      <c r="W391" s="43" t="n"/>
      <c r="X391" s="641" t="n"/>
      <c r="Y391" s="641" t="n"/>
    </row>
    <row r="392" ht="27.75" customHeight="1">
      <c r="A392" s="353" t="inlineStr">
        <is>
          <t>Зареченские</t>
        </is>
      </c>
      <c r="B392" s="632" t="n"/>
      <c r="C392" s="632" t="n"/>
      <c r="D392" s="632" t="n"/>
      <c r="E392" s="632" t="n"/>
      <c r="F392" s="632" t="n"/>
      <c r="G392" s="632" t="n"/>
      <c r="H392" s="632" t="n"/>
      <c r="I392" s="632" t="n"/>
      <c r="J392" s="632" t="n"/>
      <c r="K392" s="632" t="n"/>
      <c r="L392" s="632" t="n"/>
      <c r="M392" s="632" t="n"/>
      <c r="N392" s="632" t="n"/>
      <c r="O392" s="632" t="n"/>
      <c r="P392" s="632" t="n"/>
      <c r="Q392" s="632" t="n"/>
      <c r="R392" s="632" t="n"/>
      <c r="S392" s="632" t="n"/>
      <c r="T392" s="632" t="n"/>
      <c r="U392" s="632" t="n"/>
      <c r="V392" s="632" t="n"/>
      <c r="W392" s="632" t="n"/>
      <c r="X392" s="55" t="n"/>
      <c r="Y392" s="55" t="n"/>
    </row>
    <row r="393" ht="16.5" customHeight="1">
      <c r="A393" s="354" t="inlineStr">
        <is>
          <t>Зареченские продукты</t>
        </is>
      </c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354" t="n"/>
      <c r="Y393" s="354" t="n"/>
    </row>
    <row r="394" ht="14.25" customHeight="1">
      <c r="A394" s="355" t="inlineStr">
        <is>
          <t>Вареные колбасы</t>
        </is>
      </c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355" t="n"/>
      <c r="Y394" s="355" t="n"/>
    </row>
    <row r="395" ht="27" customHeight="1">
      <c r="A395" s="64" t="inlineStr">
        <is>
          <t>SU002807</t>
        </is>
      </c>
      <c r="B395" s="64" t="inlineStr">
        <is>
          <t>P003210</t>
        </is>
      </c>
      <c r="C395" s="37" t="n">
        <v>4301011434</v>
      </c>
      <c r="D395" s="356" t="n">
        <v>4680115881099</v>
      </c>
      <c r="E395" s="601" t="n"/>
      <c r="F395" s="633" t="n">
        <v>1.5</v>
      </c>
      <c r="G395" s="38" t="n">
        <v>8</v>
      </c>
      <c r="H395" s="633" t="n">
        <v>12</v>
      </c>
      <c r="I395" s="633" t="n">
        <v>12.48</v>
      </c>
      <c r="J395" s="38" t="n">
        <v>56</v>
      </c>
      <c r="K395" s="39" t="inlineStr">
        <is>
          <t>СК1</t>
        </is>
      </c>
      <c r="L395" s="38" t="n">
        <v>50</v>
      </c>
      <c r="M395" s="853" t="inlineStr">
        <is>
          <t>Вареные колбасы "Муромская" Весовой п/а ТМ "Зареченские"</t>
        </is>
      </c>
      <c r="N395" s="635" t="n"/>
      <c r="O395" s="635" t="n"/>
      <c r="P395" s="635" t="n"/>
      <c r="Q395" s="601" t="n"/>
      <c r="R395" s="40" t="inlineStr"/>
      <c r="S395" s="40" t="inlineStr"/>
      <c r="T395" s="41" t="inlineStr">
        <is>
          <t>кг</t>
        </is>
      </c>
      <c r="U395" s="636" t="n">
        <v>0</v>
      </c>
      <c r="V395" s="637">
        <f>IFERROR(IF(U395="",0,CEILING((U395/$H395),1)*$H395),"")</f>
        <v/>
      </c>
      <c r="W395" s="42">
        <f>IFERROR(IF(V395=0,"",ROUNDUP(V395/H395,0)*0.02175),"")</f>
        <v/>
      </c>
      <c r="X395" s="69" t="inlineStr"/>
      <c r="Y395" s="70" t="inlineStr"/>
      <c r="AC395" s="287" t="inlineStr">
        <is>
          <t>КИ</t>
        </is>
      </c>
    </row>
    <row r="396" ht="27" customHeight="1">
      <c r="A396" s="64" t="inlineStr">
        <is>
          <t>SU002808</t>
        </is>
      </c>
      <c r="B396" s="64" t="inlineStr">
        <is>
          <t>P003214</t>
        </is>
      </c>
      <c r="C396" s="37" t="n">
        <v>4301011435</v>
      </c>
      <c r="D396" s="356" t="n">
        <v>4680115881150</v>
      </c>
      <c r="E396" s="601" t="n"/>
      <c r="F396" s="633" t="n">
        <v>1.5</v>
      </c>
      <c r="G396" s="38" t="n">
        <v>8</v>
      </c>
      <c r="H396" s="633" t="n">
        <v>12</v>
      </c>
      <c r="I396" s="633" t="n">
        <v>12.48</v>
      </c>
      <c r="J396" s="38" t="n">
        <v>56</v>
      </c>
      <c r="K396" s="39" t="inlineStr">
        <is>
          <t>СК1</t>
        </is>
      </c>
      <c r="L396" s="38" t="n">
        <v>50</v>
      </c>
      <c r="M396" s="854" t="inlineStr">
        <is>
          <t>Вареные колбасы "Нежная" НТУ Весовые П/а ТМ "Зареченские"</t>
        </is>
      </c>
      <c r="N396" s="635" t="n"/>
      <c r="O396" s="635" t="n"/>
      <c r="P396" s="635" t="n"/>
      <c r="Q396" s="601" t="n"/>
      <c r="R396" s="40" t="inlineStr"/>
      <c r="S396" s="40" t="inlineStr"/>
      <c r="T396" s="41" t="inlineStr">
        <is>
          <t>кг</t>
        </is>
      </c>
      <c r="U396" s="636" t="n">
        <v>0</v>
      </c>
      <c r="V396" s="637">
        <f>IFERROR(IF(U396="",0,CEILING((U396/$H396),1)*$H396),"")</f>
        <v/>
      </c>
      <c r="W396" s="42">
        <f>IFERROR(IF(V396=0,"",ROUNDUP(V396/H396,0)*0.02175),"")</f>
        <v/>
      </c>
      <c r="X396" s="69" t="inlineStr"/>
      <c r="Y396" s="70" t="inlineStr"/>
      <c r="AC396" s="288" t="inlineStr">
        <is>
          <t>КИ</t>
        </is>
      </c>
    </row>
    <row r="397">
      <c r="A397" s="364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38" t="n"/>
      <c r="M397" s="639" t="inlineStr">
        <is>
          <t>Итого</t>
        </is>
      </c>
      <c r="N397" s="609" t="n"/>
      <c r="O397" s="609" t="n"/>
      <c r="P397" s="609" t="n"/>
      <c r="Q397" s="609" t="n"/>
      <c r="R397" s="609" t="n"/>
      <c r="S397" s="610" t="n"/>
      <c r="T397" s="43" t="inlineStr">
        <is>
          <t>кор</t>
        </is>
      </c>
      <c r="U397" s="640">
        <f>IFERROR(U395/H395,"0")+IFERROR(U396/H396,"0")</f>
        <v/>
      </c>
      <c r="V397" s="640">
        <f>IFERROR(V395/H395,"0")+IFERROR(V396/H396,"0")</f>
        <v/>
      </c>
      <c r="W397" s="640">
        <f>IFERROR(IF(W395="",0,W395),"0")+IFERROR(IF(W396="",0,W396),"0")</f>
        <v/>
      </c>
      <c r="X397" s="641" t="n"/>
      <c r="Y397" s="641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38" t="n"/>
      <c r="M398" s="639" t="inlineStr">
        <is>
          <t>Итого</t>
        </is>
      </c>
      <c r="N398" s="609" t="n"/>
      <c r="O398" s="609" t="n"/>
      <c r="P398" s="609" t="n"/>
      <c r="Q398" s="609" t="n"/>
      <c r="R398" s="609" t="n"/>
      <c r="S398" s="610" t="n"/>
      <c r="T398" s="43" t="inlineStr">
        <is>
          <t>кг</t>
        </is>
      </c>
      <c r="U398" s="640">
        <f>IFERROR(SUM(U395:U396),"0")</f>
        <v/>
      </c>
      <c r="V398" s="640">
        <f>IFERROR(SUM(V395:V396),"0")</f>
        <v/>
      </c>
      <c r="W398" s="43" t="n"/>
      <c r="X398" s="641" t="n"/>
      <c r="Y398" s="641" t="n"/>
    </row>
    <row r="399" ht="14.25" customHeight="1">
      <c r="A399" s="355" t="inlineStr">
        <is>
          <t>Ветчины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55" t="n"/>
      <c r="Y399" s="355" t="n"/>
    </row>
    <row r="400" ht="16.5" customHeight="1">
      <c r="A400" s="64" t="inlineStr">
        <is>
          <t>SU002806</t>
        </is>
      </c>
      <c r="B400" s="64" t="inlineStr">
        <is>
          <t>P003207</t>
        </is>
      </c>
      <c r="C400" s="37" t="n">
        <v>4301020230</v>
      </c>
      <c r="D400" s="356" t="n">
        <v>4680115881112</v>
      </c>
      <c r="E400" s="601" t="n"/>
      <c r="F400" s="633" t="n">
        <v>1.35</v>
      </c>
      <c r="G400" s="38" t="n">
        <v>8</v>
      </c>
      <c r="H400" s="633" t="n">
        <v>10.8</v>
      </c>
      <c r="I400" s="633" t="n">
        <v>11.28</v>
      </c>
      <c r="J400" s="38" t="n">
        <v>56</v>
      </c>
      <c r="K400" s="39" t="inlineStr">
        <is>
          <t>СК1</t>
        </is>
      </c>
      <c r="L400" s="38" t="n">
        <v>50</v>
      </c>
      <c r="M400" s="855" t="inlineStr">
        <is>
          <t>Ветчины "Нежная" Весовой п/а ТМ "Зареченские"</t>
        </is>
      </c>
      <c r="N400" s="635" t="n"/>
      <c r="O400" s="635" t="n"/>
      <c r="P400" s="635" t="n"/>
      <c r="Q400" s="601" t="n"/>
      <c r="R400" s="40" t="inlineStr"/>
      <c r="S400" s="40" t="inlineStr"/>
      <c r="T400" s="41" t="inlineStr">
        <is>
          <t>кг</t>
        </is>
      </c>
      <c r="U400" s="636" t="n">
        <v>0</v>
      </c>
      <c r="V400" s="637">
        <f>IFERROR(IF(U400="",0,CEILING((U400/$H400),1)*$H400),"")</f>
        <v/>
      </c>
      <c r="W400" s="42">
        <f>IFERROR(IF(V400=0,"",ROUNDUP(V400/H400,0)*0.02175),"")</f>
        <v/>
      </c>
      <c r="X400" s="69" t="inlineStr"/>
      <c r="Y400" s="70" t="inlineStr"/>
      <c r="AC400" s="289" t="inlineStr">
        <is>
          <t>КИ</t>
        </is>
      </c>
    </row>
    <row r="401" ht="27" customHeight="1">
      <c r="A401" s="64" t="inlineStr">
        <is>
          <t>SU002811</t>
        </is>
      </c>
      <c r="B401" s="64" t="inlineStr">
        <is>
          <t>P003208</t>
        </is>
      </c>
      <c r="C401" s="37" t="n">
        <v>4301020231</v>
      </c>
      <c r="D401" s="356" t="n">
        <v>4680115881129</v>
      </c>
      <c r="E401" s="601" t="n"/>
      <c r="F401" s="633" t="n">
        <v>1.8</v>
      </c>
      <c r="G401" s="38" t="n">
        <v>6</v>
      </c>
      <c r="H401" s="633" t="n">
        <v>10.8</v>
      </c>
      <c r="I401" s="633" t="n">
        <v>11.28</v>
      </c>
      <c r="J401" s="38" t="n">
        <v>56</v>
      </c>
      <c r="K401" s="39" t="inlineStr">
        <is>
          <t>СК1</t>
        </is>
      </c>
      <c r="L401" s="38" t="n">
        <v>50</v>
      </c>
      <c r="M401" s="856" t="inlineStr">
        <is>
          <t>Ветчины "Нежная" Весовой п/а ТМ "Зареченские" большой батон</t>
        </is>
      </c>
      <c r="N401" s="635" t="n"/>
      <c r="O401" s="635" t="n"/>
      <c r="P401" s="635" t="n"/>
      <c r="Q401" s="601" t="n"/>
      <c r="R401" s="40" t="inlineStr"/>
      <c r="S401" s="40" t="inlineStr"/>
      <c r="T401" s="41" t="inlineStr">
        <is>
          <t>кг</t>
        </is>
      </c>
      <c r="U401" s="636" t="n">
        <v>0</v>
      </c>
      <c r="V401" s="637">
        <f>IFERROR(IF(U401="",0,CEILING((U401/$H401),1)*$H401),"")</f>
        <v/>
      </c>
      <c r="W401" s="42">
        <f>IFERROR(IF(V401=0,"",ROUNDUP(V401/H401,0)*0.02175),"")</f>
        <v/>
      </c>
      <c r="X401" s="69" t="inlineStr"/>
      <c r="Y401" s="70" t="inlineStr"/>
      <c r="AC401" s="290" t="inlineStr">
        <is>
          <t>КИ</t>
        </is>
      </c>
    </row>
    <row r="402">
      <c r="A402" s="364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38" t="n"/>
      <c r="M402" s="639" t="inlineStr">
        <is>
          <t>Итого</t>
        </is>
      </c>
      <c r="N402" s="609" t="n"/>
      <c r="O402" s="609" t="n"/>
      <c r="P402" s="609" t="n"/>
      <c r="Q402" s="609" t="n"/>
      <c r="R402" s="609" t="n"/>
      <c r="S402" s="610" t="n"/>
      <c r="T402" s="43" t="inlineStr">
        <is>
          <t>кор</t>
        </is>
      </c>
      <c r="U402" s="640">
        <f>IFERROR(U400/H400,"0")+IFERROR(U401/H401,"0")</f>
        <v/>
      </c>
      <c r="V402" s="640">
        <f>IFERROR(V400/H400,"0")+IFERROR(V401/H401,"0")</f>
        <v/>
      </c>
      <c r="W402" s="640">
        <f>IFERROR(IF(W400="",0,W400),"0")+IFERROR(IF(W401="",0,W401),"0")</f>
        <v/>
      </c>
      <c r="X402" s="641" t="n"/>
      <c r="Y402" s="641" t="n"/>
    </row>
    <row r="403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638" t="n"/>
      <c r="M403" s="639" t="inlineStr">
        <is>
          <t>Итого</t>
        </is>
      </c>
      <c r="N403" s="609" t="n"/>
      <c r="O403" s="609" t="n"/>
      <c r="P403" s="609" t="n"/>
      <c r="Q403" s="609" t="n"/>
      <c r="R403" s="609" t="n"/>
      <c r="S403" s="610" t="n"/>
      <c r="T403" s="43" t="inlineStr">
        <is>
          <t>кг</t>
        </is>
      </c>
      <c r="U403" s="640">
        <f>IFERROR(SUM(U400:U401),"0")</f>
        <v/>
      </c>
      <c r="V403" s="640">
        <f>IFERROR(SUM(V400:V401),"0")</f>
        <v/>
      </c>
      <c r="W403" s="43" t="n"/>
      <c r="X403" s="641" t="n"/>
      <c r="Y403" s="641" t="n"/>
    </row>
    <row r="404" ht="14.25" customHeight="1">
      <c r="A404" s="355" t="inlineStr">
        <is>
          <t>Копченые колбасы</t>
        </is>
      </c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355" t="n"/>
      <c r="Y404" s="355" t="n"/>
    </row>
    <row r="405" ht="27" customHeight="1">
      <c r="A405" s="64" t="inlineStr">
        <is>
          <t>SU002805</t>
        </is>
      </c>
      <c r="B405" s="64" t="inlineStr">
        <is>
          <t>P003206</t>
        </is>
      </c>
      <c r="C405" s="37" t="n">
        <v>4301031192</v>
      </c>
      <c r="D405" s="356" t="n">
        <v>4680115881167</v>
      </c>
      <c r="E405" s="601" t="n"/>
      <c r="F405" s="633" t="n">
        <v>0.63</v>
      </c>
      <c r="G405" s="38" t="n">
        <v>6</v>
      </c>
      <c r="H405" s="633" t="n">
        <v>3.78</v>
      </c>
      <c r="I405" s="633" t="n">
        <v>4.04</v>
      </c>
      <c r="J405" s="38" t="n">
        <v>156</v>
      </c>
      <c r="K405" s="39" t="inlineStr">
        <is>
          <t>СК2</t>
        </is>
      </c>
      <c r="L405" s="38" t="n">
        <v>40</v>
      </c>
      <c r="M405" s="857" t="inlineStr">
        <is>
          <t>Копченые колбасы Пражский Зареченские продукты Весовой фиброуз Зареченские</t>
        </is>
      </c>
      <c r="N405" s="635" t="n"/>
      <c r="O405" s="635" t="n"/>
      <c r="P405" s="635" t="n"/>
      <c r="Q405" s="601" t="n"/>
      <c r="R405" s="40" t="inlineStr"/>
      <c r="S405" s="40" t="inlineStr"/>
      <c r="T405" s="41" t="inlineStr">
        <is>
          <t>кг</t>
        </is>
      </c>
      <c r="U405" s="636" t="n">
        <v>0</v>
      </c>
      <c r="V405" s="637">
        <f>IFERROR(IF(U405="",0,CEILING((U405/$H405),1)*$H405),"")</f>
        <v/>
      </c>
      <c r="W405" s="42">
        <f>IFERROR(IF(V405=0,"",ROUNDUP(V405/H405,0)*0.00753),"")</f>
        <v/>
      </c>
      <c r="X405" s="69" t="inlineStr"/>
      <c r="Y405" s="70" t="inlineStr"/>
      <c r="AC405" s="291" t="inlineStr">
        <is>
          <t>КИ</t>
        </is>
      </c>
    </row>
    <row r="406" ht="16.5" customHeight="1">
      <c r="A406" s="64" t="inlineStr">
        <is>
          <t>SU002809</t>
        </is>
      </c>
      <c r="B406" s="64" t="inlineStr">
        <is>
          <t>P003216</t>
        </is>
      </c>
      <c r="C406" s="37" t="n">
        <v>4301031193</v>
      </c>
      <c r="D406" s="356" t="n">
        <v>4680115881136</v>
      </c>
      <c r="E406" s="601" t="n"/>
      <c r="F406" s="633" t="n">
        <v>0.63</v>
      </c>
      <c r="G406" s="38" t="n">
        <v>6</v>
      </c>
      <c r="H406" s="633" t="n">
        <v>3.78</v>
      </c>
      <c r="I406" s="633" t="n">
        <v>4.04</v>
      </c>
      <c r="J406" s="38" t="n">
        <v>156</v>
      </c>
      <c r="K406" s="39" t="inlineStr">
        <is>
          <t>СК2</t>
        </is>
      </c>
      <c r="L406" s="38" t="n">
        <v>40</v>
      </c>
      <c r="M406" s="858" t="inlineStr">
        <is>
          <t>В/к колбасы "Рижский" НТУ Весовые Фиброуз в/у ТМ "Зареченские"</t>
        </is>
      </c>
      <c r="N406" s="635" t="n"/>
      <c r="O406" s="635" t="n"/>
      <c r="P406" s="635" t="n"/>
      <c r="Q406" s="601" t="n"/>
      <c r="R406" s="40" t="inlineStr"/>
      <c r="S406" s="40" t="inlineStr"/>
      <c r="T406" s="41" t="inlineStr">
        <is>
          <t>кг</t>
        </is>
      </c>
      <c r="U406" s="636" t="n">
        <v>600</v>
      </c>
      <c r="V406" s="637">
        <f>IFERROR(IF(U406="",0,CEILING((U406/$H406),1)*$H406),"")</f>
        <v/>
      </c>
      <c r="W406" s="42">
        <f>IFERROR(IF(V406=0,"",ROUNDUP(V406/H406,0)*0.00753),"")</f>
        <v/>
      </c>
      <c r="X406" s="69" t="inlineStr"/>
      <c r="Y406" s="70" t="inlineStr"/>
      <c r="AC406" s="292" t="inlineStr">
        <is>
          <t>КИ</t>
        </is>
      </c>
    </row>
    <row r="407">
      <c r="A407" s="364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638" t="n"/>
      <c r="M407" s="639" t="inlineStr">
        <is>
          <t>Итого</t>
        </is>
      </c>
      <c r="N407" s="609" t="n"/>
      <c r="O407" s="609" t="n"/>
      <c r="P407" s="609" t="n"/>
      <c r="Q407" s="609" t="n"/>
      <c r="R407" s="609" t="n"/>
      <c r="S407" s="610" t="n"/>
      <c r="T407" s="43" t="inlineStr">
        <is>
          <t>кор</t>
        </is>
      </c>
      <c r="U407" s="640">
        <f>IFERROR(U405/H405,"0")+IFERROR(U406/H406,"0")</f>
        <v/>
      </c>
      <c r="V407" s="640">
        <f>IFERROR(V405/H405,"0")+IFERROR(V406/H406,"0")</f>
        <v/>
      </c>
      <c r="W407" s="640">
        <f>IFERROR(IF(W405="",0,W405),"0")+IFERROR(IF(W406="",0,W406),"0")</f>
        <v/>
      </c>
      <c r="X407" s="641" t="n"/>
      <c r="Y407" s="641" t="n"/>
    </row>
    <row r="40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638" t="n"/>
      <c r="M408" s="639" t="inlineStr">
        <is>
          <t>Итого</t>
        </is>
      </c>
      <c r="N408" s="609" t="n"/>
      <c r="O408" s="609" t="n"/>
      <c r="P408" s="609" t="n"/>
      <c r="Q408" s="609" t="n"/>
      <c r="R408" s="609" t="n"/>
      <c r="S408" s="610" t="n"/>
      <c r="T408" s="43" t="inlineStr">
        <is>
          <t>кг</t>
        </is>
      </c>
      <c r="U408" s="640">
        <f>IFERROR(SUM(U405:U406),"0")</f>
        <v/>
      </c>
      <c r="V408" s="640">
        <f>IFERROR(SUM(V405:V406),"0")</f>
        <v/>
      </c>
      <c r="W408" s="43" t="n"/>
      <c r="X408" s="641" t="n"/>
      <c r="Y408" s="641" t="n"/>
    </row>
    <row r="409" ht="14.25" customHeight="1">
      <c r="A409" s="355" t="inlineStr">
        <is>
          <t>Сосиски</t>
        </is>
      </c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355" t="n"/>
      <c r="Y409" s="355" t="n"/>
    </row>
    <row r="410" ht="27" customHeight="1">
      <c r="A410" s="64" t="inlineStr">
        <is>
          <t>SU002810</t>
        </is>
      </c>
      <c r="B410" s="64" t="inlineStr">
        <is>
          <t>P003215</t>
        </is>
      </c>
      <c r="C410" s="37" t="n">
        <v>4301051383</v>
      </c>
      <c r="D410" s="356" t="n">
        <v>4680115881143</v>
      </c>
      <c r="E410" s="601" t="n"/>
      <c r="F410" s="633" t="n">
        <v>1.3</v>
      </c>
      <c r="G410" s="38" t="n">
        <v>6</v>
      </c>
      <c r="H410" s="633" t="n">
        <v>7.8</v>
      </c>
      <c r="I410" s="633" t="n">
        <v>8.364000000000001</v>
      </c>
      <c r="J410" s="38" t="n">
        <v>56</v>
      </c>
      <c r="K410" s="39" t="inlineStr">
        <is>
          <t>СК2</t>
        </is>
      </c>
      <c r="L410" s="38" t="n">
        <v>40</v>
      </c>
      <c r="M410" s="859" t="inlineStr">
        <is>
          <t>Сосиски "Датские" НТУ Весовые П/а мгс ТМ "Зареченские"</t>
        </is>
      </c>
      <c r="N410" s="635" t="n"/>
      <c r="O410" s="635" t="n"/>
      <c r="P410" s="635" t="n"/>
      <c r="Q410" s="601" t="n"/>
      <c r="R410" s="40" t="inlineStr"/>
      <c r="S410" s="40" t="inlineStr"/>
      <c r="T410" s="41" t="inlineStr">
        <is>
          <t>кг</t>
        </is>
      </c>
      <c r="U410" s="636" t="n">
        <v>0</v>
      </c>
      <c r="V410" s="637">
        <f>IFERROR(IF(U410="",0,CEILING((U410/$H410),1)*$H410),"")</f>
        <v/>
      </c>
      <c r="W410" s="42">
        <f>IFERROR(IF(V410=0,"",ROUNDUP(V410/H410,0)*0.02175),"")</f>
        <v/>
      </c>
      <c r="X410" s="69" t="inlineStr"/>
      <c r="Y410" s="70" t="inlineStr"/>
      <c r="AC410" s="293" t="inlineStr">
        <is>
          <t>КИ</t>
        </is>
      </c>
    </row>
    <row r="411" ht="27" customHeight="1">
      <c r="A411" s="64" t="inlineStr">
        <is>
          <t>SU002803</t>
        </is>
      </c>
      <c r="B411" s="64" t="inlineStr">
        <is>
          <t>P003204</t>
        </is>
      </c>
      <c r="C411" s="37" t="n">
        <v>4301051381</v>
      </c>
      <c r="D411" s="356" t="n">
        <v>4680115881068</v>
      </c>
      <c r="E411" s="601" t="n"/>
      <c r="F411" s="633" t="n">
        <v>1.3</v>
      </c>
      <c r="G411" s="38" t="n">
        <v>6</v>
      </c>
      <c r="H411" s="633" t="n">
        <v>7.8</v>
      </c>
      <c r="I411" s="633" t="n">
        <v>8.279999999999999</v>
      </c>
      <c r="J411" s="38" t="n">
        <v>56</v>
      </c>
      <c r="K411" s="39" t="inlineStr">
        <is>
          <t>СК2</t>
        </is>
      </c>
      <c r="L411" s="38" t="n">
        <v>30</v>
      </c>
      <c r="M411" s="860" t="inlineStr">
        <is>
          <t>Сосиски "Сочные" Весовой п/а ТМ "Зареченские"</t>
        </is>
      </c>
      <c r="N411" s="635" t="n"/>
      <c r="O411" s="635" t="n"/>
      <c r="P411" s="635" t="n"/>
      <c r="Q411" s="601" t="n"/>
      <c r="R411" s="40" t="inlineStr"/>
      <c r="S411" s="40" t="inlineStr"/>
      <c r="T411" s="41" t="inlineStr">
        <is>
          <t>кг</t>
        </is>
      </c>
      <c r="U411" s="636" t="n">
        <v>0</v>
      </c>
      <c r="V411" s="637">
        <f>IFERROR(IF(U411="",0,CEILING((U411/$H411),1)*$H411),"")</f>
        <v/>
      </c>
      <c r="W411" s="42">
        <f>IFERROR(IF(V411=0,"",ROUNDUP(V411/H411,0)*0.02175),"")</f>
        <v/>
      </c>
      <c r="X411" s="69" t="inlineStr"/>
      <c r="Y411" s="70" t="inlineStr"/>
      <c r="AC411" s="294" t="inlineStr">
        <is>
          <t>КИ</t>
        </is>
      </c>
    </row>
    <row r="412" ht="27" customHeight="1">
      <c r="A412" s="64" t="inlineStr">
        <is>
          <t>SU002804</t>
        </is>
      </c>
      <c r="B412" s="64" t="inlineStr">
        <is>
          <t>P003205</t>
        </is>
      </c>
      <c r="C412" s="37" t="n">
        <v>4301051382</v>
      </c>
      <c r="D412" s="356" t="n">
        <v>4680115881075</v>
      </c>
      <c r="E412" s="601" t="n"/>
      <c r="F412" s="633" t="n">
        <v>0.5</v>
      </c>
      <c r="G412" s="38" t="n">
        <v>6</v>
      </c>
      <c r="H412" s="633" t="n">
        <v>3</v>
      </c>
      <c r="I412" s="633" t="n">
        <v>3.2</v>
      </c>
      <c r="J412" s="38" t="n">
        <v>156</v>
      </c>
      <c r="K412" s="39" t="inlineStr">
        <is>
          <t>СК2</t>
        </is>
      </c>
      <c r="L412" s="38" t="n">
        <v>30</v>
      </c>
      <c r="M412" s="861" t="inlineStr">
        <is>
          <t>Сосиски "Сочные" Фикс.вес 0,5 п/а ТМ "Зареченские"</t>
        </is>
      </c>
      <c r="N412" s="635" t="n"/>
      <c r="O412" s="635" t="n"/>
      <c r="P412" s="635" t="n"/>
      <c r="Q412" s="601" t="n"/>
      <c r="R412" s="40" t="inlineStr"/>
      <c r="S412" s="40" t="inlineStr"/>
      <c r="T412" s="41" t="inlineStr">
        <is>
          <t>кг</t>
        </is>
      </c>
      <c r="U412" s="636" t="n">
        <v>0</v>
      </c>
      <c r="V412" s="637">
        <f>IFERROR(IF(U412="",0,CEILING((U412/$H412),1)*$H412),"")</f>
        <v/>
      </c>
      <c r="W412" s="42">
        <f>IFERROR(IF(V412=0,"",ROUNDUP(V412/H412,0)*0.00753),"")</f>
        <v/>
      </c>
      <c r="X412" s="69" t="inlineStr"/>
      <c r="Y412" s="70" t="inlineStr"/>
      <c r="AC412" s="295" t="inlineStr">
        <is>
          <t>КИ</t>
        </is>
      </c>
    </row>
    <row r="413">
      <c r="A413" s="364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38" t="n"/>
      <c r="M413" s="639" t="inlineStr">
        <is>
          <t>Итого</t>
        </is>
      </c>
      <c r="N413" s="609" t="n"/>
      <c r="O413" s="609" t="n"/>
      <c r="P413" s="609" t="n"/>
      <c r="Q413" s="609" t="n"/>
      <c r="R413" s="609" t="n"/>
      <c r="S413" s="610" t="n"/>
      <c r="T413" s="43" t="inlineStr">
        <is>
          <t>кор</t>
        </is>
      </c>
      <c r="U413" s="640">
        <f>IFERROR(U410/H410,"0")+IFERROR(U411/H411,"0")+IFERROR(U412/H412,"0")</f>
        <v/>
      </c>
      <c r="V413" s="640">
        <f>IFERROR(V410/H410,"0")+IFERROR(V411/H411,"0")+IFERROR(V412/H412,"0")</f>
        <v/>
      </c>
      <c r="W413" s="640">
        <f>IFERROR(IF(W410="",0,W410),"0")+IFERROR(IF(W411="",0,W411),"0")+IFERROR(IF(W412="",0,W412),"0")</f>
        <v/>
      </c>
      <c r="X413" s="641" t="n"/>
      <c r="Y413" s="641" t="n"/>
    </row>
    <row r="414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638" t="n"/>
      <c r="M414" s="639" t="inlineStr">
        <is>
          <t>Итого</t>
        </is>
      </c>
      <c r="N414" s="609" t="n"/>
      <c r="O414" s="609" t="n"/>
      <c r="P414" s="609" t="n"/>
      <c r="Q414" s="609" t="n"/>
      <c r="R414" s="609" t="n"/>
      <c r="S414" s="610" t="n"/>
      <c r="T414" s="43" t="inlineStr">
        <is>
          <t>кг</t>
        </is>
      </c>
      <c r="U414" s="640">
        <f>IFERROR(SUM(U410:U412),"0")</f>
        <v/>
      </c>
      <c r="V414" s="640">
        <f>IFERROR(SUM(V410:V412),"0")</f>
        <v/>
      </c>
      <c r="W414" s="43" t="n"/>
      <c r="X414" s="641" t="n"/>
      <c r="Y414" s="641" t="n"/>
    </row>
    <row r="415" ht="15" customHeight="1">
      <c r="A415" s="588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598" t="n"/>
      <c r="M415" s="862" t="inlineStr">
        <is>
          <t>ИТОГО НЕТТО</t>
        </is>
      </c>
      <c r="N415" s="592" t="n"/>
      <c r="O415" s="592" t="n"/>
      <c r="P415" s="592" t="n"/>
      <c r="Q415" s="592" t="n"/>
      <c r="R415" s="592" t="n"/>
      <c r="S415" s="593" t="n"/>
      <c r="T415" s="43" t="inlineStr">
        <is>
          <t>кг</t>
        </is>
      </c>
      <c r="U415" s="640">
        <f>IFERROR(U24+U33+U38+U42+U46+U52+U59+U77+U86+U98+U108+U115+U123+U131+U150+U155+U174+U198+U207+U213+U220+U231+U236+U242+U248+U252+U256+U260+U273+U278+U283+U287+U291+U299+U304+U311+U315+U322+U332+U339+U343+U349+U357+U372+U377+U386+U391+U398+U403+U408+U414,"0")</f>
        <v/>
      </c>
      <c r="V415" s="640">
        <f>IFERROR(V24+V33+V38+V42+V46+V52+V59+V77+V86+V98+V108+V115+V123+V131+V150+V155+V174+V198+V207+V213+V220+V231+V236+V242+V248+V252+V256+V260+V273+V278+V283+V287+V291+V299+V304+V311+V315+V322+V332+V339+V343+V349+V357+V372+V377+V386+V391+V398+V403+V408+V414,"0")</f>
        <v/>
      </c>
      <c r="W415" s="43" t="n"/>
      <c r="X415" s="641" t="n"/>
      <c r="Y415" s="641" t="n"/>
    </row>
    <row r="416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598" t="n"/>
      <c r="M416" s="862" t="inlineStr">
        <is>
          <t>ИТОГО БРУТТО</t>
        </is>
      </c>
      <c r="N416" s="592" t="n"/>
      <c r="O416" s="592" t="n"/>
      <c r="P416" s="592" t="n"/>
      <c r="Q416" s="592" t="n"/>
      <c r="R416" s="592" t="n"/>
      <c r="S416" s="593" t="n"/>
      <c r="T416" s="43" t="inlineStr">
        <is>
          <t>кг</t>
        </is>
      </c>
      <c r="U416" s="640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55*I55/H55,"0")+IFERROR(U56*I56/H56,"0")+IFERROR(U57*I57/H57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79*I79/H79,"0")+IFERROR(U80*I80/H80,"0")+IFERROR(U81*I81/H81,"0")+IFERROR(U82*I82/H82,"0")+IFERROR(U83*I83/H83,"0")+IFERROR(U84*I84/H84,"0")+IFERROR(U88*I88/H88,"0")+IFERROR(U89*I89/H89,"0")+IFERROR(U90*I90/H90,"0")+IFERROR(U91*I91/H91,"0")+IFERROR(U92*I92/H92,"0")+IFERROR(U93*I93/H93,"0")+IFERROR(U94*I94/H94,"0")+IFERROR(U95*I95/H95,"0")+IFERROR(U96*I96/H96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152*I152/H152,"0")+IFERROR(U153*I153/H153,"0")+IFERROR(U157*I157/H157,"0")+IFERROR(U158*I158/H158,"0")+IFERROR(U159*I159/H159,"0")+IFERROR(U160*I160/H160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200*I200/H200,"0")+IFERROR(U201*I201/H201,"0")+IFERROR(U202*I202/H202,"0")+IFERROR(U203*I203/H203,"0")+IFERROR(U204*I204/H204,"0")+IFERROR(U205*I205/H205,"0")+IFERROR(U209*I209/H209,"0")+IFERROR(U210*I210/H210,"0")+IFERROR(U211*I211/H211,"0")+IFERROR(U215*I215/H215,"0")+IFERROR(U216*I216/H216,"0")+IFERROR(U217*I217/H217,"0")+IFERROR(U218*I218/H218,"0")+IFERROR(U223*I223/H223,"0")+IFERROR(U224*I224/H224,"0")+IFERROR(U225*I225/H225,"0")+IFERROR(U226*I226/H226,"0")+IFERROR(U227*I227/H227,"0")+IFERROR(U228*I228/H228,"0")+IFERROR(U229*I229/H229,"0")+IFERROR(U233*I233/H233,"0")+IFERROR(U234*I234/H234,"0")+IFERROR(U239*I239/H239,"0")+IFERROR(U240*I240/H240,"0")+IFERROR(U244*I244/H244,"0")+IFERROR(U245*I245/H245,"0")+IFERROR(U246*I246/H246,"0")+IFERROR(U250*I250/H250,"0")+IFERROR(U254*I254/H254,"0")+IFERROR(U258*I258/H258,"0")+IFERROR(U264*I264/H264,"0")+IFERROR(U265*I265/H265,"0")+IFERROR(U266*I266/H266,"0")+IFERROR(U267*I267/H267,"0")+IFERROR(U268*I268/H268,"0")+IFERROR(U269*I269/H269,"0")+IFERROR(U270*I270/H270,"0")+IFERROR(U271*I271/H271,"0")+IFERROR(U275*I275/H275,"0")+IFERROR(U276*I276/H276,"0")+IFERROR(U280*I280/H280,"0")+IFERROR(U281*I281/H281,"0")+IFERROR(U285*I285/H285,"0")+IFERROR(U289*I289/H289,"0")+IFERROR(U294*I294/H294,"0")+IFERROR(U295*I295/H295,"0")+IFERROR(U296*I296/H296,"0")+IFERROR(U297*I297/H297,"0")+IFERROR(U301*I301/H301,"0")+IFERROR(U302*I302/H302,"0")+IFERROR(U306*I306/H306,"0")+IFERROR(U307*I307/H307,"0")+IFERROR(U308*I308/H308,"0")+IFERROR(U309*I309/H309,"0")+IFERROR(U313*I313/H313,"0")+IFERROR(U319*I319/H319,"0")+IFERROR(U320*I320/H320,"0")+IFERROR(U324*I324/H324,"0")+IFERROR(U325*I325/H325,"0")+IFERROR(U326*I326/H326,"0")+IFERROR(U327*I327/H327,"0")+IFERROR(U328*I328/H328,"0")+IFERROR(U329*I329/H329,"0")+IFERROR(U330*I330/H330,"0")+IFERROR(U334*I334/H334,"0")+IFERROR(U335*I335/H335,"0")+IFERROR(U336*I336/H336,"0")+IFERROR(U337*I337/H337,"0")+IFERROR(U341*I341/H341,"0")+IFERROR(U346*I346/H346,"0")+IFERROR(U347*I347/H347,"0")+IFERROR(U351*I351/H351,"0")+IFERROR(U352*I352/H352,"0")+IFERROR(U353*I353/H353,"0")+IFERROR(U354*I354/H354,"0")+IFERROR(U355*I355/H355,"0")+IFERROR(U361*I361/H361,"0")+IFERROR(U362*I362/H362,"0")+IFERROR(U363*I363/H363,"0")+IFERROR(U364*I364/H364,"0")+IFERROR(U365*I365/H365,"0")+IFERROR(U366*I366/H366,"0")+IFERROR(U367*I367/H367,"0")+IFERROR(U368*I368/H368,"0")+IFERROR(U369*I369/H369,"0")+IFERROR(U370*I370/H370,"0")+IFERROR(U374*I374/H374,"0")+IFERROR(U375*I375/H375,"0")+IFERROR(U379*I379/H379,"0")+IFERROR(U380*I380/H380,"0")+IFERROR(U381*I381/H381,"0")+IFERROR(U382*I382/H382,"0")+IFERROR(U383*I383/H383,"0")+IFERROR(U384*I384/H384,"0")+IFERROR(U388*I388/H388,"0")+IFERROR(U389*I389/H389,"0")+IFERROR(U395*I395/H395,"0")+IFERROR(U396*I396/H396,"0")+IFERROR(U400*I400/H400,"0")+IFERROR(U401*I401/H401,"0")+IFERROR(U405*I405/H405,"0")+IFERROR(U406*I406/H406,"0")+IFERROR(U410*I410/H410,"0")+IFERROR(U411*I411/H411,"0")+IFERROR(U412*I412/H412,"0"),"0")</f>
        <v/>
      </c>
      <c r="V416" s="640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93*I93/H93,"0")+IFERROR(V94*I94/H94,"0")+IFERROR(V95*I95/H95,"0")+IFERROR(V96*I96/H96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152*I152/H152,"0")+IFERROR(V153*I153/H153,"0")+IFERROR(V157*I157/H157,"0")+IFERROR(V158*I158/H158,"0")+IFERROR(V159*I159/H159,"0")+IFERROR(V160*I160/H160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200*I200/H200,"0")+IFERROR(V201*I201/H201,"0")+IFERROR(V202*I202/H202,"0")+IFERROR(V203*I203/H203,"0")+IFERROR(V204*I204/H204,"0")+IFERROR(V205*I205/H205,"0")+IFERROR(V209*I209/H209,"0")+IFERROR(V210*I210/H210,"0")+IFERROR(V211*I211/H211,"0")+IFERROR(V215*I215/H215,"0")+IFERROR(V216*I216/H216,"0")+IFERROR(V217*I217/H217,"0")+IFERROR(V218*I218/H218,"0")+IFERROR(V223*I223/H223,"0")+IFERROR(V224*I224/H224,"0")+IFERROR(V225*I225/H225,"0")+IFERROR(V226*I226/H226,"0")+IFERROR(V227*I227/H227,"0")+IFERROR(V228*I228/H228,"0")+IFERROR(V229*I229/H229,"0")+IFERROR(V233*I233/H233,"0")+IFERROR(V234*I234/H234,"0")+IFERROR(V239*I239/H239,"0")+IFERROR(V240*I240/H240,"0")+IFERROR(V244*I244/H244,"0")+IFERROR(V245*I245/H245,"0")+IFERROR(V246*I246/H246,"0")+IFERROR(V250*I250/H250,"0")+IFERROR(V254*I254/H254,"0")+IFERROR(V258*I258/H258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280*I280/H280,"0")+IFERROR(V281*I281/H281,"0")+IFERROR(V285*I285/H285,"0")+IFERROR(V289*I289/H289,"0")+IFERROR(V294*I294/H294,"0")+IFERROR(V295*I295/H295,"0")+IFERROR(V296*I296/H296,"0")+IFERROR(V297*I297/H297,"0")+IFERROR(V301*I301/H301,"0")+IFERROR(V302*I302/H302,"0")+IFERROR(V306*I306/H306,"0")+IFERROR(V307*I307/H307,"0")+IFERROR(V308*I308/H308,"0")+IFERROR(V309*I309/H309,"0")+IFERROR(V313*I313/H313,"0")+IFERROR(V319*I319/H319,"0")+IFERROR(V320*I320/H320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337*I337/H337,"0")+IFERROR(V341*I341/H341,"0")+IFERROR(V346*I346/H346,"0")+IFERROR(V347*I347/H347,"0")+IFERROR(V351*I351/H351,"0")+IFERROR(V352*I352/H352,"0")+IFERROR(V353*I353/H353,"0")+IFERROR(V354*I354/H354,"0")+IFERROR(V355*I355/H355,"0")+IFERROR(V361*I361/H361,"0")+IFERROR(V362*I362/H362,"0")+IFERROR(V363*I363/H363,"0")+IFERROR(V364*I364/H364,"0")+IFERROR(V365*I365/H365,"0")+IFERROR(V366*I366/H366,"0")+IFERROR(V367*I367/H367,"0")+IFERROR(V368*I368/H368,"0")+IFERROR(V369*I369/H369,"0")+IFERROR(V370*I370/H370,"0")+IFERROR(V374*I374/H374,"0")+IFERROR(V375*I375/H375,"0")+IFERROR(V379*I379/H379,"0")+IFERROR(V380*I380/H380,"0")+IFERROR(V381*I381/H381,"0")+IFERROR(V382*I382/H382,"0")+IFERROR(V383*I383/H383,"0")+IFERROR(V384*I384/H384,"0")+IFERROR(V388*I388/H388,"0")+IFERROR(V389*I389/H389,"0")+IFERROR(V395*I395/H395,"0")+IFERROR(V396*I396/H396,"0")+IFERROR(V400*I400/H400,"0")+IFERROR(V401*I401/H401,"0")+IFERROR(V405*I405/H405,"0")+IFERROR(V406*I406/H406,"0")+IFERROR(V410*I410/H410,"0")+IFERROR(V411*I411/H411,"0")+IFERROR(V412*I412/H412,"0"),"0")</f>
        <v/>
      </c>
      <c r="W416" s="43" t="n"/>
      <c r="X416" s="641" t="n"/>
      <c r="Y416" s="641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598" t="n"/>
      <c r="M417" s="862" t="inlineStr">
        <is>
          <t>Кол-во паллет</t>
        </is>
      </c>
      <c r="N417" s="592" t="n"/>
      <c r="O417" s="592" t="n"/>
      <c r="P417" s="592" t="n"/>
      <c r="Q417" s="592" t="n"/>
      <c r="R417" s="592" t="n"/>
      <c r="S417" s="593" t="n"/>
      <c r="T417" s="43" t="inlineStr">
        <is>
          <t>шт</t>
        </is>
      </c>
      <c r="U417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50*(U50:U50/H50:H50)),"0")+IFERROR(SUMPRODUCT(1/J55:J57*(U55:U57/H55:H57)),"0")+IFERROR(SUMPRODUCT(1/J62:J75*(U62:U75/H62:H75)),"0")+IFERROR(SUMPRODUCT(1/J79:J84*(U79:U84/H79:H84)),"0")+IFERROR(SUMPRODUCT(1/J88:J96*(U88:U96/H88:H96)),"0")+IFERROR(SUMPRODUCT(1/J100:J106*(U100:U106/H100:H106)),"0")+IFERROR(SUMPRODUCT(1/J110:J113*(U110:U113/H110:H113)),"0")+IFERROR(SUMPRODUCT(1/J118:J121*(U118:U121/H118:H121)),"0")+IFERROR(SUMPRODUCT(1/J127:J129*(U127:U129/H127:H129)),"0")+IFERROR(SUMPRODUCT(1/J134:J148*(U134:U148/H134:H148)),"0")+IFERROR(SUMPRODUCT(1/J152:J153*(U152:U153/H152:H153)),"0")+IFERROR(SUMPRODUCT(1/J157:J172*(U157:U172/H157:H172)),"0")+IFERROR(SUMPRODUCT(1/J176:J196*(U176:U196/H176:H196)),"0")+IFERROR(SUMPRODUCT(1/J200:J205*(U200:U205/H200:H205)),"0")+IFERROR(SUMPRODUCT(1/J209:J211*(U209:U211/H209:H211)),"0")+IFERROR(SUMPRODUCT(1/J215:J218*(U215:U218/H215:H218)),"0")+IFERROR(SUMPRODUCT(1/J223:J229*(U223:U229/H223:H229)),"0")+IFERROR(SUMPRODUCT(1/J233:J234*(U233:U234/H233:H234)),"0")+IFERROR(SUMPRODUCT(1/J239:J240*(U239:U240/H239:H240)),"0")+IFERROR(SUMPRODUCT(1/J244:J246*(U244:U246/H244:H246)),"0")+IFERROR(SUMPRODUCT(1/J250:J250*(U250:U250/H250:H250)),"0")+IFERROR(SUMPRODUCT(1/J254:J254*(U254:U254/H254:H254)),"0")+IFERROR(SUMPRODUCT(1/J258:J258*(U258:U258/H258:H258)),"0")+IFERROR(SUMPRODUCT(1/J264:J271*(U264:U271/H264:H271)),"0")+IFERROR(SUMPRODUCT(1/J275:J276*(U275:U276/H275:H276)),"0")+IFERROR(SUMPRODUCT(1/J280:J281*(U280:U281/H280:H281)),"0")+IFERROR(SUMPRODUCT(1/J285:J285*(U285:U285/H285:H285)),"0")+IFERROR(SUMPRODUCT(1/J289:J289*(U289:U289/H289:H289)),"0")+IFERROR(SUMPRODUCT(1/J294:J297*(U294:U297/H294:H297)),"0")+IFERROR(SUMPRODUCT(1/J301:J302*(U301:U302/H301:H302)),"0")+IFERROR(SUMPRODUCT(1/J306:J309*(U306:U309/H306:H309)),"0")+IFERROR(SUMPRODUCT(1/J313:J313*(U313:U313/H313:H313)),"0")+IFERROR(SUMPRODUCT(1/J319:J320*(U319:U320/H319:H320)),"0")+IFERROR(SUMPRODUCT(1/J324:J330*(U324:U330/H324:H330)),"0")+IFERROR(SUMPRODUCT(1/J334:J337*(U334:U337/H334:H337)),"0")+IFERROR(SUMPRODUCT(1/J341:J341*(U341:U341/H341:H341)),"0")+IFERROR(SUMPRODUCT(1/J346:J347*(U346:U347/H346:H347)),"0")+IFERROR(SUMPRODUCT(1/J351:J355*(U351:U355/H351:H355)),"0")+IFERROR(SUMPRODUCT(1/J361:J370*(U361:U370/H361:H370)),"0")+IFERROR(SUMPRODUCT(1/J374:J375*(U374:U375/H374:H375)),"0")+IFERROR(SUMPRODUCT(1/J379:J384*(U379:U384/H379:H384)),"0")+IFERROR(SUMPRODUCT(1/J388:J389*(U388:U389/H388:H389)),"0")+IFERROR(SUMPRODUCT(1/J395:J396*(U395:U396/H395:H396)),"0")+IFERROR(SUMPRODUCT(1/J400:J401*(U400:U401/H400:H401)),"0")+IFERROR(SUMPRODUCT(1/J405:J406*(U405:U406/H405:H406)),"0")+IFERROR(SUMPRODUCT(1/J410:J412*(U410:U412/H410:H412)),"0"),0)</f>
        <v/>
      </c>
      <c r="V417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50*(V50:V50/H50:H50)),"0")+IFERROR(SUMPRODUCT(1/J55:J57*(V55:V57/H55:H57)),"0")+IFERROR(SUMPRODUCT(1/J62:J75*(V62:V75/H62:H75)),"0")+IFERROR(SUMPRODUCT(1/J79:J84*(V79:V84/H79:H84)),"0")+IFERROR(SUMPRODUCT(1/J88:J96*(V88:V96/H88:H96)),"0")+IFERROR(SUMPRODUCT(1/J100:J106*(V100:V106/H100:H106)),"0")+IFERROR(SUMPRODUCT(1/J110:J113*(V110:V113/H110:H113)),"0")+IFERROR(SUMPRODUCT(1/J118:J121*(V118:V121/H118:H121)),"0")+IFERROR(SUMPRODUCT(1/J127:J129*(V127:V129/H127:H129)),"0")+IFERROR(SUMPRODUCT(1/J134:J148*(V134:V148/H134:H148)),"0")+IFERROR(SUMPRODUCT(1/J152:J153*(V152:V153/H152:H153)),"0")+IFERROR(SUMPRODUCT(1/J157:J172*(V157:V172/H157:H172)),"0")+IFERROR(SUMPRODUCT(1/J176:J196*(V176:V196/H176:H196)),"0")+IFERROR(SUMPRODUCT(1/J200:J205*(V200:V205/H200:H205)),"0")+IFERROR(SUMPRODUCT(1/J209:J211*(V209:V211/H209:H211)),"0")+IFERROR(SUMPRODUCT(1/J215:J218*(V215:V218/H215:H218)),"0")+IFERROR(SUMPRODUCT(1/J223:J229*(V223:V229/H223:H229)),"0")+IFERROR(SUMPRODUCT(1/J233:J234*(V233:V234/H233:H234)),"0")+IFERROR(SUMPRODUCT(1/J239:J240*(V239:V240/H239:H240)),"0")+IFERROR(SUMPRODUCT(1/J244:J246*(V244:V246/H244:H246)),"0")+IFERROR(SUMPRODUCT(1/J250:J250*(V250:V250/H250:H250)),"0")+IFERROR(SUMPRODUCT(1/J254:J254*(V254:V254/H254:H254)),"0")+IFERROR(SUMPRODUCT(1/J258:J258*(V258:V258/H258:H258)),"0")+IFERROR(SUMPRODUCT(1/J264:J271*(V264:V271/H264:H271)),"0")+IFERROR(SUMPRODUCT(1/J275:J276*(V275:V276/H275:H276)),"0")+IFERROR(SUMPRODUCT(1/J280:J281*(V280:V281/H280:H281)),"0")+IFERROR(SUMPRODUCT(1/J285:J285*(V285:V285/H285:H285)),"0")+IFERROR(SUMPRODUCT(1/J289:J289*(V289:V289/H289:H289)),"0")+IFERROR(SUMPRODUCT(1/J294:J297*(V294:V297/H294:H297)),"0")+IFERROR(SUMPRODUCT(1/J301:J302*(V301:V302/H301:H302)),"0")+IFERROR(SUMPRODUCT(1/J306:J309*(V306:V309/H306:H309)),"0")+IFERROR(SUMPRODUCT(1/J313:J313*(V313:V313/H313:H313)),"0")+IFERROR(SUMPRODUCT(1/J319:J320*(V319:V320/H319:H320)),"0")+IFERROR(SUMPRODUCT(1/J324:J330*(V324:V330/H324:H330)),"0")+IFERROR(SUMPRODUCT(1/J334:J337*(V334:V337/H334:H337)),"0")+IFERROR(SUMPRODUCT(1/J341:J341*(V341:V341/H341:H341)),"0")+IFERROR(SUMPRODUCT(1/J346:J347*(V346:V347/H346:H347)),"0")+IFERROR(SUMPRODUCT(1/J351:J355*(V351:V355/H351:H355)),"0")+IFERROR(SUMPRODUCT(1/J361:J370*(V361:V370/H361:H370)),"0")+IFERROR(SUMPRODUCT(1/J374:J375*(V374:V375/H374:H375)),"0")+IFERROR(SUMPRODUCT(1/J379:J384*(V379:V384/H379:H384)),"0")+IFERROR(SUMPRODUCT(1/J388:J389*(V388:V389/H388:H389)),"0")+IFERROR(SUMPRODUCT(1/J395:J396*(V395:V396/H395:H396)),"0")+IFERROR(SUMPRODUCT(1/J400:J401*(V400:V401/H400:H401)),"0")+IFERROR(SUMPRODUCT(1/J405:J406*(V405:V406/H405:H406)),"0")+IFERROR(SUMPRODUCT(1/J410:J412*(V410:V412/H410:H412)),"0"),0)</f>
        <v/>
      </c>
      <c r="W417" s="43" t="n"/>
      <c r="X417" s="641" t="n"/>
      <c r="Y417" s="641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598" t="n"/>
      <c r="M418" s="862" t="inlineStr">
        <is>
          <t>Вес брутто  с паллетами</t>
        </is>
      </c>
      <c r="N418" s="592" t="n"/>
      <c r="O418" s="592" t="n"/>
      <c r="P418" s="592" t="n"/>
      <c r="Q418" s="592" t="n"/>
      <c r="R418" s="592" t="n"/>
      <c r="S418" s="593" t="n"/>
      <c r="T418" s="43" t="inlineStr">
        <is>
          <t>кг</t>
        </is>
      </c>
      <c r="U418" s="640">
        <f>GrossWeightTotal+PalletQtyTotal*25</f>
        <v/>
      </c>
      <c r="V418" s="640">
        <f>GrossWeightTotalR+PalletQtyTotalR*25</f>
        <v/>
      </c>
      <c r="W418" s="43" t="n"/>
      <c r="X418" s="641" t="n"/>
      <c r="Y418" s="641" t="n"/>
    </row>
    <row r="419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598" t="n"/>
      <c r="M419" s="862" t="inlineStr">
        <is>
          <t>Кол-во коробок</t>
        </is>
      </c>
      <c r="N419" s="592" t="n"/>
      <c r="O419" s="592" t="n"/>
      <c r="P419" s="592" t="n"/>
      <c r="Q419" s="592" t="n"/>
      <c r="R419" s="592" t="n"/>
      <c r="S419" s="593" t="n"/>
      <c r="T419" s="43" t="inlineStr">
        <is>
          <t>шт</t>
        </is>
      </c>
      <c r="U419" s="640">
        <f>IFERROR(U23+U32+U37+U41+U45+U51+U58+U76+U85+U97+U107+U114+U122+U130+U149+U154+U173+U197+U206+U212+U219+U230+U235+U241+U247+U251+U255+U259+U272+U277+U282+U286+U290+U298+U303+U310+U314+U321+U331+U338+U342+U348+U356+U371+U376+U385+U390+U397+U402+U407+U413,"0")</f>
        <v/>
      </c>
      <c r="V419" s="640">
        <f>IFERROR(V23+V32+V37+V41+V45+V51+V58+V76+V85+V97+V107+V114+V122+V130+V149+V154+V173+V197+V206+V212+V219+V230+V235+V241+V247+V251+V255+V259+V272+V277+V282+V286+V290+V298+V303+V310+V314+V321+V331+V338+V342+V348+V356+V371+V376+V385+V390+V397+V402+V407+V413,"0")</f>
        <v/>
      </c>
      <c r="W419" s="43" t="n"/>
      <c r="X419" s="641" t="n"/>
      <c r="Y419" s="641" t="n"/>
    </row>
    <row r="420" ht="14.25" customHeight="1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598" t="n"/>
      <c r="M420" s="862" t="inlineStr">
        <is>
          <t>Объем заказа</t>
        </is>
      </c>
      <c r="N420" s="592" t="n"/>
      <c r="O420" s="592" t="n"/>
      <c r="P420" s="592" t="n"/>
      <c r="Q420" s="592" t="n"/>
      <c r="R420" s="592" t="n"/>
      <c r="S420" s="593" t="n"/>
      <c r="T420" s="46" t="inlineStr">
        <is>
          <t>м3</t>
        </is>
      </c>
      <c r="U420" s="43" t="n"/>
      <c r="V420" s="43" t="n"/>
      <c r="W420" s="43">
        <f>IFERROR(W23+W32+W37+W41+W45+W51+W58+W76+W85+W97+W107+W114+W122+W130+W149+W154+W173+W197+W206+W212+W219+W230+W235+W241+W247+W251+W255+W259+W272+W277+W282+W286+W290+W298+W303+W310+W314+W321+W331+W338+W342+W348+W356+W371+W376+W385+W390+W397+W402+W407+W413,"0")</f>
        <v/>
      </c>
      <c r="X420" s="641" t="n"/>
      <c r="Y420" s="641" t="n"/>
    </row>
    <row r="421" ht="13.5" customHeight="1" thickBot="1"/>
    <row r="422" ht="27" customHeight="1" thickBot="1" thickTop="1">
      <c r="A422" s="47" t="inlineStr">
        <is>
          <t>ТОРГОВАЯ МАРКА</t>
        </is>
      </c>
      <c r="B422" s="589" t="inlineStr">
        <is>
          <t>Ядрена копоть</t>
        </is>
      </c>
      <c r="C422" s="589" t="inlineStr">
        <is>
          <t>Вязанка</t>
        </is>
      </c>
      <c r="D422" s="863" t="n"/>
      <c r="E422" s="863" t="n"/>
      <c r="F422" s="864" t="n"/>
      <c r="G422" s="589" t="inlineStr">
        <is>
          <t>Стародворье</t>
        </is>
      </c>
      <c r="H422" s="863" t="n"/>
      <c r="I422" s="863" t="n"/>
      <c r="J422" s="864" t="n"/>
      <c r="K422" s="589" t="inlineStr">
        <is>
          <t>Особый рецепт</t>
        </is>
      </c>
      <c r="L422" s="864" t="n"/>
      <c r="M422" s="589" t="inlineStr">
        <is>
          <t>Баварушка</t>
        </is>
      </c>
      <c r="N422" s="864" t="n"/>
      <c r="O422" s="589" t="inlineStr">
        <is>
          <t>Дугушка</t>
        </is>
      </c>
      <c r="P422" s="589" t="inlineStr">
        <is>
          <t>Зареченские</t>
        </is>
      </c>
      <c r="Q422" s="1" t="n"/>
      <c r="R422" s="1" t="n"/>
      <c r="S422" s="1" t="n"/>
      <c r="T422" s="1" t="n"/>
      <c r="Y422" s="61" t="n"/>
      <c r="AB422" s="1" t="n"/>
    </row>
    <row r="423" ht="14.25" customHeight="1" thickTop="1">
      <c r="A423" s="590" t="inlineStr">
        <is>
          <t>СЕРИЯ</t>
        </is>
      </c>
      <c r="B423" s="589" t="inlineStr">
        <is>
          <t>Ядрена копоть</t>
        </is>
      </c>
      <c r="C423" s="589" t="inlineStr">
        <is>
          <t>Столичная</t>
        </is>
      </c>
      <c r="D423" s="589" t="inlineStr">
        <is>
          <t>Классическая</t>
        </is>
      </c>
      <c r="E423" s="589" t="inlineStr">
        <is>
          <t>Вязанка</t>
        </is>
      </c>
      <c r="F423" s="589" t="inlineStr">
        <is>
          <t>Сливушки</t>
        </is>
      </c>
      <c r="G423" s="589" t="inlineStr">
        <is>
          <t>Золоченная в печи</t>
        </is>
      </c>
      <c r="H423" s="589" t="inlineStr">
        <is>
          <t>Бордо</t>
        </is>
      </c>
      <c r="I423" s="589" t="inlineStr">
        <is>
          <t>Фирменная</t>
        </is>
      </c>
      <c r="J423" s="589" t="inlineStr">
        <is>
          <t>Бавария</t>
        </is>
      </c>
      <c r="K423" s="589" t="inlineStr">
        <is>
          <t>Особая</t>
        </is>
      </c>
      <c r="L423" s="589" t="inlineStr">
        <is>
          <t>Особая Без свинины</t>
        </is>
      </c>
      <c r="M423" s="589" t="inlineStr">
        <is>
          <t>Филейбургская</t>
        </is>
      </c>
      <c r="N423" s="589" t="inlineStr">
        <is>
          <t>Балыкбургская</t>
        </is>
      </c>
      <c r="O423" s="589" t="inlineStr">
        <is>
          <t>Дугушка</t>
        </is>
      </c>
      <c r="P423" s="589" t="inlineStr">
        <is>
          <t>Зареченские продукты</t>
        </is>
      </c>
      <c r="Q423" s="1" t="n"/>
      <c r="R423" s="1" t="n"/>
      <c r="S423" s="1" t="n"/>
      <c r="T423" s="1" t="n"/>
      <c r="Y423" s="61" t="n"/>
      <c r="AB423" s="1" t="n"/>
    </row>
    <row r="424" ht="13.5" customHeight="1" thickBot="1">
      <c r="A424" s="865" t="n"/>
      <c r="B424" s="866" t="n"/>
      <c r="C424" s="866" t="n"/>
      <c r="D424" s="866" t="n"/>
      <c r="E424" s="866" t="n"/>
      <c r="F424" s="866" t="n"/>
      <c r="G424" s="866" t="n"/>
      <c r="H424" s="866" t="n"/>
      <c r="I424" s="866" t="n"/>
      <c r="J424" s="866" t="n"/>
      <c r="K424" s="866" t="n"/>
      <c r="L424" s="866" t="n"/>
      <c r="M424" s="866" t="n"/>
      <c r="N424" s="866" t="n"/>
      <c r="O424" s="866" t="n"/>
      <c r="P424" s="866" t="n"/>
      <c r="Q424" s="1" t="n"/>
      <c r="R424" s="1" t="n"/>
      <c r="S424" s="1" t="n"/>
      <c r="T424" s="1" t="n"/>
      <c r="Y424" s="61" t="n"/>
      <c r="AB424" s="1" t="n"/>
    </row>
    <row r="425" ht="18" customHeight="1" thickBot="1" thickTop="1">
      <c r="A425" s="47" t="inlineStr">
        <is>
          <t>ИТОГО, кг</t>
        </is>
      </c>
      <c r="B425" s="53">
        <f>IFERROR(V22*1,"0")+IFERROR(V26*1,"0")+IFERROR(V27*1,"0")+IFERROR(V28*1,"0")+IFERROR(V29*1,"0")+IFERROR(V30*1,"0")+IFERROR(V31*1,"0")+IFERROR(V35*1,"0")+IFERROR(V36*1,"0")+IFERROR(V40*1,"0")+IFERROR(V44*1,"0")</f>
        <v/>
      </c>
      <c r="C425" s="53">
        <f>IFERROR(V50*1,"0")</f>
        <v/>
      </c>
      <c r="D425" s="53">
        <f>IFERROR(V55*1,"0")+IFERROR(V56*1,"0")+IFERROR(V57*1,"0")</f>
        <v/>
      </c>
      <c r="E425" s="53">
        <f>IFERROR(V62*1,"0")+IFERROR(V63*1,"0")+IFERROR(V64*1,"0")+IFERROR(V65*1,"0")+IFERROR(V66*1,"0")+IFERROR(V67*1,"0")+IFERROR(V68*1,"0")+IFERROR(V69*1,"0")+IFERROR(V70*1,"0")+IFERROR(V71*1,"0")+IFERROR(V72*1,"0")+IFERROR(V73*1,"0")+IFERROR(V74*1,"0")+IFERROR(V75*1,"0")+IFERROR(V79*1,"0")+IFERROR(V80*1,"0")+IFERROR(V81*1,"0")+IFERROR(V82*1,"0")+IFERROR(V83*1,"0")+IFERROR(V84*1,"0")+IFERROR(V88*1,"0")+IFERROR(V89*1,"0")+IFERROR(V90*1,"0")+IFERROR(V91*1,"0")+IFERROR(V92*1,"0")+IFERROR(V93*1,"0")+IFERROR(V94*1,"0")+IFERROR(V95*1,"0")+IFERROR(V96*1,"0")+IFERROR(V100*1,"0")+IFERROR(V101*1,"0")+IFERROR(V102*1,"0")+IFERROR(V103*1,"0")+IFERROR(V104*1,"0")+IFERROR(V105*1,"0")+IFERROR(V106*1,"0")+IFERROR(V110*1,"0")+IFERROR(V111*1,"0")+IFERROR(V112*1,"0")+IFERROR(V113*1,"0")</f>
        <v/>
      </c>
      <c r="F425" s="53">
        <f>IFERROR(V118*1,"0")+IFERROR(V119*1,"0")+IFERROR(V120*1,"0")+IFERROR(V121*1,"0")</f>
        <v/>
      </c>
      <c r="G425" s="53">
        <f>IFERROR(V127*1,"0")+IFERROR(V128*1,"0")+IFERROR(V129*1,"0")</f>
        <v/>
      </c>
      <c r="H425" s="53">
        <f>IFERROR(V134*1,"0")+IFERROR(V135*1,"0")+IFERROR(V136*1,"0")+IFERROR(V137*1,"0")+IFERROR(V138*1,"0")+IFERROR(V139*1,"0")+IFERROR(V140*1,"0")+IFERROR(V141*1,"0")+IFERROR(V142*1,"0")+IFERROR(V143*1,"0")+IFERROR(V144*1,"0")+IFERROR(V145*1,"0")+IFERROR(V146*1,"0")+IFERROR(V147*1,"0")+IFERROR(V148*1,"0")+IFERROR(V152*1,"0")+IFERROR(V153*1,"0")+IFERROR(V157*1,"0")+IFERROR(V158*1,"0")+IFERROR(V159*1,"0")+IFERROR(V160*1,"0")+IFERROR(V161*1,"0")+IFERROR(V162*1,"0")+IFERROR(V163*1,"0")+IFERROR(V164*1,"0")+IFERROR(V165*1,"0")+IFERROR(V166*1,"0")+IFERROR(V167*1,"0")+IFERROR(V168*1,"0")+IFERROR(V169*1,"0")+IFERROR(V170*1,"0")+IFERROR(V171*1,"0")+IFERROR(V172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200*1,"0")+IFERROR(V201*1,"0")+IFERROR(V202*1,"0")+IFERROR(V203*1,"0")+IFERROR(V204*1,"0")+IFERROR(V205*1,"0")+IFERROR(V209*1,"0")+IFERROR(V210*1,"0")+IFERROR(V211*1,"0")+IFERROR(V215*1,"0")+IFERROR(V216*1,"0")+IFERROR(V217*1,"0")+IFERROR(V218*1,"0")</f>
        <v/>
      </c>
      <c r="I425" s="53">
        <f>IFERROR(V223*1,"0")+IFERROR(V224*1,"0")+IFERROR(V225*1,"0")+IFERROR(V226*1,"0")+IFERROR(V227*1,"0")+IFERROR(V228*1,"0")+IFERROR(V229*1,"0")+IFERROR(V233*1,"0")+IFERROR(V234*1,"0")</f>
        <v/>
      </c>
      <c r="J425" s="53">
        <f>IFERROR(V239*1,"0")+IFERROR(V240*1,"0")+IFERROR(V244*1,"0")+IFERROR(V245*1,"0")+IFERROR(V246*1,"0")+IFERROR(V250*1,"0")+IFERROR(V254*1,"0")+IFERROR(V258*1,"0")</f>
        <v/>
      </c>
      <c r="K425" s="53">
        <f>IFERROR(V264*1,"0")+IFERROR(V265*1,"0")+IFERROR(V266*1,"0")+IFERROR(V267*1,"0")+IFERROR(V268*1,"0")+IFERROR(V269*1,"0")+IFERROR(V270*1,"0")+IFERROR(V271*1,"0")+IFERROR(V275*1,"0")+IFERROR(V276*1,"0")+IFERROR(V280*1,"0")+IFERROR(V281*1,"0")+IFERROR(V285*1,"0")+IFERROR(V289*1,"0")</f>
        <v/>
      </c>
      <c r="L425" s="53">
        <f>IFERROR(V294*1,"0")+IFERROR(V295*1,"0")+IFERROR(V296*1,"0")+IFERROR(V297*1,"0")+IFERROR(V301*1,"0")+IFERROR(V302*1,"0")+IFERROR(V306*1,"0")+IFERROR(V307*1,"0")+IFERROR(V308*1,"0")+IFERROR(V309*1,"0")+IFERROR(V313*1,"0")</f>
        <v/>
      </c>
      <c r="M425" s="53">
        <f>IFERROR(V319*1,"0")+IFERROR(V320*1,"0")+IFERROR(V324*1,"0")+IFERROR(V325*1,"0")+IFERROR(V326*1,"0")+IFERROR(V327*1,"0")+IFERROR(V328*1,"0")+IFERROR(V329*1,"0")+IFERROR(V330*1,"0")+IFERROR(V334*1,"0")+IFERROR(V335*1,"0")+IFERROR(V336*1,"0")+IFERROR(V337*1,"0")+IFERROR(V341*1,"0")</f>
        <v/>
      </c>
      <c r="N425" s="53">
        <f>IFERROR(V346*1,"0")+IFERROR(V347*1,"0")+IFERROR(V351*1,"0")+IFERROR(V352*1,"0")+IFERROR(V353*1,"0")+IFERROR(V354*1,"0")+IFERROR(V355*1,"0")</f>
        <v/>
      </c>
      <c r="O425" s="53">
        <f>IFERROR(V361*1,"0")+IFERROR(V362*1,"0")+IFERROR(V363*1,"0")+IFERROR(V364*1,"0")+IFERROR(V365*1,"0")+IFERROR(V366*1,"0")+IFERROR(V367*1,"0")+IFERROR(V368*1,"0")+IFERROR(V369*1,"0")+IFERROR(V370*1,"0")+IFERROR(V374*1,"0")+IFERROR(V375*1,"0")+IFERROR(V379*1,"0")+IFERROR(V380*1,"0")+IFERROR(V381*1,"0")+IFERROR(V382*1,"0")+IFERROR(V383*1,"0")+IFERROR(V384*1,"0")+IFERROR(V388*1,"0")+IFERROR(V389*1,"0")</f>
        <v/>
      </c>
      <c r="P425" s="53">
        <f>IFERROR(V395*1,"0")+IFERROR(V396*1,"0")+IFERROR(V400*1,"0")+IFERROR(V401*1,"0")+IFERROR(V405*1,"0")+IFERROR(V406*1,"0")+IFERROR(V410*1,"0")+IFERROR(V411*1,"0")+IFERROR(V412*1,"0")</f>
        <v/>
      </c>
      <c r="Q425" s="1" t="n"/>
      <c r="R425" s="1" t="n"/>
      <c r="S425" s="1" t="n"/>
      <c r="T425" s="1" t="n"/>
      <c r="Y425" s="61" t="n"/>
      <c r="AB425" s="1" t="n"/>
    </row>
    <row r="426" ht="13.5" customHeight="1" thickTop="1">
      <c r="C426" s="1" t="n"/>
    </row>
    <row r="427" ht="19.5" customHeight="1">
      <c r="A427" s="71" t="inlineStr">
        <is>
          <t>ЗПФ, кг</t>
        </is>
      </c>
      <c r="B427" s="71" t="inlineStr">
        <is>
          <t xml:space="preserve">ПГП, кг </t>
        </is>
      </c>
      <c r="C427" s="71" t="inlineStr">
        <is>
          <t>КИЗ, кг</t>
        </is>
      </c>
    </row>
    <row r="428">
      <c r="A428" s="72">
        <f>SUMPRODUCT(--(AC:AC="ЗПФ"),H:H,V:V)</f>
        <v/>
      </c>
      <c r="B428" s="73">
        <f>SUMPRODUCT(--(AC:AC="ПГП"),H:H,V:V)</f>
        <v/>
      </c>
      <c r="C428" s="73">
        <f>SUMPRODUCT(--(AC:AC="КИЗ"),H:H,V:V)</f>
        <v/>
      </c>
    </row>
    <row r="429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I4N9Fhn3ie65fgJXh+qGNA==" formatRows="1" sort="0" spinCount="100000" hashValue="HVPBCIwGI+QCoZrxifZAx6ynMiiGWWtlzpoDSEikN+ZAI4dkNiKUDRlgjUTb3bDBG/KhKF0tD/JfCuai9PpLrw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758">
    <mergeCell ref="J423:J424"/>
    <mergeCell ref="K423:K424"/>
    <mergeCell ref="L423:L424"/>
    <mergeCell ref="M423:M424"/>
    <mergeCell ref="N423:N424"/>
    <mergeCell ref="O423:O424"/>
    <mergeCell ref="P423:P424"/>
    <mergeCell ref="A423:A424"/>
    <mergeCell ref="B423:B424"/>
    <mergeCell ref="C423:C424"/>
    <mergeCell ref="D423:D424"/>
    <mergeCell ref="E423:E424"/>
    <mergeCell ref="F423:F424"/>
    <mergeCell ref="G423:G424"/>
    <mergeCell ref="H423:H424"/>
    <mergeCell ref="I423:I424"/>
    <mergeCell ref="M415:S415"/>
    <mergeCell ref="A415:L420"/>
    <mergeCell ref="M416:S416"/>
    <mergeCell ref="M417:S417"/>
    <mergeCell ref="M418:S418"/>
    <mergeCell ref="M419:S419"/>
    <mergeCell ref="M420:S420"/>
    <mergeCell ref="C422:F422"/>
    <mergeCell ref="G422:J422"/>
    <mergeCell ref="K422:L422"/>
    <mergeCell ref="M422:N422"/>
    <mergeCell ref="D410:E410"/>
    <mergeCell ref="M410:Q410"/>
    <mergeCell ref="D411:E411"/>
    <mergeCell ref="M411:Q411"/>
    <mergeCell ref="D412:E412"/>
    <mergeCell ref="M412:Q412"/>
    <mergeCell ref="M413:S413"/>
    <mergeCell ref="A413:L414"/>
    <mergeCell ref="M414:S414"/>
    <mergeCell ref="A404:W404"/>
    <mergeCell ref="D405:E405"/>
    <mergeCell ref="M405:Q405"/>
    <mergeCell ref="D406:E406"/>
    <mergeCell ref="M406:Q406"/>
    <mergeCell ref="M407:S407"/>
    <mergeCell ref="A407:L408"/>
    <mergeCell ref="M408:S408"/>
    <mergeCell ref="A409:W409"/>
    <mergeCell ref="M397:S397"/>
    <mergeCell ref="A397:L398"/>
    <mergeCell ref="M398:S398"/>
    <mergeCell ref="A399:W399"/>
    <mergeCell ref="D400:E400"/>
    <mergeCell ref="M400:Q400"/>
    <mergeCell ref="D401:E401"/>
    <mergeCell ref="M401:Q401"/>
    <mergeCell ref="M402:S402"/>
    <mergeCell ref="A402:L403"/>
    <mergeCell ref="M403:S403"/>
    <mergeCell ref="M390:S390"/>
    <mergeCell ref="A390:L391"/>
    <mergeCell ref="M391:S391"/>
    <mergeCell ref="A392:W392"/>
    <mergeCell ref="A393:W393"/>
    <mergeCell ref="A394:W394"/>
    <mergeCell ref="D395:E395"/>
    <mergeCell ref="M395:Q395"/>
    <mergeCell ref="D396:E396"/>
    <mergeCell ref="M396:Q396"/>
    <mergeCell ref="D384:E384"/>
    <mergeCell ref="M384:Q384"/>
    <mergeCell ref="M385:S385"/>
    <mergeCell ref="A385:L386"/>
    <mergeCell ref="M386:S386"/>
    <mergeCell ref="A387:W387"/>
    <mergeCell ref="D388:E388"/>
    <mergeCell ref="M388:Q388"/>
    <mergeCell ref="D389:E389"/>
    <mergeCell ref="M389:Q389"/>
    <mergeCell ref="D379:E379"/>
    <mergeCell ref="M379:Q379"/>
    <mergeCell ref="D380:E380"/>
    <mergeCell ref="M380:Q380"/>
    <mergeCell ref="D381:E381"/>
    <mergeCell ref="M381:Q381"/>
    <mergeCell ref="D382:E382"/>
    <mergeCell ref="M382:Q382"/>
    <mergeCell ref="D383:E383"/>
    <mergeCell ref="M383:Q383"/>
    <mergeCell ref="A373:W373"/>
    <mergeCell ref="D374:E374"/>
    <mergeCell ref="M374:Q374"/>
    <mergeCell ref="D375:E375"/>
    <mergeCell ref="M375:Q375"/>
    <mergeCell ref="M376:S376"/>
    <mergeCell ref="A376:L377"/>
    <mergeCell ref="M377:S377"/>
    <mergeCell ref="A378:W378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M371:S371"/>
    <mergeCell ref="A371:L372"/>
    <mergeCell ref="M372:S372"/>
    <mergeCell ref="D362:E362"/>
    <mergeCell ref="M362:Q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D355:E355"/>
    <mergeCell ref="M355:Q355"/>
    <mergeCell ref="M356:S356"/>
    <mergeCell ref="A356:L357"/>
    <mergeCell ref="M357:S357"/>
    <mergeCell ref="A358:W358"/>
    <mergeCell ref="A359:W359"/>
    <mergeCell ref="A360:W360"/>
    <mergeCell ref="D361:E361"/>
    <mergeCell ref="M361:Q361"/>
    <mergeCell ref="A350:W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A344:W344"/>
    <mergeCell ref="A345:W345"/>
    <mergeCell ref="D346:E346"/>
    <mergeCell ref="M346:Q346"/>
    <mergeCell ref="D347:E347"/>
    <mergeCell ref="M347:Q347"/>
    <mergeCell ref="M348:S348"/>
    <mergeCell ref="A348:L349"/>
    <mergeCell ref="M349:S349"/>
    <mergeCell ref="M338:S338"/>
    <mergeCell ref="A338:L339"/>
    <mergeCell ref="M339:S339"/>
    <mergeCell ref="A340:W340"/>
    <mergeCell ref="D341:E341"/>
    <mergeCell ref="M341:Q341"/>
    <mergeCell ref="M342:S342"/>
    <mergeCell ref="A342:L343"/>
    <mergeCell ref="M343:S343"/>
    <mergeCell ref="A333:W333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M331:S331"/>
    <mergeCell ref="A331:L332"/>
    <mergeCell ref="M332:S332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D326:E326"/>
    <mergeCell ref="M326:Q326"/>
    <mergeCell ref="M314:S314"/>
    <mergeCell ref="A314:L315"/>
    <mergeCell ref="M315:S315"/>
    <mergeCell ref="A316:W316"/>
    <mergeCell ref="A317:W317"/>
    <mergeCell ref="A318:W318"/>
    <mergeCell ref="D319:E319"/>
    <mergeCell ref="M319:Q319"/>
    <mergeCell ref="D320:E320"/>
    <mergeCell ref="M320:Q320"/>
    <mergeCell ref="D308:E308"/>
    <mergeCell ref="M308:Q308"/>
    <mergeCell ref="D309:E309"/>
    <mergeCell ref="M309:Q309"/>
    <mergeCell ref="M310:S310"/>
    <mergeCell ref="A310:L311"/>
    <mergeCell ref="M311:S311"/>
    <mergeCell ref="A312:W312"/>
    <mergeCell ref="D313:E313"/>
    <mergeCell ref="M313:Q313"/>
    <mergeCell ref="D302:E302"/>
    <mergeCell ref="M302:Q302"/>
    <mergeCell ref="M303:S303"/>
    <mergeCell ref="A303:L304"/>
    <mergeCell ref="M304:S304"/>
    <mergeCell ref="A305:W305"/>
    <mergeCell ref="D306:E306"/>
    <mergeCell ref="M306:Q306"/>
    <mergeCell ref="D307:E307"/>
    <mergeCell ref="M307:Q307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M290:S290"/>
    <mergeCell ref="A290:L291"/>
    <mergeCell ref="M291:S291"/>
    <mergeCell ref="A292:W292"/>
    <mergeCell ref="A293:W293"/>
    <mergeCell ref="D294:E294"/>
    <mergeCell ref="M294:Q294"/>
    <mergeCell ref="D295:E295"/>
    <mergeCell ref="M295:Q295"/>
    <mergeCell ref="A284:W284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77:S277"/>
    <mergeCell ref="A277:L278"/>
    <mergeCell ref="M278:S278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D276:E276"/>
    <mergeCell ref="M276:Q276"/>
    <mergeCell ref="D266:E266"/>
    <mergeCell ref="M266:Q266"/>
    <mergeCell ref="D267:E267"/>
    <mergeCell ref="M267:Q267"/>
    <mergeCell ref="D268:E268"/>
    <mergeCell ref="M268:Q268"/>
    <mergeCell ref="D269:E269"/>
    <mergeCell ref="M269:Q269"/>
    <mergeCell ref="D270:E270"/>
    <mergeCell ref="M270:Q270"/>
    <mergeCell ref="M259:S259"/>
    <mergeCell ref="A259:L260"/>
    <mergeCell ref="M260:S260"/>
    <mergeCell ref="A261:W261"/>
    <mergeCell ref="A262:W262"/>
    <mergeCell ref="A263:W263"/>
    <mergeCell ref="D264:E264"/>
    <mergeCell ref="M264:Q264"/>
    <mergeCell ref="D265:E265"/>
    <mergeCell ref="M265:Q265"/>
    <mergeCell ref="A253:W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47:S247"/>
    <mergeCell ref="A247:L248"/>
    <mergeCell ref="M248:S248"/>
    <mergeCell ref="A249:W249"/>
    <mergeCell ref="D250:E250"/>
    <mergeCell ref="M250:Q250"/>
    <mergeCell ref="M251:S251"/>
    <mergeCell ref="A251:L252"/>
    <mergeCell ref="M252:S252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35:S235"/>
    <mergeCell ref="A235:L236"/>
    <mergeCell ref="M236:S236"/>
    <mergeCell ref="A237:W237"/>
    <mergeCell ref="A238:W238"/>
    <mergeCell ref="D239:E239"/>
    <mergeCell ref="M239:Q239"/>
    <mergeCell ref="D240:E240"/>
    <mergeCell ref="M240:Q240"/>
    <mergeCell ref="D229:E229"/>
    <mergeCell ref="M229:Q229"/>
    <mergeCell ref="M230:S230"/>
    <mergeCell ref="A230:L231"/>
    <mergeCell ref="M231:S231"/>
    <mergeCell ref="A232:W232"/>
    <mergeCell ref="D233:E233"/>
    <mergeCell ref="M233:Q233"/>
    <mergeCell ref="D234:E234"/>
    <mergeCell ref="M234:Q234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D228:E228"/>
    <mergeCell ref="M228:Q228"/>
    <mergeCell ref="D218:E218"/>
    <mergeCell ref="M218:Q218"/>
    <mergeCell ref="M219:S219"/>
    <mergeCell ref="A219:L220"/>
    <mergeCell ref="M220:S220"/>
    <mergeCell ref="A221:W221"/>
    <mergeCell ref="A222:W222"/>
    <mergeCell ref="D223:E223"/>
    <mergeCell ref="M223:Q223"/>
    <mergeCell ref="M212:S212"/>
    <mergeCell ref="A212:L213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M206:S206"/>
    <mergeCell ref="A206:L207"/>
    <mergeCell ref="M207:S207"/>
    <mergeCell ref="A208:W208"/>
    <mergeCell ref="D209:E209"/>
    <mergeCell ref="M209:Q209"/>
    <mergeCell ref="D210:E210"/>
    <mergeCell ref="M210:Q210"/>
    <mergeCell ref="D211:E211"/>
    <mergeCell ref="M211:Q211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195:E195"/>
    <mergeCell ref="M195:Q195"/>
    <mergeCell ref="D196:E196"/>
    <mergeCell ref="M196:Q196"/>
    <mergeCell ref="M197:S197"/>
    <mergeCell ref="A197:L198"/>
    <mergeCell ref="M198:S198"/>
    <mergeCell ref="A199:W199"/>
    <mergeCell ref="D200:E200"/>
    <mergeCell ref="M200:Q200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A175:W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M173:S173"/>
    <mergeCell ref="A173:L174"/>
    <mergeCell ref="M174:S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59:E159"/>
    <mergeCell ref="M159:Q159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53:E153"/>
    <mergeCell ref="M153:Q153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D137:E137"/>
    <mergeCell ref="M137:Q137"/>
    <mergeCell ref="A126:W126"/>
    <mergeCell ref="D127:E127"/>
    <mergeCell ref="M127:Q127"/>
    <mergeCell ref="D128:E128"/>
    <mergeCell ref="M128:Q128"/>
    <mergeCell ref="D129:E129"/>
    <mergeCell ref="M129:Q129"/>
    <mergeCell ref="M130:S130"/>
    <mergeCell ref="A130:L131"/>
    <mergeCell ref="M131:S131"/>
    <mergeCell ref="D120:E120"/>
    <mergeCell ref="M120:Q120"/>
    <mergeCell ref="D121:E121"/>
    <mergeCell ref="M121:Q121"/>
    <mergeCell ref="M122:S122"/>
    <mergeCell ref="A122:L123"/>
    <mergeCell ref="M123:S123"/>
    <mergeCell ref="A124:W124"/>
    <mergeCell ref="A125:W125"/>
    <mergeCell ref="M114:S114"/>
    <mergeCell ref="A114:L115"/>
    <mergeCell ref="M115:S115"/>
    <mergeCell ref="A116:W116"/>
    <mergeCell ref="A117:W117"/>
    <mergeCell ref="D118:E118"/>
    <mergeCell ref="M118:Q118"/>
    <mergeCell ref="D119:E119"/>
    <mergeCell ref="M119:Q119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M97:S97"/>
    <mergeCell ref="A97:L98"/>
    <mergeCell ref="M98:S98"/>
    <mergeCell ref="A99:W99"/>
    <mergeCell ref="D100:E100"/>
    <mergeCell ref="M100:Q100"/>
    <mergeCell ref="D101:E101"/>
    <mergeCell ref="M101:Q101"/>
    <mergeCell ref="D102:E102"/>
    <mergeCell ref="M102:Q102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A87:W87"/>
    <mergeCell ref="D88:E88"/>
    <mergeCell ref="M88:Q88"/>
    <mergeCell ref="D89:E89"/>
    <mergeCell ref="M89:Q89"/>
    <mergeCell ref="D90:E90"/>
    <mergeCell ref="M90:Q90"/>
    <mergeCell ref="D91:E91"/>
    <mergeCell ref="M91:Q91"/>
    <mergeCell ref="D82:E82"/>
    <mergeCell ref="M82:Q82"/>
    <mergeCell ref="D83:E83"/>
    <mergeCell ref="M83:Q83"/>
    <mergeCell ref="D84:E84"/>
    <mergeCell ref="M84:Q84"/>
    <mergeCell ref="M85:S85"/>
    <mergeCell ref="A85:L86"/>
    <mergeCell ref="M86:S86"/>
    <mergeCell ref="M76:S76"/>
    <mergeCell ref="A76:L77"/>
    <mergeCell ref="M77:S77"/>
    <mergeCell ref="A78:W78"/>
    <mergeCell ref="D79:E79"/>
    <mergeCell ref="M79:Q79"/>
    <mergeCell ref="D80:E80"/>
    <mergeCell ref="M80:Q80"/>
    <mergeCell ref="D81:E81"/>
    <mergeCell ref="M81:Q81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A60:W60"/>
    <mergeCell ref="A61:W61"/>
    <mergeCell ref="D62:E62"/>
    <mergeCell ref="M62:Q62"/>
    <mergeCell ref="D63:E63"/>
    <mergeCell ref="M63:Q63"/>
    <mergeCell ref="D64:E64"/>
    <mergeCell ref="M64:Q64"/>
    <mergeCell ref="D65:E65"/>
    <mergeCell ref="M65:Q65"/>
    <mergeCell ref="A53:W53"/>
    <mergeCell ref="A54:W54"/>
    <mergeCell ref="D55:E55"/>
    <mergeCell ref="M55:Q55"/>
    <mergeCell ref="D56:E56"/>
    <mergeCell ref="M56:Q56"/>
    <mergeCell ref="D57:E57"/>
    <mergeCell ref="M57:Q57"/>
    <mergeCell ref="M58:S58"/>
    <mergeCell ref="A58:L59"/>
    <mergeCell ref="M59:S59"/>
    <mergeCell ref="M45:S45"/>
    <mergeCell ref="A45:L46"/>
    <mergeCell ref="M46:S46"/>
    <mergeCell ref="A47:W47"/>
    <mergeCell ref="A48:W48"/>
    <mergeCell ref="A49:W49"/>
    <mergeCell ref="D50:E50"/>
    <mergeCell ref="M50:Q50"/>
    <mergeCell ref="M51:S51"/>
    <mergeCell ref="A51:L52"/>
    <mergeCell ref="M52:S52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ПУШКАРНЫЙ В.Т., ИП, Краснодарский край, Краснодар г, Уральская ул, 116,</t>
        </is>
      </c>
      <c r="C6" s="54" t="inlineStr">
        <is>
          <t>59520_2</t>
        </is>
      </c>
      <c r="D6" s="54" t="inlineStr">
        <is>
          <t>1</t>
        </is>
      </c>
      <c r="E6" s="54" t="inlineStr"/>
    </row>
    <row r="8">
      <c r="B8" s="54" t="inlineStr">
        <is>
          <t>350088Российская Федерация, Краснодарский край, Краснодар г, Уральская ул, 116,</t>
        </is>
      </c>
      <c r="C8" s="54" t="inlineStr">
        <is>
          <t>59520_2</t>
        </is>
      </c>
      <c r="D8" s="54" t="inlineStr"/>
      <c r="E8" s="54" t="inlineStr"/>
    </row>
    <row r="10">
      <c r="B10" s="54" t="inlineStr">
        <is>
          <t>CFR</t>
        </is>
      </c>
      <c r="C10" s="54" t="inlineStr"/>
      <c r="D10" s="54" t="inlineStr"/>
      <c r="E10" s="54" t="inlineStr"/>
    </row>
    <row r="11">
      <c r="B11" s="54" t="inlineStr">
        <is>
          <t>CIF</t>
        </is>
      </c>
      <c r="C11" s="54" t="inlineStr"/>
      <c r="D11" s="54" t="inlineStr"/>
      <c r="E11" s="54" t="inlineStr"/>
    </row>
    <row r="12">
      <c r="B12" s="54" t="inlineStr">
        <is>
          <t>CIP</t>
        </is>
      </c>
      <c r="C12" s="54" t="inlineStr"/>
      <c r="D12" s="54" t="inlineStr"/>
      <c r="E12" s="54" t="inlineStr"/>
    </row>
    <row r="13">
      <c r="B13" s="54" t="inlineStr">
        <is>
          <t>CPT</t>
        </is>
      </c>
      <c r="C13" s="54" t="inlineStr"/>
      <c r="D13" s="54" t="inlineStr"/>
      <c r="E13" s="54" t="inlineStr"/>
    </row>
    <row r="14">
      <c r="B14" s="54" t="inlineStr">
        <is>
          <t>DAP</t>
        </is>
      </c>
      <c r="C14" s="54" t="inlineStr"/>
      <c r="D14" s="54" t="inlineStr"/>
      <c r="E14" s="54" t="inlineStr"/>
    </row>
    <row r="15">
      <c r="B15" s="54" t="inlineStr">
        <is>
          <t>DAT</t>
        </is>
      </c>
      <c r="C15" s="54" t="inlineStr"/>
      <c r="D15" s="54" t="inlineStr"/>
      <c r="E15" s="54" t="inlineStr"/>
    </row>
    <row r="16">
      <c r="B16" s="54" t="inlineStr">
        <is>
          <t>DDP</t>
        </is>
      </c>
      <c r="C16" s="54" t="inlineStr"/>
      <c r="D16" s="54" t="inlineStr"/>
      <c r="E16" s="54" t="inlineStr"/>
    </row>
    <row r="17">
      <c r="B17" s="54" t="inlineStr">
        <is>
          <t>EXW</t>
        </is>
      </c>
      <c r="C17" s="54" t="inlineStr"/>
      <c r="D17" s="54" t="inlineStr"/>
      <c r="E17" s="54" t="inlineStr"/>
    </row>
    <row r="18">
      <c r="B18" s="54" t="inlineStr">
        <is>
          <t>FAS</t>
        </is>
      </c>
      <c r="C18" s="54" t="inlineStr"/>
      <c r="D18" s="54" t="inlineStr"/>
      <c r="E18" s="54" t="inlineStr"/>
    </row>
    <row r="19">
      <c r="B19" s="54" t="inlineStr">
        <is>
          <t>FCA</t>
        </is>
      </c>
      <c r="C19" s="54" t="inlineStr"/>
      <c r="D19" s="54" t="inlineStr"/>
      <c r="E19" s="54" t="inlineStr"/>
    </row>
    <row r="20">
      <c r="B20" s="54" t="inlineStr">
        <is>
          <t>FOB</t>
        </is>
      </c>
      <c r="C20" s="54" t="inlineStr"/>
      <c r="D20" s="54" t="inlineStr"/>
      <c r="E20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yA+UcjE2MChh9tfyp+orJg==" formatRows="1" sort="0" spinCount="100000" hashValue="7vYVI3SGJ0NiSNKYxJYJj3zHxxd+l+i7DskDpFDL6IlJYX1cR0T6F0yBRBU5/mvEx6Hv4grUKPCllhPwCYnsA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2023-07-21T09:41:52Z</dcterms:modified>
  <cp:lastModifiedBy>User1</cp:lastModifiedBy>
</cp:coreProperties>
</file>