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32775" yWindow="495" windowWidth="25605" windowHeight="143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2"/>
  <sheetViews>
    <sheetView showGridLines="0" tabSelected="1" topLeftCell="E11" zoomScale="93" zoomScaleNormal="93" zoomScaleSheetLayoutView="100" workbookViewId="0">
      <selection activeCell="AC22" sqref="AC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40">
      <c r="A1" s="48" t="n"/>
      <c r="B1" s="48" t="n"/>
      <c r="C1" s="48" t="n"/>
      <c r="D1" s="302" t="inlineStr">
        <is>
          <t xml:space="preserve">  БЛАНК ЗАКАЗА </t>
        </is>
      </c>
      <c r="G1" s="14" t="inlineStr">
        <is>
          <t>КИ</t>
        </is>
      </c>
      <c r="H1" s="302" t="inlineStr">
        <is>
          <t>на отгрузку продукции с ООО Трейд-Сервис с</t>
        </is>
      </c>
      <c r="O1" s="303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40">
      <c r="A2" s="34" t="inlineStr">
        <is>
          <t>бланк создан</t>
        </is>
      </c>
      <c r="B2" s="35" t="inlineStr">
        <is>
          <t>28.07.2023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0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4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4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40">
      <c r="A5" s="306" t="inlineStr">
        <is>
          <t xml:space="preserve">Ваш контактный телефон и имя: </t>
        </is>
      </c>
      <c r="B5" s="607" t="n"/>
      <c r="C5" s="608" t="n"/>
      <c r="D5" s="307" t="n"/>
      <c r="E5" s="609" t="n"/>
      <c r="F5" s="308" t="inlineStr">
        <is>
          <t>Комментарий к заказу:</t>
        </is>
      </c>
      <c r="G5" s="608" t="n"/>
      <c r="H5" s="307" t="n"/>
      <c r="I5" s="610" t="n"/>
      <c r="J5" s="610" t="n"/>
      <c r="K5" s="609" t="n"/>
      <c r="M5" s="29" t="inlineStr">
        <is>
          <t>Дата загрузки</t>
        </is>
      </c>
      <c r="N5" s="611" t="n"/>
      <c r="O5" s="612" t="n"/>
      <c r="Q5" s="311" t="inlineStr">
        <is>
          <t>Способ доставки (доставка/самовывоз)</t>
        </is>
      </c>
      <c r="R5" s="613" t="n"/>
      <c r="S5" s="614" t="n"/>
      <c r="T5" s="612" t="n"/>
      <c r="Y5" s="60" t="n"/>
      <c r="Z5" s="60" t="n"/>
      <c r="AA5" s="60" t="n"/>
    </row>
    <row r="6" ht="24" customFormat="1" customHeight="1" s="340">
      <c r="A6" s="306" t="inlineStr">
        <is>
          <t>Адрес доставки:</t>
        </is>
      </c>
      <c r="B6" s="607" t="n"/>
      <c r="C6" s="608" t="n"/>
      <c r="D6" s="314" t="n"/>
      <c r="E6" s="615" t="n"/>
      <c r="F6" s="615" t="n"/>
      <c r="G6" s="615" t="n"/>
      <c r="H6" s="615" t="n"/>
      <c r="I6" s="615" t="n"/>
      <c r="J6" s="615" t="n"/>
      <c r="K6" s="612" t="n"/>
      <c r="M6" s="29" t="inlineStr">
        <is>
          <t>День недели</t>
        </is>
      </c>
      <c r="N6" s="315">
        <f>IF(N5=0," ",CHOOSE(WEEKDAY(N5,2),"Понедельник","Вторник","Среда","Четверг","Пятница","Суббота","Воскресенье"))</f>
        <v/>
      </c>
      <c r="O6" s="616" t="n"/>
      <c r="Q6" s="317" t="inlineStr">
        <is>
          <t>Наименование клиента</t>
        </is>
      </c>
      <c r="R6" s="613" t="n"/>
      <c r="S6" s="617" t="inlineStr">
        <is>
          <t>ОБЩЕСТВО С ОГРАНИЧЕННОЙ ОТВЕТСТВЕННОСТЬЮ "ЛОГИСТИЧЕСКИЙ ПАРТНЕР"</t>
        </is>
      </c>
      <c r="T6" s="618" t="n"/>
      <c r="Y6" s="60" t="n"/>
      <c r="Z6" s="60" t="n"/>
      <c r="AA6" s="60" t="n"/>
    </row>
    <row r="7" hidden="1" ht="21.75" customFormat="1" customHeight="1" s="340">
      <c r="A7" s="65" t="n"/>
      <c r="B7" s="65" t="n"/>
      <c r="C7" s="65" t="n"/>
      <c r="D7" s="619">
        <f>IFERROR(VLOOKUP(DeliveryAddress,Table,3,0),1)</f>
        <v/>
      </c>
      <c r="E7" s="620" t="n"/>
      <c r="F7" s="620" t="n"/>
      <c r="G7" s="620" t="n"/>
      <c r="H7" s="620" t="n"/>
      <c r="I7" s="620" t="n"/>
      <c r="J7" s="620" t="n"/>
      <c r="K7" s="621" t="n"/>
      <c r="M7" s="29" t="n"/>
      <c r="N7" s="49" t="n"/>
      <c r="O7" s="49" t="n"/>
      <c r="Q7" s="1" t="n"/>
      <c r="R7" s="613" t="n"/>
      <c r="S7" s="622" t="n"/>
      <c r="T7" s="623" t="n"/>
      <c r="Y7" s="60" t="n"/>
      <c r="Z7" s="60" t="n"/>
      <c r="AA7" s="60" t="n"/>
    </row>
    <row r="8" ht="25.5" customFormat="1" customHeight="1" s="340">
      <c r="A8" s="327" t="inlineStr">
        <is>
          <t>Адрес сдачи груза:</t>
        </is>
      </c>
      <c r="B8" s="624" t="n"/>
      <c r="C8" s="625" t="n"/>
      <c r="D8" s="328" t="n"/>
      <c r="E8" s="626" t="n"/>
      <c r="F8" s="626" t="n"/>
      <c r="G8" s="626" t="n"/>
      <c r="H8" s="626" t="n"/>
      <c r="I8" s="626" t="n"/>
      <c r="J8" s="626" t="n"/>
      <c r="K8" s="627" t="n"/>
      <c r="M8" s="29" t="inlineStr">
        <is>
          <t>Время загрузки</t>
        </is>
      </c>
      <c r="N8" s="329" t="n"/>
      <c r="O8" s="612" t="n"/>
      <c r="Q8" s="1" t="n"/>
      <c r="R8" s="613" t="n"/>
      <c r="S8" s="622" t="n"/>
      <c r="T8" s="623" t="n"/>
      <c r="Y8" s="60" t="n"/>
      <c r="Z8" s="60" t="n"/>
      <c r="AA8" s="60" t="n"/>
    </row>
    <row r="9" ht="39.95" customFormat="1" customHeight="1" s="340">
      <c r="A9" s="33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31" t="inlineStr"/>
      <c r="E9" s="3" t="n"/>
      <c r="F9" s="33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3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3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11" t="n"/>
      <c r="O9" s="612" t="n"/>
      <c r="Q9" s="1" t="n"/>
      <c r="R9" s="613" t="n"/>
      <c r="S9" s="628" t="n"/>
      <c r="T9" s="62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40">
      <c r="A10" s="33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31" t="n"/>
      <c r="E10" s="3" t="n"/>
      <c r="F10" s="33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3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29" t="n"/>
      <c r="O10" s="612" t="n"/>
      <c r="R10" s="29" t="inlineStr">
        <is>
          <t>КОД Аксапты Клиента</t>
        </is>
      </c>
      <c r="S10" s="630" t="inlineStr">
        <is>
          <t>590704</t>
        </is>
      </c>
      <c r="T10" s="61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4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29" t="n"/>
      <c r="O11" s="612" t="n"/>
      <c r="R11" s="29" t="inlineStr">
        <is>
          <t>Тип заказа</t>
        </is>
      </c>
      <c r="S11" s="337" t="inlineStr">
        <is>
          <t>Основной заказ</t>
        </is>
      </c>
      <c r="T11" s="63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40">
      <c r="A12" s="338" t="inlineStr">
        <is>
          <t>Телефоны для заказов: 8(919)002-63-01  E-mail: kolbasa@abiproduct.ru  Телефон сотрудников склада: 8 (910) 775-52-91</t>
        </is>
      </c>
      <c r="B12" s="607" t="n"/>
      <c r="C12" s="607" t="n"/>
      <c r="D12" s="607" t="n"/>
      <c r="E12" s="607" t="n"/>
      <c r="F12" s="607" t="n"/>
      <c r="G12" s="607" t="n"/>
      <c r="H12" s="607" t="n"/>
      <c r="I12" s="607" t="n"/>
      <c r="J12" s="607" t="n"/>
      <c r="K12" s="608" t="n"/>
      <c r="M12" s="29" t="inlineStr">
        <is>
          <t>Время доставки 3 машины</t>
        </is>
      </c>
      <c r="N12" s="339" t="n"/>
      <c r="O12" s="621" t="n"/>
      <c r="P12" s="28" t="n"/>
      <c r="R12" s="29" t="inlineStr"/>
      <c r="S12" s="340" t="n"/>
      <c r="T12" s="1" t="n"/>
      <c r="Y12" s="60" t="n"/>
      <c r="Z12" s="60" t="n"/>
      <c r="AA12" s="60" t="n"/>
    </row>
    <row r="13" ht="23.25" customFormat="1" customHeight="1" s="340">
      <c r="A13" s="338" t="inlineStr">
        <is>
          <t>График приема заказов: Заказы принимаются за ДВА дня до отгрузки Пн-Пт: с 9:00 до 14:00, Суб., Вс. - до 12:00</t>
        </is>
      </c>
      <c r="B13" s="607" t="n"/>
      <c r="C13" s="607" t="n"/>
      <c r="D13" s="607" t="n"/>
      <c r="E13" s="607" t="n"/>
      <c r="F13" s="607" t="n"/>
      <c r="G13" s="607" t="n"/>
      <c r="H13" s="607" t="n"/>
      <c r="I13" s="607" t="n"/>
      <c r="J13" s="607" t="n"/>
      <c r="K13" s="608" t="n"/>
      <c r="L13" s="31" t="n"/>
      <c r="M13" s="31" t="inlineStr">
        <is>
          <t>Время доставки 4 машины</t>
        </is>
      </c>
      <c r="N13" s="337" t="n"/>
      <c r="O13" s="63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40">
      <c r="A14" s="338" t="inlineStr">
        <is>
          <t>Телефон менеджера по логистике: 8 (919) 012-30-55 - по вопросам доставки продукции</t>
        </is>
      </c>
      <c r="B14" s="607" t="n"/>
      <c r="C14" s="607" t="n"/>
      <c r="D14" s="607" t="n"/>
      <c r="E14" s="607" t="n"/>
      <c r="F14" s="607" t="n"/>
      <c r="G14" s="607" t="n"/>
      <c r="H14" s="607" t="n"/>
      <c r="I14" s="607" t="n"/>
      <c r="J14" s="607" t="n"/>
      <c r="K14" s="60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40">
      <c r="A15" s="341" t="inlineStr">
        <is>
          <t>Телефон по работе с претензиями/жалобами (WhatSapp): 8 (980) 757-69-93       E-mail: Claims@abiproduct.ru</t>
        </is>
      </c>
      <c r="B15" s="607" t="n"/>
      <c r="C15" s="607" t="n"/>
      <c r="D15" s="607" t="n"/>
      <c r="E15" s="607" t="n"/>
      <c r="F15" s="607" t="n"/>
      <c r="G15" s="607" t="n"/>
      <c r="H15" s="607" t="n"/>
      <c r="I15" s="607" t="n"/>
      <c r="J15" s="607" t="n"/>
      <c r="K15" s="608" t="n"/>
      <c r="M15" s="343" t="inlineStr">
        <is>
          <t>Кликните на продукт, чтобы просмотреть изображение</t>
        </is>
      </c>
      <c r="U15" s="340" t="n"/>
      <c r="V15" s="340" t="n"/>
      <c r="W15" s="340" t="n"/>
      <c r="X15" s="34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32" t="n"/>
      <c r="N16" s="632" t="n"/>
      <c r="O16" s="632" t="n"/>
      <c r="P16" s="632" t="n"/>
      <c r="Q16" s="63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45" t="inlineStr">
        <is>
          <t>Код единицы продаж</t>
        </is>
      </c>
      <c r="B17" s="345" t="inlineStr">
        <is>
          <t>Код продукта</t>
        </is>
      </c>
      <c r="C17" s="346" t="inlineStr">
        <is>
          <t>Номер варианта</t>
        </is>
      </c>
      <c r="D17" s="345" t="inlineStr">
        <is>
          <t xml:space="preserve">Штрих-код </t>
        </is>
      </c>
      <c r="E17" s="633" t="n"/>
      <c r="F17" s="345" t="inlineStr">
        <is>
          <t>Вес нетто штуки, кг</t>
        </is>
      </c>
      <c r="G17" s="345" t="inlineStr">
        <is>
          <t>Кол-во штук в коробе, шт</t>
        </is>
      </c>
      <c r="H17" s="345" t="inlineStr">
        <is>
          <t>Вес нетто короба, кг</t>
        </is>
      </c>
      <c r="I17" s="345" t="inlineStr">
        <is>
          <t>Вес брутто короба, кг</t>
        </is>
      </c>
      <c r="J17" s="345" t="inlineStr">
        <is>
          <t>Кол-во кор. на паллте, шт</t>
        </is>
      </c>
      <c r="K17" s="345" t="inlineStr">
        <is>
          <t>Завод</t>
        </is>
      </c>
      <c r="L17" s="345" t="inlineStr">
        <is>
          <t>Срок годности, сут.</t>
        </is>
      </c>
      <c r="M17" s="345" t="inlineStr">
        <is>
          <t>Наименование</t>
        </is>
      </c>
      <c r="N17" s="634" t="n"/>
      <c r="O17" s="634" t="n"/>
      <c r="P17" s="634" t="n"/>
      <c r="Q17" s="633" t="n"/>
      <c r="R17" s="344" t="inlineStr">
        <is>
          <t>Доступно к отгрузке</t>
        </is>
      </c>
      <c r="S17" s="608" t="n"/>
      <c r="T17" s="345" t="inlineStr">
        <is>
          <t>Ед. изм.</t>
        </is>
      </c>
      <c r="U17" s="345" t="inlineStr">
        <is>
          <t>Заказ</t>
        </is>
      </c>
      <c r="V17" s="349" t="inlineStr">
        <is>
          <t>Заказ с округлением до короба</t>
        </is>
      </c>
      <c r="W17" s="345" t="inlineStr">
        <is>
          <t>Объём заказа, м3</t>
        </is>
      </c>
      <c r="X17" s="351" t="inlineStr">
        <is>
          <t>Примечание по продуктку</t>
        </is>
      </c>
      <c r="Y17" s="351" t="inlineStr">
        <is>
          <t>Признак "НОВИНКА"</t>
        </is>
      </c>
      <c r="Z17" s="351" t="inlineStr">
        <is>
          <t>Для формул</t>
        </is>
      </c>
      <c r="AA17" s="635" t="n"/>
      <c r="AB17" s="636" t="n"/>
      <c r="AC17" s="358" t="inlineStr">
        <is>
          <t>Вид продукции</t>
        </is>
      </c>
    </row>
    <row r="18" ht="14.25" customHeight="1">
      <c r="A18" s="637" t="n"/>
      <c r="B18" s="637" t="n"/>
      <c r="C18" s="637" t="n"/>
      <c r="D18" s="638" t="n"/>
      <c r="E18" s="639" t="n"/>
      <c r="F18" s="637" t="n"/>
      <c r="G18" s="637" t="n"/>
      <c r="H18" s="637" t="n"/>
      <c r="I18" s="637" t="n"/>
      <c r="J18" s="637" t="n"/>
      <c r="K18" s="637" t="n"/>
      <c r="L18" s="637" t="n"/>
      <c r="M18" s="638" t="n"/>
      <c r="N18" s="640" t="n"/>
      <c r="O18" s="640" t="n"/>
      <c r="P18" s="640" t="n"/>
      <c r="Q18" s="639" t="n"/>
      <c r="R18" s="344" t="inlineStr">
        <is>
          <t>начиная с</t>
        </is>
      </c>
      <c r="S18" s="344" t="inlineStr">
        <is>
          <t>до</t>
        </is>
      </c>
      <c r="T18" s="637" t="n"/>
      <c r="U18" s="637" t="n"/>
      <c r="V18" s="641" t="n"/>
      <c r="W18" s="637" t="n"/>
      <c r="X18" s="642" t="n"/>
      <c r="Y18" s="642" t="n"/>
      <c r="Z18" s="643" t="n"/>
      <c r="AA18" s="644" t="n"/>
      <c r="AB18" s="645" t="n"/>
      <c r="AC18" s="646" t="n"/>
    </row>
    <row r="19" ht="27.75" customHeight="1">
      <c r="A19" s="359" t="inlineStr">
        <is>
          <t>Ядрена копоть</t>
        </is>
      </c>
      <c r="B19" s="647" t="n"/>
      <c r="C19" s="647" t="n"/>
      <c r="D19" s="647" t="n"/>
      <c r="E19" s="647" t="n"/>
      <c r="F19" s="647" t="n"/>
      <c r="G19" s="647" t="n"/>
      <c r="H19" s="647" t="n"/>
      <c r="I19" s="647" t="n"/>
      <c r="J19" s="647" t="n"/>
      <c r="K19" s="647" t="n"/>
      <c r="L19" s="647" t="n"/>
      <c r="M19" s="647" t="n"/>
      <c r="N19" s="647" t="n"/>
      <c r="O19" s="647" t="n"/>
      <c r="P19" s="647" t="n"/>
      <c r="Q19" s="647" t="n"/>
      <c r="R19" s="647" t="n"/>
      <c r="S19" s="647" t="n"/>
      <c r="T19" s="647" t="n"/>
      <c r="U19" s="647" t="n"/>
      <c r="V19" s="647" t="n"/>
      <c r="W19" s="647" t="n"/>
      <c r="X19" s="55" t="n"/>
      <c r="Y19" s="55" t="n"/>
    </row>
    <row r="20" ht="16.5" customHeight="1">
      <c r="A20" s="36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60" t="n"/>
      <c r="Y20" s="360" t="n"/>
    </row>
    <row r="21" ht="14.25" customHeight="1">
      <c r="A21" s="36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61" t="n"/>
      <c r="Y21" s="36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2" t="n">
        <v>4607091389258</v>
      </c>
      <c r="E22" s="616" t="n"/>
      <c r="F22" s="648" t="n">
        <v>0.3</v>
      </c>
      <c r="G22" s="38" t="n">
        <v>6</v>
      </c>
      <c r="H22" s="648" t="n">
        <v>1.8</v>
      </c>
      <c r="I22" s="64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9" t="inlineStr">
        <is>
          <t>В/к колбасы Колбаски Бюргерсы Ядрена копоть 0,3 Ядрена копоть</t>
        </is>
      </c>
      <c r="N22" s="650" t="n"/>
      <c r="O22" s="650" t="n"/>
      <c r="P22" s="650" t="n"/>
      <c r="Q22" s="616" t="n"/>
      <c r="R22" s="40" t="inlineStr"/>
      <c r="S22" s="40" t="inlineStr"/>
      <c r="T22" s="41" t="inlineStr">
        <is>
          <t>кг</t>
        </is>
      </c>
      <c r="U22" s="651" t="n">
        <v>0</v>
      </c>
      <c r="V22" s="65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7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53" t="n"/>
      <c r="M23" s="654" t="inlineStr">
        <is>
          <t>Итого</t>
        </is>
      </c>
      <c r="N23" s="624" t="n"/>
      <c r="O23" s="624" t="n"/>
      <c r="P23" s="624" t="n"/>
      <c r="Q23" s="624" t="n"/>
      <c r="R23" s="624" t="n"/>
      <c r="S23" s="625" t="n"/>
      <c r="T23" s="43" t="inlineStr">
        <is>
          <t>кор</t>
        </is>
      </c>
      <c r="U23" s="655">
        <f>IFERROR(U22/H22,"0")</f>
        <v/>
      </c>
      <c r="V23" s="655">
        <f>IFERROR(V22/H22,"0")</f>
        <v/>
      </c>
      <c r="W23" s="655">
        <f>IFERROR(IF(W22="",0,W22),"0")</f>
        <v/>
      </c>
      <c r="X23" s="656" t="n"/>
      <c r="Y23" s="65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53" t="n"/>
      <c r="M24" s="654" t="inlineStr">
        <is>
          <t>Итого</t>
        </is>
      </c>
      <c r="N24" s="624" t="n"/>
      <c r="O24" s="624" t="n"/>
      <c r="P24" s="624" t="n"/>
      <c r="Q24" s="624" t="n"/>
      <c r="R24" s="624" t="n"/>
      <c r="S24" s="625" t="n"/>
      <c r="T24" s="43" t="inlineStr">
        <is>
          <t>кг</t>
        </is>
      </c>
      <c r="U24" s="655">
        <f>IFERROR(SUM(U22:U22),"0")</f>
        <v/>
      </c>
      <c r="V24" s="655">
        <f>IFERROR(SUM(V22:V22),"0")</f>
        <v/>
      </c>
      <c r="W24" s="43" t="n"/>
      <c r="X24" s="656" t="n"/>
      <c r="Y24" s="656" t="n"/>
    </row>
    <row r="25" ht="14.25" customHeight="1">
      <c r="A25" s="36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61" t="n"/>
      <c r="Y25" s="36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2" t="n">
        <v>4607091383881</v>
      </c>
      <c r="E26" s="616" t="n"/>
      <c r="F26" s="648" t="n">
        <v>0.33</v>
      </c>
      <c r="G26" s="38" t="n">
        <v>6</v>
      </c>
      <c r="H26" s="648" t="n">
        <v>1.98</v>
      </c>
      <c r="I26" s="64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50" t="n"/>
      <c r="O26" s="650" t="n"/>
      <c r="P26" s="650" t="n"/>
      <c r="Q26" s="616" t="n"/>
      <c r="R26" s="40" t="inlineStr"/>
      <c r="S26" s="40" t="inlineStr"/>
      <c r="T26" s="41" t="inlineStr">
        <is>
          <t>кг</t>
        </is>
      </c>
      <c r="U26" s="651" t="n">
        <v>0</v>
      </c>
      <c r="V26" s="65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62" t="n">
        <v>4607091388237</v>
      </c>
      <c r="E27" s="616" t="n"/>
      <c r="F27" s="648" t="n">
        <v>0.42</v>
      </c>
      <c r="G27" s="38" t="n">
        <v>6</v>
      </c>
      <c r="H27" s="648" t="n">
        <v>2.52</v>
      </c>
      <c r="I27" s="64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50" t="n"/>
      <c r="O27" s="650" t="n"/>
      <c r="P27" s="650" t="n"/>
      <c r="Q27" s="616" t="n"/>
      <c r="R27" s="40" t="inlineStr"/>
      <c r="S27" s="40" t="inlineStr"/>
      <c r="T27" s="41" t="inlineStr">
        <is>
          <t>кг</t>
        </is>
      </c>
      <c r="U27" s="651" t="n">
        <v>0</v>
      </c>
      <c r="V27" s="65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2" t="n">
        <v>4607091383935</v>
      </c>
      <c r="E28" s="616" t="n"/>
      <c r="F28" s="648" t="n">
        <v>0.33</v>
      </c>
      <c r="G28" s="38" t="n">
        <v>6</v>
      </c>
      <c r="H28" s="648" t="n">
        <v>1.98</v>
      </c>
      <c r="I28" s="64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50" t="n"/>
      <c r="O28" s="650" t="n"/>
      <c r="P28" s="650" t="n"/>
      <c r="Q28" s="616" t="n"/>
      <c r="R28" s="40" t="inlineStr"/>
      <c r="S28" s="40" t="inlineStr"/>
      <c r="T28" s="41" t="inlineStr">
        <is>
          <t>кг</t>
        </is>
      </c>
      <c r="U28" s="651" t="n">
        <v>0</v>
      </c>
      <c r="V28" s="65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2" t="n">
        <v>4680115881853</v>
      </c>
      <c r="E29" s="616" t="n"/>
      <c r="F29" s="648" t="n">
        <v>0.33</v>
      </c>
      <c r="G29" s="38" t="n">
        <v>6</v>
      </c>
      <c r="H29" s="648" t="n">
        <v>1.98</v>
      </c>
      <c r="I29" s="64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60" t="inlineStr">
        <is>
          <t>Сосиски С соусом Барбекю Ядрена копоть Фикс.вес 0,33 ц/о мгс Ядрена копоть</t>
        </is>
      </c>
      <c r="N29" s="650" t="n"/>
      <c r="O29" s="650" t="n"/>
      <c r="P29" s="650" t="n"/>
      <c r="Q29" s="616" t="n"/>
      <c r="R29" s="40" t="inlineStr"/>
      <c r="S29" s="40" t="inlineStr"/>
      <c r="T29" s="41" t="inlineStr">
        <is>
          <t>кг</t>
        </is>
      </c>
      <c r="U29" s="651" t="n">
        <v>0</v>
      </c>
      <c r="V29" s="65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2" t="n">
        <v>4607091383911</v>
      </c>
      <c r="E30" s="616" t="n"/>
      <c r="F30" s="648" t="n">
        <v>0.33</v>
      </c>
      <c r="G30" s="38" t="n">
        <v>6</v>
      </c>
      <c r="H30" s="648" t="n">
        <v>1.98</v>
      </c>
      <c r="I30" s="64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6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50" t="n"/>
      <c r="O30" s="650" t="n"/>
      <c r="P30" s="650" t="n"/>
      <c r="Q30" s="616" t="n"/>
      <c r="R30" s="40" t="inlineStr"/>
      <c r="S30" s="40" t="inlineStr"/>
      <c r="T30" s="41" t="inlineStr">
        <is>
          <t>кг</t>
        </is>
      </c>
      <c r="U30" s="651" t="n">
        <v>0</v>
      </c>
      <c r="V30" s="65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62" t="n">
        <v>4607091388244</v>
      </c>
      <c r="E31" s="616" t="n"/>
      <c r="F31" s="648" t="n">
        <v>0.42</v>
      </c>
      <c r="G31" s="38" t="n">
        <v>6</v>
      </c>
      <c r="H31" s="648" t="n">
        <v>2.52</v>
      </c>
      <c r="I31" s="64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6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50" t="n"/>
      <c r="O31" s="650" t="n"/>
      <c r="P31" s="650" t="n"/>
      <c r="Q31" s="616" t="n"/>
      <c r="R31" s="40" t="inlineStr"/>
      <c r="S31" s="40" t="inlineStr"/>
      <c r="T31" s="41" t="inlineStr">
        <is>
          <t>кг</t>
        </is>
      </c>
      <c r="U31" s="651" t="n">
        <v>0</v>
      </c>
      <c r="V31" s="65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7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53" t="n"/>
      <c r="M32" s="654" t="inlineStr">
        <is>
          <t>Итого</t>
        </is>
      </c>
      <c r="N32" s="624" t="n"/>
      <c r="O32" s="624" t="n"/>
      <c r="P32" s="624" t="n"/>
      <c r="Q32" s="624" t="n"/>
      <c r="R32" s="624" t="n"/>
      <c r="S32" s="625" t="n"/>
      <c r="T32" s="43" t="inlineStr">
        <is>
          <t>кор</t>
        </is>
      </c>
      <c r="U32" s="655">
        <f>IFERROR(U26/H26,"0")+IFERROR(U27/H27,"0")+IFERROR(U28/H28,"0")+IFERROR(U29/H29,"0")+IFERROR(U30/H30,"0")+IFERROR(U31/H31,"0")</f>
        <v/>
      </c>
      <c r="V32" s="655">
        <f>IFERROR(V26/H26,"0")+IFERROR(V27/H27,"0")+IFERROR(V28/H28,"0")+IFERROR(V29/H29,"0")+IFERROR(V30/H30,"0")+IFERROR(V31/H31,"0")</f>
        <v/>
      </c>
      <c r="W32" s="655">
        <f>IFERROR(IF(W26="",0,W26),"0")+IFERROR(IF(W27="",0,W27),"0")+IFERROR(IF(W28="",0,W28),"0")+IFERROR(IF(W29="",0,W29),"0")+IFERROR(IF(W30="",0,W30),"0")+IFERROR(IF(W31="",0,W31),"0")</f>
        <v/>
      </c>
      <c r="X32" s="656" t="n"/>
      <c r="Y32" s="65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53" t="n"/>
      <c r="M33" s="654" t="inlineStr">
        <is>
          <t>Итого</t>
        </is>
      </c>
      <c r="N33" s="624" t="n"/>
      <c r="O33" s="624" t="n"/>
      <c r="P33" s="624" t="n"/>
      <c r="Q33" s="624" t="n"/>
      <c r="R33" s="624" t="n"/>
      <c r="S33" s="625" t="n"/>
      <c r="T33" s="43" t="inlineStr">
        <is>
          <t>кг</t>
        </is>
      </c>
      <c r="U33" s="655">
        <f>IFERROR(SUM(U26:U31),"0")</f>
        <v/>
      </c>
      <c r="V33" s="655">
        <f>IFERROR(SUM(V26:V31),"0")</f>
        <v/>
      </c>
      <c r="W33" s="43" t="n"/>
      <c r="X33" s="656" t="n"/>
      <c r="Y33" s="656" t="n"/>
    </row>
    <row r="34" ht="14.25" customHeight="1">
      <c r="A34" s="36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61" t="n"/>
      <c r="Y34" s="36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62" t="n">
        <v>4607091388503</v>
      </c>
      <c r="E35" s="616" t="n"/>
      <c r="F35" s="648" t="n">
        <v>0.05</v>
      </c>
      <c r="G35" s="38" t="n">
        <v>12</v>
      </c>
      <c r="H35" s="648" t="n">
        <v>0.6</v>
      </c>
      <c r="I35" s="64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6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50" t="n"/>
      <c r="O35" s="650" t="n"/>
      <c r="P35" s="650" t="n"/>
      <c r="Q35" s="616" t="n"/>
      <c r="R35" s="40" t="inlineStr"/>
      <c r="S35" s="40" t="inlineStr"/>
      <c r="T35" s="41" t="inlineStr">
        <is>
          <t>кг</t>
        </is>
      </c>
      <c r="U35" s="651" t="n">
        <v>0</v>
      </c>
      <c r="V35" s="65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62" t="n">
        <v>4680115880139</v>
      </c>
      <c r="E36" s="616" t="n"/>
      <c r="F36" s="648" t="n">
        <v>0.025</v>
      </c>
      <c r="G36" s="38" t="n">
        <v>10</v>
      </c>
      <c r="H36" s="648" t="n">
        <v>0.25</v>
      </c>
      <c r="I36" s="64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6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50" t="n"/>
      <c r="O36" s="650" t="n"/>
      <c r="P36" s="650" t="n"/>
      <c r="Q36" s="616" t="n"/>
      <c r="R36" s="40" t="inlineStr"/>
      <c r="S36" s="40" t="inlineStr"/>
      <c r="T36" s="41" t="inlineStr">
        <is>
          <t>кг</t>
        </is>
      </c>
      <c r="U36" s="651" t="n">
        <v>0</v>
      </c>
      <c r="V36" s="65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7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53" t="n"/>
      <c r="M37" s="654" t="inlineStr">
        <is>
          <t>Итого</t>
        </is>
      </c>
      <c r="N37" s="624" t="n"/>
      <c r="O37" s="624" t="n"/>
      <c r="P37" s="624" t="n"/>
      <c r="Q37" s="624" t="n"/>
      <c r="R37" s="624" t="n"/>
      <c r="S37" s="625" t="n"/>
      <c r="T37" s="43" t="inlineStr">
        <is>
          <t>кор</t>
        </is>
      </c>
      <c r="U37" s="655">
        <f>IFERROR(U35/H35,"0")+IFERROR(U36/H36,"0")</f>
        <v/>
      </c>
      <c r="V37" s="655">
        <f>IFERROR(V35/H35,"0")+IFERROR(V36/H36,"0")</f>
        <v/>
      </c>
      <c r="W37" s="655">
        <f>IFERROR(IF(W35="",0,W35),"0")+IFERROR(IF(W36="",0,W36),"0")</f>
        <v/>
      </c>
      <c r="X37" s="656" t="n"/>
      <c r="Y37" s="65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53" t="n"/>
      <c r="M38" s="654" t="inlineStr">
        <is>
          <t>Итого</t>
        </is>
      </c>
      <c r="N38" s="624" t="n"/>
      <c r="O38" s="624" t="n"/>
      <c r="P38" s="624" t="n"/>
      <c r="Q38" s="624" t="n"/>
      <c r="R38" s="624" t="n"/>
      <c r="S38" s="625" t="n"/>
      <c r="T38" s="43" t="inlineStr">
        <is>
          <t>кг</t>
        </is>
      </c>
      <c r="U38" s="655">
        <f>IFERROR(SUM(U35:U36),"0")</f>
        <v/>
      </c>
      <c r="V38" s="655">
        <f>IFERROR(SUM(V35:V36),"0")</f>
        <v/>
      </c>
      <c r="W38" s="43" t="n"/>
      <c r="X38" s="656" t="n"/>
      <c r="Y38" s="656" t="n"/>
    </row>
    <row r="39" ht="14.25" customHeight="1">
      <c r="A39" s="36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61" t="n"/>
      <c r="Y39" s="36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2" t="n">
        <v>4607091388282</v>
      </c>
      <c r="E40" s="616" t="n"/>
      <c r="F40" s="648" t="n">
        <v>0.3</v>
      </c>
      <c r="G40" s="38" t="n">
        <v>6</v>
      </c>
      <c r="H40" s="648" t="n">
        <v>1.8</v>
      </c>
      <c r="I40" s="64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6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50" t="n"/>
      <c r="O40" s="650" t="n"/>
      <c r="P40" s="650" t="n"/>
      <c r="Q40" s="616" t="n"/>
      <c r="R40" s="40" t="inlineStr"/>
      <c r="S40" s="40" t="inlineStr"/>
      <c r="T40" s="41" t="inlineStr">
        <is>
          <t>кг</t>
        </is>
      </c>
      <c r="U40" s="651" t="n">
        <v>0</v>
      </c>
      <c r="V40" s="65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7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53" t="n"/>
      <c r="M41" s="654" t="inlineStr">
        <is>
          <t>Итого</t>
        </is>
      </c>
      <c r="N41" s="624" t="n"/>
      <c r="O41" s="624" t="n"/>
      <c r="P41" s="624" t="n"/>
      <c r="Q41" s="624" t="n"/>
      <c r="R41" s="624" t="n"/>
      <c r="S41" s="625" t="n"/>
      <c r="T41" s="43" t="inlineStr">
        <is>
          <t>кор</t>
        </is>
      </c>
      <c r="U41" s="655">
        <f>IFERROR(U40/H40,"0")</f>
        <v/>
      </c>
      <c r="V41" s="655">
        <f>IFERROR(V40/H40,"0")</f>
        <v/>
      </c>
      <c r="W41" s="655">
        <f>IFERROR(IF(W40="",0,W40),"0")</f>
        <v/>
      </c>
      <c r="X41" s="656" t="n"/>
      <c r="Y41" s="65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53" t="n"/>
      <c r="M42" s="654" t="inlineStr">
        <is>
          <t>Итого</t>
        </is>
      </c>
      <c r="N42" s="624" t="n"/>
      <c r="O42" s="624" t="n"/>
      <c r="P42" s="624" t="n"/>
      <c r="Q42" s="624" t="n"/>
      <c r="R42" s="624" t="n"/>
      <c r="S42" s="625" t="n"/>
      <c r="T42" s="43" t="inlineStr">
        <is>
          <t>кг</t>
        </is>
      </c>
      <c r="U42" s="655">
        <f>IFERROR(SUM(U40:U40),"0")</f>
        <v/>
      </c>
      <c r="V42" s="655">
        <f>IFERROR(SUM(V40:V40),"0")</f>
        <v/>
      </c>
      <c r="W42" s="43" t="n"/>
      <c r="X42" s="656" t="n"/>
      <c r="Y42" s="656" t="n"/>
    </row>
    <row r="43" ht="14.25" customHeight="1">
      <c r="A43" s="36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61" t="n"/>
      <c r="Y43" s="36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2" t="n">
        <v>4607091389111</v>
      </c>
      <c r="E44" s="616" t="n"/>
      <c r="F44" s="648" t="n">
        <v>0.025</v>
      </c>
      <c r="G44" s="38" t="n">
        <v>10</v>
      </c>
      <c r="H44" s="648" t="n">
        <v>0.25</v>
      </c>
      <c r="I44" s="64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6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50" t="n"/>
      <c r="O44" s="650" t="n"/>
      <c r="P44" s="650" t="n"/>
      <c r="Q44" s="616" t="n"/>
      <c r="R44" s="40" t="inlineStr"/>
      <c r="S44" s="40" t="inlineStr"/>
      <c r="T44" s="41" t="inlineStr">
        <is>
          <t>кг</t>
        </is>
      </c>
      <c r="U44" s="651" t="n">
        <v>0</v>
      </c>
      <c r="V44" s="65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7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53" t="n"/>
      <c r="M45" s="654" t="inlineStr">
        <is>
          <t>Итого</t>
        </is>
      </c>
      <c r="N45" s="624" t="n"/>
      <c r="O45" s="624" t="n"/>
      <c r="P45" s="624" t="n"/>
      <c r="Q45" s="624" t="n"/>
      <c r="R45" s="624" t="n"/>
      <c r="S45" s="625" t="n"/>
      <c r="T45" s="43" t="inlineStr">
        <is>
          <t>кор</t>
        </is>
      </c>
      <c r="U45" s="655">
        <f>IFERROR(U44/H44,"0")</f>
        <v/>
      </c>
      <c r="V45" s="655">
        <f>IFERROR(V44/H44,"0")</f>
        <v/>
      </c>
      <c r="W45" s="655">
        <f>IFERROR(IF(W44="",0,W44),"0")</f>
        <v/>
      </c>
      <c r="X45" s="656" t="n"/>
      <c r="Y45" s="65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53" t="n"/>
      <c r="M46" s="654" t="inlineStr">
        <is>
          <t>Итого</t>
        </is>
      </c>
      <c r="N46" s="624" t="n"/>
      <c r="O46" s="624" t="n"/>
      <c r="P46" s="624" t="n"/>
      <c r="Q46" s="624" t="n"/>
      <c r="R46" s="624" t="n"/>
      <c r="S46" s="625" t="n"/>
      <c r="T46" s="43" t="inlineStr">
        <is>
          <t>кг</t>
        </is>
      </c>
      <c r="U46" s="655">
        <f>IFERROR(SUM(U44:U44),"0")</f>
        <v/>
      </c>
      <c r="V46" s="655">
        <f>IFERROR(SUM(V44:V44),"0")</f>
        <v/>
      </c>
      <c r="W46" s="43" t="n"/>
      <c r="X46" s="656" t="n"/>
      <c r="Y46" s="656" t="n"/>
    </row>
    <row r="47" ht="27.75" customHeight="1">
      <c r="A47" s="359" t="inlineStr">
        <is>
          <t>Вязанка</t>
        </is>
      </c>
      <c r="B47" s="647" t="n"/>
      <c r="C47" s="647" t="n"/>
      <c r="D47" s="647" t="n"/>
      <c r="E47" s="647" t="n"/>
      <c r="F47" s="647" t="n"/>
      <c r="G47" s="647" t="n"/>
      <c r="H47" s="647" t="n"/>
      <c r="I47" s="647" t="n"/>
      <c r="J47" s="647" t="n"/>
      <c r="K47" s="647" t="n"/>
      <c r="L47" s="647" t="n"/>
      <c r="M47" s="647" t="n"/>
      <c r="N47" s="647" t="n"/>
      <c r="O47" s="647" t="n"/>
      <c r="P47" s="647" t="n"/>
      <c r="Q47" s="647" t="n"/>
      <c r="R47" s="647" t="n"/>
      <c r="S47" s="647" t="n"/>
      <c r="T47" s="647" t="n"/>
      <c r="U47" s="647" t="n"/>
      <c r="V47" s="647" t="n"/>
      <c r="W47" s="647" t="n"/>
      <c r="X47" s="55" t="n"/>
      <c r="Y47" s="55" t="n"/>
    </row>
    <row r="48" ht="16.5" customHeight="1">
      <c r="A48" s="36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60" t="n"/>
      <c r="Y48" s="360" t="n"/>
    </row>
    <row r="49" ht="14.25" customHeight="1">
      <c r="A49" s="36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61" t="n"/>
      <c r="Y49" s="36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2" t="n">
        <v>4680115881440</v>
      </c>
      <c r="E50" s="616" t="n"/>
      <c r="F50" s="648" t="n">
        <v>1.35</v>
      </c>
      <c r="G50" s="38" t="n">
        <v>8</v>
      </c>
      <c r="H50" s="648" t="n">
        <v>10.8</v>
      </c>
      <c r="I50" s="64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7">
        <f>HYPERLINK("https://abi.ru/products/Охлажденные/Вязанка/Столичная/Ветчины/P003234/","Ветчины «Филейская» Весовые Вектор ТМ «Вязанка»")</f>
        <v/>
      </c>
      <c r="N50" s="650" t="n"/>
      <c r="O50" s="650" t="n"/>
      <c r="P50" s="650" t="n"/>
      <c r="Q50" s="616" t="n"/>
      <c r="R50" s="40" t="inlineStr"/>
      <c r="S50" s="40" t="inlineStr"/>
      <c r="T50" s="41" t="inlineStr">
        <is>
          <t>кг</t>
        </is>
      </c>
      <c r="U50" s="651" t="n">
        <v>600</v>
      </c>
      <c r="V50" s="65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2" t="n">
        <v>4680115881433</v>
      </c>
      <c r="E51" s="616" t="n"/>
      <c r="F51" s="648" t="n">
        <v>0.45</v>
      </c>
      <c r="G51" s="38" t="n">
        <v>6</v>
      </c>
      <c r="H51" s="648" t="n">
        <v>2.7</v>
      </c>
      <c r="I51" s="64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50" t="n"/>
      <c r="O51" s="650" t="n"/>
      <c r="P51" s="650" t="n"/>
      <c r="Q51" s="616" t="n"/>
      <c r="R51" s="40" t="inlineStr"/>
      <c r="S51" s="40" t="inlineStr"/>
      <c r="T51" s="41" t="inlineStr">
        <is>
          <t>кг</t>
        </is>
      </c>
      <c r="U51" s="651" t="n">
        <v>0</v>
      </c>
      <c r="V51" s="65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7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53" t="n"/>
      <c r="M52" s="654" t="inlineStr">
        <is>
          <t>Итого</t>
        </is>
      </c>
      <c r="N52" s="624" t="n"/>
      <c r="O52" s="624" t="n"/>
      <c r="P52" s="624" t="n"/>
      <c r="Q52" s="624" t="n"/>
      <c r="R52" s="624" t="n"/>
      <c r="S52" s="625" t="n"/>
      <c r="T52" s="43" t="inlineStr">
        <is>
          <t>кор</t>
        </is>
      </c>
      <c r="U52" s="655">
        <f>IFERROR(U50/H50,"0")+IFERROR(U51/H51,"0")</f>
        <v/>
      </c>
      <c r="V52" s="655">
        <f>IFERROR(V50/H50,"0")+IFERROR(V51/H51,"0")</f>
        <v/>
      </c>
      <c r="W52" s="655">
        <f>IFERROR(IF(W50="",0,W50),"0")+IFERROR(IF(W51="",0,W51),"0")</f>
        <v/>
      </c>
      <c r="X52" s="656" t="n"/>
      <c r="Y52" s="65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53" t="n"/>
      <c r="M53" s="654" t="inlineStr">
        <is>
          <t>Итого</t>
        </is>
      </c>
      <c r="N53" s="624" t="n"/>
      <c r="O53" s="624" t="n"/>
      <c r="P53" s="624" t="n"/>
      <c r="Q53" s="624" t="n"/>
      <c r="R53" s="624" t="n"/>
      <c r="S53" s="625" t="n"/>
      <c r="T53" s="43" t="inlineStr">
        <is>
          <t>кг</t>
        </is>
      </c>
      <c r="U53" s="655">
        <f>IFERROR(SUM(U50:U51),"0")</f>
        <v/>
      </c>
      <c r="V53" s="655">
        <f>IFERROR(SUM(V50:V51),"0")</f>
        <v/>
      </c>
      <c r="W53" s="43" t="n"/>
      <c r="X53" s="656" t="n"/>
      <c r="Y53" s="656" t="n"/>
    </row>
    <row r="54" ht="16.5" customHeight="1">
      <c r="A54" s="36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60" t="n"/>
      <c r="Y54" s="360" t="n"/>
    </row>
    <row r="55" ht="14.25" customHeight="1">
      <c r="A55" s="36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61" t="n"/>
      <c r="Y55" s="36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2" t="n">
        <v>4680115881426</v>
      </c>
      <c r="E56" s="616" t="n"/>
      <c r="F56" s="648" t="n">
        <v>1.35</v>
      </c>
      <c r="G56" s="38" t="n">
        <v>8</v>
      </c>
      <c r="H56" s="648" t="n">
        <v>10.8</v>
      </c>
      <c r="I56" s="64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50" t="n"/>
      <c r="O56" s="650" t="n"/>
      <c r="P56" s="650" t="n"/>
      <c r="Q56" s="616" t="n"/>
      <c r="R56" s="40" t="inlineStr"/>
      <c r="S56" s="40" t="inlineStr"/>
      <c r="T56" s="41" t="inlineStr">
        <is>
          <t>кг</t>
        </is>
      </c>
      <c r="U56" s="651" t="n">
        <v>0</v>
      </c>
      <c r="V56" s="65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62" t="n">
        <v>4680115881419</v>
      </c>
      <c r="E57" s="616" t="n"/>
      <c r="F57" s="648" t="n">
        <v>0.45</v>
      </c>
      <c r="G57" s="38" t="n">
        <v>10</v>
      </c>
      <c r="H57" s="648" t="n">
        <v>4.5</v>
      </c>
      <c r="I57" s="64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7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50" t="n"/>
      <c r="O57" s="650" t="n"/>
      <c r="P57" s="650" t="n"/>
      <c r="Q57" s="616" t="n"/>
      <c r="R57" s="40" t="inlineStr"/>
      <c r="S57" s="40" t="inlineStr"/>
      <c r="T57" s="41" t="inlineStr">
        <is>
          <t>кг</t>
        </is>
      </c>
      <c r="U57" s="651" t="n">
        <v>0</v>
      </c>
      <c r="V57" s="65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62" t="n">
        <v>4680115881525</v>
      </c>
      <c r="E58" s="616" t="n"/>
      <c r="F58" s="648" t="n">
        <v>0.4</v>
      </c>
      <c r="G58" s="38" t="n">
        <v>10</v>
      </c>
      <c r="H58" s="648" t="n">
        <v>4</v>
      </c>
      <c r="I58" s="64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71" t="inlineStr">
        <is>
          <t>Колбаса вареная Филейская ТМ Вязанка ТС Классическая полиамид ф/в 0,4 кг</t>
        </is>
      </c>
      <c r="N58" s="650" t="n"/>
      <c r="O58" s="650" t="n"/>
      <c r="P58" s="650" t="n"/>
      <c r="Q58" s="616" t="n"/>
      <c r="R58" s="40" t="inlineStr"/>
      <c r="S58" s="40" t="inlineStr"/>
      <c r="T58" s="41" t="inlineStr">
        <is>
          <t>кг</t>
        </is>
      </c>
      <c r="U58" s="651" t="n">
        <v>0</v>
      </c>
      <c r="V58" s="65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7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53" t="n"/>
      <c r="M59" s="654" t="inlineStr">
        <is>
          <t>Итого</t>
        </is>
      </c>
      <c r="N59" s="624" t="n"/>
      <c r="O59" s="624" t="n"/>
      <c r="P59" s="624" t="n"/>
      <c r="Q59" s="624" t="n"/>
      <c r="R59" s="624" t="n"/>
      <c r="S59" s="625" t="n"/>
      <c r="T59" s="43" t="inlineStr">
        <is>
          <t>кор</t>
        </is>
      </c>
      <c r="U59" s="655">
        <f>IFERROR(U56/H56,"0")+IFERROR(U57/H57,"0")+IFERROR(U58/H58,"0")</f>
        <v/>
      </c>
      <c r="V59" s="655">
        <f>IFERROR(V56/H56,"0")+IFERROR(V57/H57,"0")+IFERROR(V58/H58,"0")</f>
        <v/>
      </c>
      <c r="W59" s="655">
        <f>IFERROR(IF(W56="",0,W56),"0")+IFERROR(IF(W57="",0,W57),"0")+IFERROR(IF(W58="",0,W58),"0")</f>
        <v/>
      </c>
      <c r="X59" s="656" t="n"/>
      <c r="Y59" s="65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53" t="n"/>
      <c r="M60" s="654" t="inlineStr">
        <is>
          <t>Итого</t>
        </is>
      </c>
      <c r="N60" s="624" t="n"/>
      <c r="O60" s="624" t="n"/>
      <c r="P60" s="624" t="n"/>
      <c r="Q60" s="624" t="n"/>
      <c r="R60" s="624" t="n"/>
      <c r="S60" s="625" t="n"/>
      <c r="T60" s="43" t="inlineStr">
        <is>
          <t>кг</t>
        </is>
      </c>
      <c r="U60" s="655">
        <f>IFERROR(SUM(U56:U58),"0")</f>
        <v/>
      </c>
      <c r="V60" s="655">
        <f>IFERROR(SUM(V56:V58),"0")</f>
        <v/>
      </c>
      <c r="W60" s="43" t="n"/>
      <c r="X60" s="656" t="n"/>
      <c r="Y60" s="656" t="n"/>
    </row>
    <row r="61" ht="16.5" customHeight="1">
      <c r="A61" s="36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60" t="n"/>
      <c r="Y61" s="360" t="n"/>
    </row>
    <row r="62" ht="14.25" customHeight="1">
      <c r="A62" s="36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61" t="n"/>
      <c r="Y62" s="36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62" t="n">
        <v>4607091382945</v>
      </c>
      <c r="E63" s="616" t="n"/>
      <c r="F63" s="648" t="n">
        <v>1.35</v>
      </c>
      <c r="G63" s="38" t="n">
        <v>8</v>
      </c>
      <c r="H63" s="648" t="n">
        <v>10.8</v>
      </c>
      <c r="I63" s="64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7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50" t="n"/>
      <c r="O63" s="650" t="n"/>
      <c r="P63" s="650" t="n"/>
      <c r="Q63" s="616" t="n"/>
      <c r="R63" s="40" t="inlineStr"/>
      <c r="S63" s="40" t="inlineStr"/>
      <c r="T63" s="41" t="inlineStr">
        <is>
          <t>кг</t>
        </is>
      </c>
      <c r="U63" s="651" t="n">
        <v>0</v>
      </c>
      <c r="V63" s="65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62" t="n">
        <v>4607091385670</v>
      </c>
      <c r="E64" s="616" t="n"/>
      <c r="F64" s="648" t="n">
        <v>1.35</v>
      </c>
      <c r="G64" s="38" t="n">
        <v>8</v>
      </c>
      <c r="H64" s="648" t="n">
        <v>10.8</v>
      </c>
      <c r="I64" s="64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7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50" t="n"/>
      <c r="O64" s="650" t="n"/>
      <c r="P64" s="650" t="n"/>
      <c r="Q64" s="616" t="n"/>
      <c r="R64" s="40" t="inlineStr"/>
      <c r="S64" s="40" t="inlineStr"/>
      <c r="T64" s="41" t="inlineStr">
        <is>
          <t>кг</t>
        </is>
      </c>
      <c r="U64" s="651" t="n">
        <v>0</v>
      </c>
      <c r="V64" s="65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62" t="n">
        <v>4680115881327</v>
      </c>
      <c r="E65" s="616" t="n"/>
      <c r="F65" s="648" t="n">
        <v>1.35</v>
      </c>
      <c r="G65" s="38" t="n">
        <v>8</v>
      </c>
      <c r="H65" s="648" t="n">
        <v>10.8</v>
      </c>
      <c r="I65" s="64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7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50" t="n"/>
      <c r="O65" s="650" t="n"/>
      <c r="P65" s="650" t="n"/>
      <c r="Q65" s="616" t="n"/>
      <c r="R65" s="40" t="inlineStr"/>
      <c r="S65" s="40" t="inlineStr"/>
      <c r="T65" s="41" t="inlineStr">
        <is>
          <t>кг</t>
        </is>
      </c>
      <c r="U65" s="651" t="n">
        <v>0</v>
      </c>
      <c r="V65" s="65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62" t="n">
        <v>4607091388312</v>
      </c>
      <c r="E66" s="616" t="n"/>
      <c r="F66" s="648" t="n">
        <v>1.35</v>
      </c>
      <c r="G66" s="38" t="n">
        <v>8</v>
      </c>
      <c r="H66" s="648" t="n">
        <v>10.8</v>
      </c>
      <c r="I66" s="64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7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50" t="n"/>
      <c r="O66" s="650" t="n"/>
      <c r="P66" s="650" t="n"/>
      <c r="Q66" s="616" t="n"/>
      <c r="R66" s="40" t="inlineStr"/>
      <c r="S66" s="40" t="inlineStr"/>
      <c r="T66" s="41" t="inlineStr">
        <is>
          <t>кг</t>
        </is>
      </c>
      <c r="U66" s="651" t="n">
        <v>0</v>
      </c>
      <c r="V66" s="65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62" t="n">
        <v>4680115882133</v>
      </c>
      <c r="E67" s="616" t="n"/>
      <c r="F67" s="648" t="n">
        <v>1.35</v>
      </c>
      <c r="G67" s="38" t="n">
        <v>8</v>
      </c>
      <c r="H67" s="648" t="n">
        <v>10.8</v>
      </c>
      <c r="I67" s="64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76" t="inlineStr">
        <is>
          <t>Вареные колбасы "Сливушка" Вес П/а ТМ "Вязанка"</t>
        </is>
      </c>
      <c r="N67" s="650" t="n"/>
      <c r="O67" s="650" t="n"/>
      <c r="P67" s="650" t="n"/>
      <c r="Q67" s="616" t="n"/>
      <c r="R67" s="40" t="inlineStr"/>
      <c r="S67" s="40" t="inlineStr"/>
      <c r="T67" s="41" t="inlineStr">
        <is>
          <t>кг</t>
        </is>
      </c>
      <c r="U67" s="651" t="n">
        <v>0</v>
      </c>
      <c r="V67" s="65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62" t="n">
        <v>4607091382952</v>
      </c>
      <c r="E68" s="616" t="n"/>
      <c r="F68" s="648" t="n">
        <v>0.5</v>
      </c>
      <c r="G68" s="38" t="n">
        <v>6</v>
      </c>
      <c r="H68" s="648" t="n">
        <v>3</v>
      </c>
      <c r="I68" s="64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50" t="n"/>
      <c r="O68" s="650" t="n"/>
      <c r="P68" s="650" t="n"/>
      <c r="Q68" s="616" t="n"/>
      <c r="R68" s="40" t="inlineStr"/>
      <c r="S68" s="40" t="inlineStr"/>
      <c r="T68" s="41" t="inlineStr">
        <is>
          <t>кг</t>
        </is>
      </c>
      <c r="U68" s="651" t="n">
        <v>0</v>
      </c>
      <c r="V68" s="65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62" t="n">
        <v>4607091385687</v>
      </c>
      <c r="E69" s="616" t="n"/>
      <c r="F69" s="648" t="n">
        <v>0.4</v>
      </c>
      <c r="G69" s="38" t="n">
        <v>10</v>
      </c>
      <c r="H69" s="648" t="n">
        <v>4</v>
      </c>
      <c r="I69" s="64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50" t="n"/>
      <c r="O69" s="650" t="n"/>
      <c r="P69" s="650" t="n"/>
      <c r="Q69" s="616" t="n"/>
      <c r="R69" s="40" t="inlineStr"/>
      <c r="S69" s="40" t="inlineStr"/>
      <c r="T69" s="41" t="inlineStr">
        <is>
          <t>кг</t>
        </is>
      </c>
      <c r="U69" s="651" t="n">
        <v>0</v>
      </c>
      <c r="V69" s="65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62" t="n">
        <v>4607091384604</v>
      </c>
      <c r="E70" s="616" t="n"/>
      <c r="F70" s="648" t="n">
        <v>0.4</v>
      </c>
      <c r="G70" s="38" t="n">
        <v>10</v>
      </c>
      <c r="H70" s="648" t="n">
        <v>4</v>
      </c>
      <c r="I70" s="648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50" t="n"/>
      <c r="O70" s="650" t="n"/>
      <c r="P70" s="650" t="n"/>
      <c r="Q70" s="616" t="n"/>
      <c r="R70" s="40" t="inlineStr"/>
      <c r="S70" s="40" t="inlineStr"/>
      <c r="T70" s="41" t="inlineStr">
        <is>
          <t>кг</t>
        </is>
      </c>
      <c r="U70" s="651" t="n">
        <v>0</v>
      </c>
      <c r="V70" s="65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62" t="n">
        <v>4680115880283</v>
      </c>
      <c r="E71" s="616" t="n"/>
      <c r="F71" s="648" t="n">
        <v>0.6</v>
      </c>
      <c r="G71" s="38" t="n">
        <v>8</v>
      </c>
      <c r="H71" s="648" t="n">
        <v>4.8</v>
      </c>
      <c r="I71" s="648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8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50" t="n"/>
      <c r="O71" s="650" t="n"/>
      <c r="P71" s="650" t="n"/>
      <c r="Q71" s="616" t="n"/>
      <c r="R71" s="40" t="inlineStr"/>
      <c r="S71" s="40" t="inlineStr"/>
      <c r="T71" s="41" t="inlineStr">
        <is>
          <t>кг</t>
        </is>
      </c>
      <c r="U71" s="651" t="n">
        <v>0</v>
      </c>
      <c r="V71" s="65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62" t="n">
        <v>4680115881518</v>
      </c>
      <c r="E72" s="616" t="n"/>
      <c r="F72" s="648" t="n">
        <v>0.4</v>
      </c>
      <c r="G72" s="38" t="n">
        <v>10</v>
      </c>
      <c r="H72" s="648" t="n">
        <v>4</v>
      </c>
      <c r="I72" s="648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8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50" t="n"/>
      <c r="O72" s="650" t="n"/>
      <c r="P72" s="650" t="n"/>
      <c r="Q72" s="616" t="n"/>
      <c r="R72" s="40" t="inlineStr"/>
      <c r="S72" s="40" t="inlineStr"/>
      <c r="T72" s="41" t="inlineStr">
        <is>
          <t>кг</t>
        </is>
      </c>
      <c r="U72" s="651" t="n">
        <v>0</v>
      </c>
      <c r="V72" s="65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62" t="n">
        <v>4680115881303</v>
      </c>
      <c r="E73" s="616" t="n"/>
      <c r="F73" s="648" t="n">
        <v>0.45</v>
      </c>
      <c r="G73" s="38" t="n">
        <v>10</v>
      </c>
      <c r="H73" s="648" t="n">
        <v>4.5</v>
      </c>
      <c r="I73" s="648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8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50" t="n"/>
      <c r="O73" s="650" t="n"/>
      <c r="P73" s="650" t="n"/>
      <c r="Q73" s="616" t="n"/>
      <c r="R73" s="40" t="inlineStr"/>
      <c r="S73" s="40" t="inlineStr"/>
      <c r="T73" s="41" t="inlineStr">
        <is>
          <t>кг</t>
        </is>
      </c>
      <c r="U73" s="651" t="n">
        <v>0</v>
      </c>
      <c r="V73" s="65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62" t="n">
        <v>4607091381986</v>
      </c>
      <c r="E74" s="616" t="n"/>
      <c r="F74" s="648" t="n">
        <v>0.5</v>
      </c>
      <c r="G74" s="38" t="n">
        <v>10</v>
      </c>
      <c r="H74" s="648" t="n">
        <v>5</v>
      </c>
      <c r="I74" s="64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8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50" t="n"/>
      <c r="O74" s="650" t="n"/>
      <c r="P74" s="650" t="n"/>
      <c r="Q74" s="616" t="n"/>
      <c r="R74" s="40" t="inlineStr"/>
      <c r="S74" s="40" t="inlineStr"/>
      <c r="T74" s="41" t="inlineStr">
        <is>
          <t>кг</t>
        </is>
      </c>
      <c r="U74" s="651" t="n">
        <v>0</v>
      </c>
      <c r="V74" s="65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62" t="n">
        <v>4607091388466</v>
      </c>
      <c r="E75" s="616" t="n"/>
      <c r="F75" s="648" t="n">
        <v>0.45</v>
      </c>
      <c r="G75" s="38" t="n">
        <v>6</v>
      </c>
      <c r="H75" s="648" t="n">
        <v>2.7</v>
      </c>
      <c r="I75" s="648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8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50" t="n"/>
      <c r="O75" s="650" t="n"/>
      <c r="P75" s="650" t="n"/>
      <c r="Q75" s="616" t="n"/>
      <c r="R75" s="40" t="inlineStr"/>
      <c r="S75" s="40" t="inlineStr"/>
      <c r="T75" s="41" t="inlineStr">
        <is>
          <t>кг</t>
        </is>
      </c>
      <c r="U75" s="651" t="n">
        <v>0</v>
      </c>
      <c r="V75" s="652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62" t="n">
        <v>4680115880269</v>
      </c>
      <c r="E76" s="616" t="n"/>
      <c r="F76" s="648" t="n">
        <v>0.375</v>
      </c>
      <c r="G76" s="38" t="n">
        <v>10</v>
      </c>
      <c r="H76" s="648" t="n">
        <v>3.75</v>
      </c>
      <c r="I76" s="648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8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50" t="n"/>
      <c r="O76" s="650" t="n"/>
      <c r="P76" s="650" t="n"/>
      <c r="Q76" s="616" t="n"/>
      <c r="R76" s="40" t="inlineStr"/>
      <c r="S76" s="40" t="inlineStr"/>
      <c r="T76" s="41" t="inlineStr">
        <is>
          <t>кг</t>
        </is>
      </c>
      <c r="U76" s="651" t="n">
        <v>0</v>
      </c>
      <c r="V76" s="652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62" t="n">
        <v>4680115880429</v>
      </c>
      <c r="E77" s="616" t="n"/>
      <c r="F77" s="648" t="n">
        <v>0.45</v>
      </c>
      <c r="G77" s="38" t="n">
        <v>10</v>
      </c>
      <c r="H77" s="648" t="n">
        <v>4.5</v>
      </c>
      <c r="I77" s="648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8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50" t="n"/>
      <c r="O77" s="650" t="n"/>
      <c r="P77" s="650" t="n"/>
      <c r="Q77" s="616" t="n"/>
      <c r="R77" s="40" t="inlineStr"/>
      <c r="S77" s="40" t="inlineStr"/>
      <c r="T77" s="41" t="inlineStr">
        <is>
          <t>кг</t>
        </is>
      </c>
      <c r="U77" s="651" t="n">
        <v>0</v>
      </c>
      <c r="V77" s="65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62" t="n">
        <v>4680115881457</v>
      </c>
      <c r="E78" s="616" t="n"/>
      <c r="F78" s="648" t="n">
        <v>0.75</v>
      </c>
      <c r="G78" s="38" t="n">
        <v>6</v>
      </c>
      <c r="H78" s="648" t="n">
        <v>4.5</v>
      </c>
      <c r="I78" s="64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50" t="n"/>
      <c r="O78" s="650" t="n"/>
      <c r="P78" s="650" t="n"/>
      <c r="Q78" s="616" t="n"/>
      <c r="R78" s="40" t="inlineStr"/>
      <c r="S78" s="40" t="inlineStr"/>
      <c r="T78" s="41" t="inlineStr">
        <is>
          <t>кг</t>
        </is>
      </c>
      <c r="U78" s="651" t="n">
        <v>0</v>
      </c>
      <c r="V78" s="65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70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53" t="n"/>
      <c r="M79" s="654" t="inlineStr">
        <is>
          <t>Итого</t>
        </is>
      </c>
      <c r="N79" s="624" t="n"/>
      <c r="O79" s="624" t="n"/>
      <c r="P79" s="624" t="n"/>
      <c r="Q79" s="624" t="n"/>
      <c r="R79" s="624" t="n"/>
      <c r="S79" s="625" t="n"/>
      <c r="T79" s="43" t="inlineStr">
        <is>
          <t>кор</t>
        </is>
      </c>
      <c r="U79" s="65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5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5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56" t="n"/>
      <c r="Y79" s="656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53" t="n"/>
      <c r="M80" s="654" t="inlineStr">
        <is>
          <t>Итого</t>
        </is>
      </c>
      <c r="N80" s="624" t="n"/>
      <c r="O80" s="624" t="n"/>
      <c r="P80" s="624" t="n"/>
      <c r="Q80" s="624" t="n"/>
      <c r="R80" s="624" t="n"/>
      <c r="S80" s="625" t="n"/>
      <c r="T80" s="43" t="inlineStr">
        <is>
          <t>кг</t>
        </is>
      </c>
      <c r="U80" s="655">
        <f>IFERROR(SUM(U63:U78),"0")</f>
        <v/>
      </c>
      <c r="V80" s="655">
        <f>IFERROR(SUM(V63:V78),"0")</f>
        <v/>
      </c>
      <c r="W80" s="43" t="n"/>
      <c r="X80" s="656" t="n"/>
      <c r="Y80" s="656" t="n"/>
    </row>
    <row r="81" ht="14.25" customHeight="1">
      <c r="A81" s="361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61" t="n"/>
      <c r="Y81" s="361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62" t="n">
        <v>4607091388442</v>
      </c>
      <c r="E82" s="616" t="n"/>
      <c r="F82" s="648" t="n">
        <v>1.35</v>
      </c>
      <c r="G82" s="38" t="n">
        <v>8</v>
      </c>
      <c r="H82" s="648" t="n">
        <v>10.8</v>
      </c>
      <c r="I82" s="648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8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50" t="n"/>
      <c r="O82" s="650" t="n"/>
      <c r="P82" s="650" t="n"/>
      <c r="Q82" s="616" t="n"/>
      <c r="R82" s="40" t="inlineStr"/>
      <c r="S82" s="40" t="inlineStr"/>
      <c r="T82" s="41" t="inlineStr">
        <is>
          <t>кг</t>
        </is>
      </c>
      <c r="U82" s="651" t="n">
        <v>0</v>
      </c>
      <c r="V82" s="652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62" t="n">
        <v>4607091384789</v>
      </c>
      <c r="E83" s="616" t="n"/>
      <c r="F83" s="648" t="n">
        <v>1</v>
      </c>
      <c r="G83" s="38" t="n">
        <v>6</v>
      </c>
      <c r="H83" s="648" t="n">
        <v>6</v>
      </c>
      <c r="I83" s="648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9" t="inlineStr">
        <is>
          <t>Ветчины Запекуша с сочным окороком Вязанка Весовые П/а Вязанка</t>
        </is>
      </c>
      <c r="N83" s="650" t="n"/>
      <c r="O83" s="650" t="n"/>
      <c r="P83" s="650" t="n"/>
      <c r="Q83" s="616" t="n"/>
      <c r="R83" s="40" t="inlineStr"/>
      <c r="S83" s="40" t="inlineStr"/>
      <c r="T83" s="41" t="inlineStr">
        <is>
          <t>кг</t>
        </is>
      </c>
      <c r="U83" s="651" t="n">
        <v>0</v>
      </c>
      <c r="V83" s="652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62" t="n">
        <v>4680115881488</v>
      </c>
      <c r="E84" s="616" t="n"/>
      <c r="F84" s="648" t="n">
        <v>1.35</v>
      </c>
      <c r="G84" s="38" t="n">
        <v>8</v>
      </c>
      <c r="H84" s="648" t="n">
        <v>10.8</v>
      </c>
      <c r="I84" s="648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90">
        <f>HYPERLINK("https://abi.ru/products/Охлажденные/Вязанка/Вязанка/Ветчины/P003236/","Ветчины Сливушка с индейкой Вязанка вес П/а Вязанка")</f>
        <v/>
      </c>
      <c r="N84" s="650" t="n"/>
      <c r="O84" s="650" t="n"/>
      <c r="P84" s="650" t="n"/>
      <c r="Q84" s="616" t="n"/>
      <c r="R84" s="40" t="inlineStr"/>
      <c r="S84" s="40" t="inlineStr"/>
      <c r="T84" s="41" t="inlineStr">
        <is>
          <t>кг</t>
        </is>
      </c>
      <c r="U84" s="651" t="n">
        <v>0</v>
      </c>
      <c r="V84" s="652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62" t="n">
        <v>4607091384765</v>
      </c>
      <c r="E85" s="616" t="n"/>
      <c r="F85" s="648" t="n">
        <v>0.42</v>
      </c>
      <c r="G85" s="38" t="n">
        <v>6</v>
      </c>
      <c r="H85" s="648" t="n">
        <v>2.52</v>
      </c>
      <c r="I85" s="648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91" t="inlineStr">
        <is>
          <t>Ветчины Запекуша с сочным окороком Вязанка Фикс.вес 0,42 п/а Вязанка</t>
        </is>
      </c>
      <c r="N85" s="650" t="n"/>
      <c r="O85" s="650" t="n"/>
      <c r="P85" s="650" t="n"/>
      <c r="Q85" s="616" t="n"/>
      <c r="R85" s="40" t="inlineStr"/>
      <c r="S85" s="40" t="inlineStr"/>
      <c r="T85" s="41" t="inlineStr">
        <is>
          <t>кг</t>
        </is>
      </c>
      <c r="U85" s="651" t="n">
        <v>0</v>
      </c>
      <c r="V85" s="652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62" t="n">
        <v>4680115880658</v>
      </c>
      <c r="E86" s="616" t="n"/>
      <c r="F86" s="648" t="n">
        <v>0.4</v>
      </c>
      <c r="G86" s="38" t="n">
        <v>6</v>
      </c>
      <c r="H86" s="648" t="n">
        <v>2.4</v>
      </c>
      <c r="I86" s="648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9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50" t="n"/>
      <c r="O86" s="650" t="n"/>
      <c r="P86" s="650" t="n"/>
      <c r="Q86" s="616" t="n"/>
      <c r="R86" s="40" t="inlineStr"/>
      <c r="S86" s="40" t="inlineStr"/>
      <c r="T86" s="41" t="inlineStr">
        <is>
          <t>кг</t>
        </is>
      </c>
      <c r="U86" s="651" t="n">
        <v>0</v>
      </c>
      <c r="V86" s="65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62" t="n">
        <v>4607091381962</v>
      </c>
      <c r="E87" s="616" t="n"/>
      <c r="F87" s="648" t="n">
        <v>0.5</v>
      </c>
      <c r="G87" s="38" t="n">
        <v>6</v>
      </c>
      <c r="H87" s="648" t="n">
        <v>3</v>
      </c>
      <c r="I87" s="648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93">
        <f>HYPERLINK("https://abi.ru/products/Охлажденные/Вязанка/Вязанка/Ветчины/P003164/","Ветчины Столичная Вязанка Фикс.вес 0,5 Вектор Вязанка")</f>
        <v/>
      </c>
      <c r="N87" s="650" t="n"/>
      <c r="O87" s="650" t="n"/>
      <c r="P87" s="650" t="n"/>
      <c r="Q87" s="616" t="n"/>
      <c r="R87" s="40" t="inlineStr"/>
      <c r="S87" s="40" t="inlineStr"/>
      <c r="T87" s="41" t="inlineStr">
        <is>
          <t>кг</t>
        </is>
      </c>
      <c r="U87" s="651" t="n">
        <v>0</v>
      </c>
      <c r="V87" s="65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70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53" t="n"/>
      <c r="M88" s="654" t="inlineStr">
        <is>
          <t>Итого</t>
        </is>
      </c>
      <c r="N88" s="624" t="n"/>
      <c r="O88" s="624" t="n"/>
      <c r="P88" s="624" t="n"/>
      <c r="Q88" s="624" t="n"/>
      <c r="R88" s="624" t="n"/>
      <c r="S88" s="625" t="n"/>
      <c r="T88" s="43" t="inlineStr">
        <is>
          <t>кор</t>
        </is>
      </c>
      <c r="U88" s="655">
        <f>IFERROR(U82/H82,"0")+IFERROR(U83/H83,"0")+IFERROR(U84/H84,"0")+IFERROR(U85/H85,"0")+IFERROR(U86/H86,"0")+IFERROR(U87/H87,"0")</f>
        <v/>
      </c>
      <c r="V88" s="655">
        <f>IFERROR(V82/H82,"0")+IFERROR(V83/H83,"0")+IFERROR(V84/H84,"0")+IFERROR(V85/H85,"0")+IFERROR(V86/H86,"0")+IFERROR(V87/H87,"0")</f>
        <v/>
      </c>
      <c r="W88" s="655">
        <f>IFERROR(IF(W82="",0,W82),"0")+IFERROR(IF(W83="",0,W83),"0")+IFERROR(IF(W84="",0,W84),"0")+IFERROR(IF(W85="",0,W85),"0")+IFERROR(IF(W86="",0,W86),"0")+IFERROR(IF(W87="",0,W87),"0")</f>
        <v/>
      </c>
      <c r="X88" s="656" t="n"/>
      <c r="Y88" s="656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53" t="n"/>
      <c r="M89" s="654" t="inlineStr">
        <is>
          <t>Итого</t>
        </is>
      </c>
      <c r="N89" s="624" t="n"/>
      <c r="O89" s="624" t="n"/>
      <c r="P89" s="624" t="n"/>
      <c r="Q89" s="624" t="n"/>
      <c r="R89" s="624" t="n"/>
      <c r="S89" s="625" t="n"/>
      <c r="T89" s="43" t="inlineStr">
        <is>
          <t>кг</t>
        </is>
      </c>
      <c r="U89" s="655">
        <f>IFERROR(SUM(U82:U87),"0")</f>
        <v/>
      </c>
      <c r="V89" s="655">
        <f>IFERROR(SUM(V82:V87),"0")</f>
        <v/>
      </c>
      <c r="W89" s="43" t="n"/>
      <c r="X89" s="656" t="n"/>
      <c r="Y89" s="656" t="n"/>
    </row>
    <row r="90" ht="14.25" customHeight="1">
      <c r="A90" s="361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61" t="n"/>
      <c r="Y90" s="361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62" t="n">
        <v>4607091387667</v>
      </c>
      <c r="E91" s="616" t="n"/>
      <c r="F91" s="648" t="n">
        <v>0.9</v>
      </c>
      <c r="G91" s="38" t="n">
        <v>10</v>
      </c>
      <c r="H91" s="648" t="n">
        <v>9</v>
      </c>
      <c r="I91" s="648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9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50" t="n"/>
      <c r="O91" s="650" t="n"/>
      <c r="P91" s="650" t="n"/>
      <c r="Q91" s="616" t="n"/>
      <c r="R91" s="40" t="inlineStr"/>
      <c r="S91" s="40" t="inlineStr"/>
      <c r="T91" s="41" t="inlineStr">
        <is>
          <t>кг</t>
        </is>
      </c>
      <c r="U91" s="651" t="n">
        <v>0</v>
      </c>
      <c r="V91" s="65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62" t="n">
        <v>4607091387636</v>
      </c>
      <c r="E92" s="616" t="n"/>
      <c r="F92" s="648" t="n">
        <v>0.7</v>
      </c>
      <c r="G92" s="38" t="n">
        <v>6</v>
      </c>
      <c r="H92" s="648" t="n">
        <v>4.2</v>
      </c>
      <c r="I92" s="648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9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50" t="n"/>
      <c r="O92" s="650" t="n"/>
      <c r="P92" s="650" t="n"/>
      <c r="Q92" s="616" t="n"/>
      <c r="R92" s="40" t="inlineStr"/>
      <c r="S92" s="40" t="inlineStr"/>
      <c r="T92" s="41" t="inlineStr">
        <is>
          <t>кг</t>
        </is>
      </c>
      <c r="U92" s="651" t="n">
        <v>0</v>
      </c>
      <c r="V92" s="652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62" t="n">
        <v>4607091384727</v>
      </c>
      <c r="E93" s="616" t="n"/>
      <c r="F93" s="648" t="n">
        <v>0.8</v>
      </c>
      <c r="G93" s="38" t="n">
        <v>6</v>
      </c>
      <c r="H93" s="648" t="n">
        <v>4.8</v>
      </c>
      <c r="I93" s="648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9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50" t="n"/>
      <c r="O93" s="650" t="n"/>
      <c r="P93" s="650" t="n"/>
      <c r="Q93" s="616" t="n"/>
      <c r="R93" s="40" t="inlineStr"/>
      <c r="S93" s="40" t="inlineStr"/>
      <c r="T93" s="41" t="inlineStr">
        <is>
          <t>кг</t>
        </is>
      </c>
      <c r="U93" s="651" t="n">
        <v>0</v>
      </c>
      <c r="V93" s="652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62" t="n">
        <v>4607091386745</v>
      </c>
      <c r="E94" s="616" t="n"/>
      <c r="F94" s="648" t="n">
        <v>0.8</v>
      </c>
      <c r="G94" s="38" t="n">
        <v>6</v>
      </c>
      <c r="H94" s="648" t="n">
        <v>4.8</v>
      </c>
      <c r="I94" s="64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50" t="n"/>
      <c r="O94" s="650" t="n"/>
      <c r="P94" s="650" t="n"/>
      <c r="Q94" s="616" t="n"/>
      <c r="R94" s="40" t="inlineStr"/>
      <c r="S94" s="40" t="inlineStr"/>
      <c r="T94" s="41" t="inlineStr">
        <is>
          <t>кг</t>
        </is>
      </c>
      <c r="U94" s="651" t="n">
        <v>0</v>
      </c>
      <c r="V94" s="65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62" t="n">
        <v>4607091382426</v>
      </c>
      <c r="E95" s="616" t="n"/>
      <c r="F95" s="648" t="n">
        <v>0.9</v>
      </c>
      <c r="G95" s="38" t="n">
        <v>10</v>
      </c>
      <c r="H95" s="648" t="n">
        <v>9</v>
      </c>
      <c r="I95" s="648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50" t="n"/>
      <c r="O95" s="650" t="n"/>
      <c r="P95" s="650" t="n"/>
      <c r="Q95" s="616" t="n"/>
      <c r="R95" s="40" t="inlineStr"/>
      <c r="S95" s="40" t="inlineStr"/>
      <c r="T95" s="41" t="inlineStr">
        <is>
          <t>кг</t>
        </is>
      </c>
      <c r="U95" s="651" t="n">
        <v>0</v>
      </c>
      <c r="V95" s="652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62" t="n">
        <v>4607091386547</v>
      </c>
      <c r="E96" s="616" t="n"/>
      <c r="F96" s="648" t="n">
        <v>0.35</v>
      </c>
      <c r="G96" s="38" t="n">
        <v>8</v>
      </c>
      <c r="H96" s="648" t="n">
        <v>2.8</v>
      </c>
      <c r="I96" s="648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50" t="n"/>
      <c r="O96" s="650" t="n"/>
      <c r="P96" s="650" t="n"/>
      <c r="Q96" s="616" t="n"/>
      <c r="R96" s="40" t="inlineStr"/>
      <c r="S96" s="40" t="inlineStr"/>
      <c r="T96" s="41" t="inlineStr">
        <is>
          <t>кг</t>
        </is>
      </c>
      <c r="U96" s="651" t="n">
        <v>0</v>
      </c>
      <c r="V96" s="65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62" t="n">
        <v>4607091384703</v>
      </c>
      <c r="E97" s="616" t="n"/>
      <c r="F97" s="648" t="n">
        <v>0.35</v>
      </c>
      <c r="G97" s="38" t="n">
        <v>6</v>
      </c>
      <c r="H97" s="648" t="n">
        <v>2.1</v>
      </c>
      <c r="I97" s="648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0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50" t="n"/>
      <c r="O97" s="650" t="n"/>
      <c r="P97" s="650" t="n"/>
      <c r="Q97" s="616" t="n"/>
      <c r="R97" s="40" t="inlineStr"/>
      <c r="S97" s="40" t="inlineStr"/>
      <c r="T97" s="41" t="inlineStr">
        <is>
          <t>кг</t>
        </is>
      </c>
      <c r="U97" s="651" t="n">
        <v>0</v>
      </c>
      <c r="V97" s="65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62" t="n">
        <v>4607091384734</v>
      </c>
      <c r="E98" s="616" t="n"/>
      <c r="F98" s="648" t="n">
        <v>0.35</v>
      </c>
      <c r="G98" s="38" t="n">
        <v>6</v>
      </c>
      <c r="H98" s="648" t="n">
        <v>2.1</v>
      </c>
      <c r="I98" s="64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0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50" t="n"/>
      <c r="O98" s="650" t="n"/>
      <c r="P98" s="650" t="n"/>
      <c r="Q98" s="616" t="n"/>
      <c r="R98" s="40" t="inlineStr"/>
      <c r="S98" s="40" t="inlineStr"/>
      <c r="T98" s="41" t="inlineStr">
        <is>
          <t>кг</t>
        </is>
      </c>
      <c r="U98" s="651" t="n">
        <v>0</v>
      </c>
      <c r="V98" s="65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62" t="n">
        <v>4607091382464</v>
      </c>
      <c r="E99" s="616" t="n"/>
      <c r="F99" s="648" t="n">
        <v>0.35</v>
      </c>
      <c r="G99" s="38" t="n">
        <v>8</v>
      </c>
      <c r="H99" s="648" t="n">
        <v>2.8</v>
      </c>
      <c r="I99" s="648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0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50" t="n"/>
      <c r="O99" s="650" t="n"/>
      <c r="P99" s="650" t="n"/>
      <c r="Q99" s="616" t="n"/>
      <c r="R99" s="40" t="inlineStr"/>
      <c r="S99" s="40" t="inlineStr"/>
      <c r="T99" s="41" t="inlineStr">
        <is>
          <t>кг</t>
        </is>
      </c>
      <c r="U99" s="651" t="n">
        <v>0</v>
      </c>
      <c r="V99" s="65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70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53" t="n"/>
      <c r="M100" s="654" t="inlineStr">
        <is>
          <t>Итого</t>
        </is>
      </c>
      <c r="N100" s="624" t="n"/>
      <c r="O100" s="624" t="n"/>
      <c r="P100" s="624" t="n"/>
      <c r="Q100" s="624" t="n"/>
      <c r="R100" s="624" t="n"/>
      <c r="S100" s="625" t="n"/>
      <c r="T100" s="43" t="inlineStr">
        <is>
          <t>кор</t>
        </is>
      </c>
      <c r="U100" s="655">
        <f>IFERROR(U91/H91,"0")+IFERROR(U92/H92,"0")+IFERROR(U93/H93,"0")+IFERROR(U94/H94,"0")+IFERROR(U95/H95,"0")+IFERROR(U96/H96,"0")+IFERROR(U97/H97,"0")+IFERROR(U98/H98,"0")+IFERROR(U99/H99,"0")</f>
        <v/>
      </c>
      <c r="V100" s="655">
        <f>IFERROR(V91/H91,"0")+IFERROR(V92/H92,"0")+IFERROR(V93/H93,"0")+IFERROR(V94/H94,"0")+IFERROR(V95/H95,"0")+IFERROR(V96/H96,"0")+IFERROR(V97/H97,"0")+IFERROR(V98/H98,"0")+IFERROR(V99/H99,"0")</f>
        <v/>
      </c>
      <c r="W100" s="65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56" t="n"/>
      <c r="Y100" s="656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53" t="n"/>
      <c r="M101" s="654" t="inlineStr">
        <is>
          <t>Итого</t>
        </is>
      </c>
      <c r="N101" s="624" t="n"/>
      <c r="O101" s="624" t="n"/>
      <c r="P101" s="624" t="n"/>
      <c r="Q101" s="624" t="n"/>
      <c r="R101" s="624" t="n"/>
      <c r="S101" s="625" t="n"/>
      <c r="T101" s="43" t="inlineStr">
        <is>
          <t>кг</t>
        </is>
      </c>
      <c r="U101" s="655">
        <f>IFERROR(SUM(U91:U99),"0")</f>
        <v/>
      </c>
      <c r="V101" s="655">
        <f>IFERROR(SUM(V91:V99),"0")</f>
        <v/>
      </c>
      <c r="W101" s="43" t="n"/>
      <c r="X101" s="656" t="n"/>
      <c r="Y101" s="656" t="n"/>
    </row>
    <row r="102" ht="14.25" customHeight="1">
      <c r="A102" s="361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61" t="n"/>
      <c r="Y102" s="361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62" t="n">
        <v>4607091386967</v>
      </c>
      <c r="E103" s="616" t="n"/>
      <c r="F103" s="648" t="n">
        <v>1.35</v>
      </c>
      <c r="G103" s="38" t="n">
        <v>6</v>
      </c>
      <c r="H103" s="648" t="n">
        <v>8.1</v>
      </c>
      <c r="I103" s="648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703" t="inlineStr">
        <is>
          <t>Сосиски Молокуши (Вязанка Молочные) Вязанка Весовые П/а мгс Вязанка</t>
        </is>
      </c>
      <c r="N103" s="650" t="n"/>
      <c r="O103" s="650" t="n"/>
      <c r="P103" s="650" t="n"/>
      <c r="Q103" s="616" t="n"/>
      <c r="R103" s="40" t="inlineStr"/>
      <c r="S103" s="40" t="inlineStr"/>
      <c r="T103" s="41" t="inlineStr">
        <is>
          <t>кг</t>
        </is>
      </c>
      <c r="U103" s="651" t="n">
        <v>0</v>
      </c>
      <c r="V103" s="652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62" t="n">
        <v>4607091385304</v>
      </c>
      <c r="E104" s="616" t="n"/>
      <c r="F104" s="648" t="n">
        <v>1.35</v>
      </c>
      <c r="G104" s="38" t="n">
        <v>6</v>
      </c>
      <c r="H104" s="648" t="n">
        <v>8.1</v>
      </c>
      <c r="I104" s="648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704">
        <f>HYPERLINK("https://abi.ru/products/Охлажденные/Вязанка/Вязанка/Сосиски/P003025/","Сосиски Рубленые Вязанка Весовые п/а мгс Вязанка")</f>
        <v/>
      </c>
      <c r="N104" s="650" t="n"/>
      <c r="O104" s="650" t="n"/>
      <c r="P104" s="650" t="n"/>
      <c r="Q104" s="616" t="n"/>
      <c r="R104" s="40" t="inlineStr"/>
      <c r="S104" s="40" t="inlineStr"/>
      <c r="T104" s="41" t="inlineStr">
        <is>
          <t>кг</t>
        </is>
      </c>
      <c r="U104" s="651" t="n">
        <v>70</v>
      </c>
      <c r="V104" s="65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62" t="n">
        <v>4607091386264</v>
      </c>
      <c r="E105" s="616" t="n"/>
      <c r="F105" s="648" t="n">
        <v>0.5</v>
      </c>
      <c r="G105" s="38" t="n">
        <v>6</v>
      </c>
      <c r="H105" s="648" t="n">
        <v>3</v>
      </c>
      <c r="I105" s="648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705">
        <f>HYPERLINK("https://abi.ru/products/Охлажденные/Вязанка/Вязанка/Сосиски/P002217/","Сосиски Венские Вязанка Фикс.вес 0,5 NDX мгс Вязанка")</f>
        <v/>
      </c>
      <c r="N105" s="650" t="n"/>
      <c r="O105" s="650" t="n"/>
      <c r="P105" s="650" t="n"/>
      <c r="Q105" s="616" t="n"/>
      <c r="R105" s="40" t="inlineStr"/>
      <c r="S105" s="40" t="inlineStr"/>
      <c r="T105" s="41" t="inlineStr">
        <is>
          <t>кг</t>
        </is>
      </c>
      <c r="U105" s="651" t="n">
        <v>0</v>
      </c>
      <c r="V105" s="65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62" t="n">
        <v>4607091385731</v>
      </c>
      <c r="E106" s="616" t="n"/>
      <c r="F106" s="648" t="n">
        <v>0.45</v>
      </c>
      <c r="G106" s="38" t="n">
        <v>6</v>
      </c>
      <c r="H106" s="648" t="n">
        <v>2.7</v>
      </c>
      <c r="I106" s="648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706" t="inlineStr">
        <is>
          <t>Сосиски Молокуши (Вязанка Молочные) Вязанка Фикс.вес 0,45 П/а мгс Вязанка</t>
        </is>
      </c>
      <c r="N106" s="650" t="n"/>
      <c r="O106" s="650" t="n"/>
      <c r="P106" s="650" t="n"/>
      <c r="Q106" s="616" t="n"/>
      <c r="R106" s="40" t="inlineStr"/>
      <c r="S106" s="40" t="inlineStr"/>
      <c r="T106" s="41" t="inlineStr">
        <is>
          <t>кг</t>
        </is>
      </c>
      <c r="U106" s="651" t="n">
        <v>0</v>
      </c>
      <c r="V106" s="65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62" t="n">
        <v>4680115880214</v>
      </c>
      <c r="E107" s="616" t="n"/>
      <c r="F107" s="648" t="n">
        <v>0.45</v>
      </c>
      <c r="G107" s="38" t="n">
        <v>6</v>
      </c>
      <c r="H107" s="648" t="n">
        <v>2.7</v>
      </c>
      <c r="I107" s="648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7" t="inlineStr">
        <is>
          <t>Сосиски Молокуши миникушай Вязанка Ф/в 0,45 амилюкс мгс Вязанка</t>
        </is>
      </c>
      <c r="N107" s="650" t="n"/>
      <c r="O107" s="650" t="n"/>
      <c r="P107" s="650" t="n"/>
      <c r="Q107" s="616" t="n"/>
      <c r="R107" s="40" t="inlineStr"/>
      <c r="S107" s="40" t="inlineStr"/>
      <c r="T107" s="41" t="inlineStr">
        <is>
          <t>кг</t>
        </is>
      </c>
      <c r="U107" s="651" t="n">
        <v>0</v>
      </c>
      <c r="V107" s="652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62" t="n">
        <v>4680115880894</v>
      </c>
      <c r="E108" s="616" t="n"/>
      <c r="F108" s="648" t="n">
        <v>0.33</v>
      </c>
      <c r="G108" s="38" t="n">
        <v>6</v>
      </c>
      <c r="H108" s="648" t="n">
        <v>1.98</v>
      </c>
      <c r="I108" s="648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8" t="inlineStr">
        <is>
          <t>Сосиски Молокуши Миникушай Вязанка фикс.вес 0,33 п/а Вязанка</t>
        </is>
      </c>
      <c r="N108" s="650" t="n"/>
      <c r="O108" s="650" t="n"/>
      <c r="P108" s="650" t="n"/>
      <c r="Q108" s="616" t="n"/>
      <c r="R108" s="40" t="inlineStr"/>
      <c r="S108" s="40" t="inlineStr"/>
      <c r="T108" s="41" t="inlineStr">
        <is>
          <t>кг</t>
        </is>
      </c>
      <c r="U108" s="651" t="n">
        <v>0</v>
      </c>
      <c r="V108" s="652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62" t="n">
        <v>4607091385427</v>
      </c>
      <c r="E109" s="616" t="n"/>
      <c r="F109" s="648" t="n">
        <v>0.5</v>
      </c>
      <c r="G109" s="38" t="n">
        <v>6</v>
      </c>
      <c r="H109" s="648" t="n">
        <v>3</v>
      </c>
      <c r="I109" s="648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9">
        <f>HYPERLINK("https://abi.ru/products/Охлажденные/Вязанка/Вязанка/Сосиски/P003030/","Сосиски Рубленые Вязанка Фикс.вес 0,5 п/а мгс Вязанка")</f>
        <v/>
      </c>
      <c r="N109" s="650" t="n"/>
      <c r="O109" s="650" t="n"/>
      <c r="P109" s="650" t="n"/>
      <c r="Q109" s="616" t="n"/>
      <c r="R109" s="40" t="inlineStr"/>
      <c r="S109" s="40" t="inlineStr"/>
      <c r="T109" s="41" t="inlineStr">
        <is>
          <t>кг</t>
        </is>
      </c>
      <c r="U109" s="651" t="n">
        <v>0</v>
      </c>
      <c r="V109" s="65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70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53" t="n"/>
      <c r="M110" s="654" t="inlineStr">
        <is>
          <t>Итого</t>
        </is>
      </c>
      <c r="N110" s="624" t="n"/>
      <c r="O110" s="624" t="n"/>
      <c r="P110" s="624" t="n"/>
      <c r="Q110" s="624" t="n"/>
      <c r="R110" s="624" t="n"/>
      <c r="S110" s="625" t="n"/>
      <c r="T110" s="43" t="inlineStr">
        <is>
          <t>кор</t>
        </is>
      </c>
      <c r="U110" s="655">
        <f>IFERROR(U103/H103,"0")+IFERROR(U104/H104,"0")+IFERROR(U105/H105,"0")+IFERROR(U106/H106,"0")+IFERROR(U107/H107,"0")+IFERROR(U108/H108,"0")+IFERROR(U109/H109,"0")</f>
        <v/>
      </c>
      <c r="V110" s="655">
        <f>IFERROR(V103/H103,"0")+IFERROR(V104/H104,"0")+IFERROR(V105/H105,"0")+IFERROR(V106/H106,"0")+IFERROR(V107/H107,"0")+IFERROR(V108/H108,"0")+IFERROR(V109/H109,"0")</f>
        <v/>
      </c>
      <c r="W110" s="655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56" t="n"/>
      <c r="Y110" s="656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53" t="n"/>
      <c r="M111" s="654" t="inlineStr">
        <is>
          <t>Итого</t>
        </is>
      </c>
      <c r="N111" s="624" t="n"/>
      <c r="O111" s="624" t="n"/>
      <c r="P111" s="624" t="n"/>
      <c r="Q111" s="624" t="n"/>
      <c r="R111" s="624" t="n"/>
      <c r="S111" s="625" t="n"/>
      <c r="T111" s="43" t="inlineStr">
        <is>
          <t>кг</t>
        </is>
      </c>
      <c r="U111" s="655">
        <f>IFERROR(SUM(U103:U109),"0")</f>
        <v/>
      </c>
      <c r="V111" s="655">
        <f>IFERROR(SUM(V103:V109),"0")</f>
        <v/>
      </c>
      <c r="W111" s="43" t="n"/>
      <c r="X111" s="656" t="n"/>
      <c r="Y111" s="656" t="n"/>
    </row>
    <row r="112" ht="14.25" customHeight="1">
      <c r="A112" s="361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61" t="n"/>
      <c r="Y112" s="361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62" t="n">
        <v>4607091383065</v>
      </c>
      <c r="E113" s="616" t="n"/>
      <c r="F113" s="648" t="n">
        <v>0.83</v>
      </c>
      <c r="G113" s="38" t="n">
        <v>4</v>
      </c>
      <c r="H113" s="648" t="n">
        <v>3.32</v>
      </c>
      <c r="I113" s="648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1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50" t="n"/>
      <c r="O113" s="650" t="n"/>
      <c r="P113" s="650" t="n"/>
      <c r="Q113" s="616" t="n"/>
      <c r="R113" s="40" t="inlineStr"/>
      <c r="S113" s="40" t="inlineStr"/>
      <c r="T113" s="41" t="inlineStr">
        <is>
          <t>кг</t>
        </is>
      </c>
      <c r="U113" s="651" t="n">
        <v>0</v>
      </c>
      <c r="V113" s="652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62" t="n">
        <v>4607091380699</v>
      </c>
      <c r="E114" s="616" t="n"/>
      <c r="F114" s="648" t="n">
        <v>1.3</v>
      </c>
      <c r="G114" s="38" t="n">
        <v>6</v>
      </c>
      <c r="H114" s="648" t="n">
        <v>7.8</v>
      </c>
      <c r="I114" s="648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11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50" t="n"/>
      <c r="O114" s="650" t="n"/>
      <c r="P114" s="650" t="n"/>
      <c r="Q114" s="616" t="n"/>
      <c r="R114" s="40" t="inlineStr"/>
      <c r="S114" s="40" t="inlineStr"/>
      <c r="T114" s="41" t="inlineStr">
        <is>
          <t>кг</t>
        </is>
      </c>
      <c r="U114" s="651" t="n">
        <v>0</v>
      </c>
      <c r="V114" s="652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62" t="n">
        <v>4680115880238</v>
      </c>
      <c r="E115" s="616" t="n"/>
      <c r="F115" s="648" t="n">
        <v>0.33</v>
      </c>
      <c r="G115" s="38" t="n">
        <v>6</v>
      </c>
      <c r="H115" s="648" t="n">
        <v>1.98</v>
      </c>
      <c r="I115" s="648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12" t="inlineStr">
        <is>
          <t>Сардельки Сливушки #минидельки ТМ Вязанка айпил мгс ф/в 0,33 кг</t>
        </is>
      </c>
      <c r="N115" s="650" t="n"/>
      <c r="O115" s="650" t="n"/>
      <c r="P115" s="650" t="n"/>
      <c r="Q115" s="616" t="n"/>
      <c r="R115" s="40" t="inlineStr"/>
      <c r="S115" s="40" t="inlineStr"/>
      <c r="T115" s="41" t="inlineStr">
        <is>
          <t>кг</t>
        </is>
      </c>
      <c r="U115" s="651" t="n">
        <v>0</v>
      </c>
      <c r="V115" s="65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62" t="n">
        <v>4680115881464</v>
      </c>
      <c r="E116" s="616" t="n"/>
      <c r="F116" s="648" t="n">
        <v>0.4</v>
      </c>
      <c r="G116" s="38" t="n">
        <v>6</v>
      </c>
      <c r="H116" s="648" t="n">
        <v>2.4</v>
      </c>
      <c r="I116" s="648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713" t="inlineStr">
        <is>
          <t>Сардельки "Филейские" Фикс.вес 0,4 NDX мгс ТМ "Вязанка"</t>
        </is>
      </c>
      <c r="N116" s="650" t="n"/>
      <c r="O116" s="650" t="n"/>
      <c r="P116" s="650" t="n"/>
      <c r="Q116" s="616" t="n"/>
      <c r="R116" s="40" t="inlineStr"/>
      <c r="S116" s="40" t="inlineStr"/>
      <c r="T116" s="41" t="inlineStr">
        <is>
          <t>кг</t>
        </is>
      </c>
      <c r="U116" s="651" t="n">
        <v>0</v>
      </c>
      <c r="V116" s="65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70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53" t="n"/>
      <c r="M117" s="654" t="inlineStr">
        <is>
          <t>Итого</t>
        </is>
      </c>
      <c r="N117" s="624" t="n"/>
      <c r="O117" s="624" t="n"/>
      <c r="P117" s="624" t="n"/>
      <c r="Q117" s="624" t="n"/>
      <c r="R117" s="624" t="n"/>
      <c r="S117" s="625" t="n"/>
      <c r="T117" s="43" t="inlineStr">
        <is>
          <t>кор</t>
        </is>
      </c>
      <c r="U117" s="655">
        <f>IFERROR(U113/H113,"0")+IFERROR(U114/H114,"0")+IFERROR(U115/H115,"0")+IFERROR(U116/H116,"0")</f>
        <v/>
      </c>
      <c r="V117" s="655">
        <f>IFERROR(V113/H113,"0")+IFERROR(V114/H114,"0")+IFERROR(V115/H115,"0")+IFERROR(V116/H116,"0")</f>
        <v/>
      </c>
      <c r="W117" s="655">
        <f>IFERROR(IF(W113="",0,W113),"0")+IFERROR(IF(W114="",0,W114),"0")+IFERROR(IF(W115="",0,W115),"0")+IFERROR(IF(W116="",0,W116),"0")</f>
        <v/>
      </c>
      <c r="X117" s="656" t="n"/>
      <c r="Y117" s="656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53" t="n"/>
      <c r="M118" s="654" t="inlineStr">
        <is>
          <t>Итого</t>
        </is>
      </c>
      <c r="N118" s="624" t="n"/>
      <c r="O118" s="624" t="n"/>
      <c r="P118" s="624" t="n"/>
      <c r="Q118" s="624" t="n"/>
      <c r="R118" s="624" t="n"/>
      <c r="S118" s="625" t="n"/>
      <c r="T118" s="43" t="inlineStr">
        <is>
          <t>кг</t>
        </is>
      </c>
      <c r="U118" s="655">
        <f>IFERROR(SUM(U113:U116),"0")</f>
        <v/>
      </c>
      <c r="V118" s="655">
        <f>IFERROR(SUM(V113:V116),"0")</f>
        <v/>
      </c>
      <c r="W118" s="43" t="n"/>
      <c r="X118" s="656" t="n"/>
      <c r="Y118" s="656" t="n"/>
    </row>
    <row r="119" ht="16.5" customHeight="1">
      <c r="A119" s="360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60" t="n"/>
      <c r="Y119" s="360" t="n"/>
    </row>
    <row r="120" ht="14.25" customHeight="1">
      <c r="A120" s="361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61" t="n"/>
      <c r="Y120" s="361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62" t="n">
        <v>4607091385168</v>
      </c>
      <c r="E121" s="616" t="n"/>
      <c r="F121" s="648" t="n">
        <v>1.35</v>
      </c>
      <c r="G121" s="38" t="n">
        <v>6</v>
      </c>
      <c r="H121" s="648" t="n">
        <v>8.1</v>
      </c>
      <c r="I121" s="648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1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50" t="n"/>
      <c r="O121" s="650" t="n"/>
      <c r="P121" s="650" t="n"/>
      <c r="Q121" s="616" t="n"/>
      <c r="R121" s="40" t="inlineStr"/>
      <c r="S121" s="40" t="inlineStr"/>
      <c r="T121" s="41" t="inlineStr">
        <is>
          <t>кг</t>
        </is>
      </c>
      <c r="U121" s="651" t="n">
        <v>0</v>
      </c>
      <c r="V121" s="652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62" t="n">
        <v>4607091383256</v>
      </c>
      <c r="E122" s="616" t="n"/>
      <c r="F122" s="648" t="n">
        <v>0.33</v>
      </c>
      <c r="G122" s="38" t="n">
        <v>6</v>
      </c>
      <c r="H122" s="648" t="n">
        <v>1.98</v>
      </c>
      <c r="I122" s="648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15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50" t="n"/>
      <c r="O122" s="650" t="n"/>
      <c r="P122" s="650" t="n"/>
      <c r="Q122" s="616" t="n"/>
      <c r="R122" s="40" t="inlineStr"/>
      <c r="S122" s="40" t="inlineStr"/>
      <c r="T122" s="41" t="inlineStr">
        <is>
          <t>кг</t>
        </is>
      </c>
      <c r="U122" s="651" t="n">
        <v>0</v>
      </c>
      <c r="V122" s="65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62" t="n">
        <v>4607091385748</v>
      </c>
      <c r="E123" s="616" t="n"/>
      <c r="F123" s="648" t="n">
        <v>0.45</v>
      </c>
      <c r="G123" s="38" t="n">
        <v>6</v>
      </c>
      <c r="H123" s="648" t="n">
        <v>2.7</v>
      </c>
      <c r="I123" s="648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16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50" t="n"/>
      <c r="O123" s="650" t="n"/>
      <c r="P123" s="650" t="n"/>
      <c r="Q123" s="616" t="n"/>
      <c r="R123" s="40" t="inlineStr"/>
      <c r="S123" s="40" t="inlineStr"/>
      <c r="T123" s="41" t="inlineStr">
        <is>
          <t>кг</t>
        </is>
      </c>
      <c r="U123" s="651" t="n">
        <v>0</v>
      </c>
      <c r="V123" s="65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62" t="n">
        <v>4607091384581</v>
      </c>
      <c r="E124" s="616" t="n"/>
      <c r="F124" s="648" t="n">
        <v>0.67</v>
      </c>
      <c r="G124" s="38" t="n">
        <v>4</v>
      </c>
      <c r="H124" s="648" t="n">
        <v>2.68</v>
      </c>
      <c r="I124" s="648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7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50" t="n"/>
      <c r="O124" s="650" t="n"/>
      <c r="P124" s="650" t="n"/>
      <c r="Q124" s="616" t="n"/>
      <c r="R124" s="40" t="inlineStr"/>
      <c r="S124" s="40" t="inlineStr"/>
      <c r="T124" s="41" t="inlineStr">
        <is>
          <t>кг</t>
        </is>
      </c>
      <c r="U124" s="651" t="n">
        <v>0</v>
      </c>
      <c r="V124" s="652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70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53" t="n"/>
      <c r="M125" s="654" t="inlineStr">
        <is>
          <t>Итого</t>
        </is>
      </c>
      <c r="N125" s="624" t="n"/>
      <c r="O125" s="624" t="n"/>
      <c r="P125" s="624" t="n"/>
      <c r="Q125" s="624" t="n"/>
      <c r="R125" s="624" t="n"/>
      <c r="S125" s="625" t="n"/>
      <c r="T125" s="43" t="inlineStr">
        <is>
          <t>кор</t>
        </is>
      </c>
      <c r="U125" s="655">
        <f>IFERROR(U121/H121,"0")+IFERROR(U122/H122,"0")+IFERROR(U123/H123,"0")+IFERROR(U124/H124,"0")</f>
        <v/>
      </c>
      <c r="V125" s="655">
        <f>IFERROR(V121/H121,"0")+IFERROR(V122/H122,"0")+IFERROR(V123/H123,"0")+IFERROR(V124/H124,"0")</f>
        <v/>
      </c>
      <c r="W125" s="655">
        <f>IFERROR(IF(W121="",0,W121),"0")+IFERROR(IF(W122="",0,W122),"0")+IFERROR(IF(W123="",0,W123),"0")+IFERROR(IF(W124="",0,W124),"0")</f>
        <v/>
      </c>
      <c r="X125" s="656" t="n"/>
      <c r="Y125" s="656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53" t="n"/>
      <c r="M126" s="654" t="inlineStr">
        <is>
          <t>Итого</t>
        </is>
      </c>
      <c r="N126" s="624" t="n"/>
      <c r="O126" s="624" t="n"/>
      <c r="P126" s="624" t="n"/>
      <c r="Q126" s="624" t="n"/>
      <c r="R126" s="624" t="n"/>
      <c r="S126" s="625" t="n"/>
      <c r="T126" s="43" t="inlineStr">
        <is>
          <t>кг</t>
        </is>
      </c>
      <c r="U126" s="655">
        <f>IFERROR(SUM(U121:U124),"0")</f>
        <v/>
      </c>
      <c r="V126" s="655">
        <f>IFERROR(SUM(V121:V124),"0")</f>
        <v/>
      </c>
      <c r="W126" s="43" t="n"/>
      <c r="X126" s="656" t="n"/>
      <c r="Y126" s="656" t="n"/>
    </row>
    <row r="127" ht="27.75" customHeight="1">
      <c r="A127" s="359" t="inlineStr">
        <is>
          <t>Стародворье</t>
        </is>
      </c>
      <c r="B127" s="647" t="n"/>
      <c r="C127" s="647" t="n"/>
      <c r="D127" s="647" t="n"/>
      <c r="E127" s="647" t="n"/>
      <c r="F127" s="647" t="n"/>
      <c r="G127" s="647" t="n"/>
      <c r="H127" s="647" t="n"/>
      <c r="I127" s="647" t="n"/>
      <c r="J127" s="647" t="n"/>
      <c r="K127" s="647" t="n"/>
      <c r="L127" s="647" t="n"/>
      <c r="M127" s="647" t="n"/>
      <c r="N127" s="647" t="n"/>
      <c r="O127" s="647" t="n"/>
      <c r="P127" s="647" t="n"/>
      <c r="Q127" s="647" t="n"/>
      <c r="R127" s="647" t="n"/>
      <c r="S127" s="647" t="n"/>
      <c r="T127" s="647" t="n"/>
      <c r="U127" s="647" t="n"/>
      <c r="V127" s="647" t="n"/>
      <c r="W127" s="647" t="n"/>
      <c r="X127" s="55" t="n"/>
      <c r="Y127" s="55" t="n"/>
    </row>
    <row r="128" ht="16.5" customHeight="1">
      <c r="A128" s="360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60" t="n"/>
      <c r="Y128" s="360" t="n"/>
    </row>
    <row r="129" ht="14.25" customHeight="1">
      <c r="A129" s="361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61" t="n"/>
      <c r="Y129" s="361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62" t="n">
        <v>4607091383423</v>
      </c>
      <c r="E130" s="616" t="n"/>
      <c r="F130" s="648" t="n">
        <v>1.35</v>
      </c>
      <c r="G130" s="38" t="n">
        <v>8</v>
      </c>
      <c r="H130" s="648" t="n">
        <v>10.8</v>
      </c>
      <c r="I130" s="648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50" t="n"/>
      <c r="O130" s="650" t="n"/>
      <c r="P130" s="650" t="n"/>
      <c r="Q130" s="616" t="n"/>
      <c r="R130" s="40" t="inlineStr"/>
      <c r="S130" s="40" t="inlineStr"/>
      <c r="T130" s="41" t="inlineStr">
        <is>
          <t>кг</t>
        </is>
      </c>
      <c r="U130" s="651" t="n">
        <v>0</v>
      </c>
      <c r="V130" s="65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62" t="n">
        <v>4607091381405</v>
      </c>
      <c r="E131" s="616" t="n"/>
      <c r="F131" s="648" t="n">
        <v>1.35</v>
      </c>
      <c r="G131" s="38" t="n">
        <v>8</v>
      </c>
      <c r="H131" s="648" t="n">
        <v>10.8</v>
      </c>
      <c r="I131" s="648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50" t="n"/>
      <c r="O131" s="650" t="n"/>
      <c r="P131" s="650" t="n"/>
      <c r="Q131" s="616" t="n"/>
      <c r="R131" s="40" t="inlineStr"/>
      <c r="S131" s="40" t="inlineStr"/>
      <c r="T131" s="41" t="inlineStr">
        <is>
          <t>кг</t>
        </is>
      </c>
      <c r="U131" s="651" t="n">
        <v>0</v>
      </c>
      <c r="V131" s="65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62" t="n">
        <v>4607091386516</v>
      </c>
      <c r="E132" s="616" t="n"/>
      <c r="F132" s="648" t="n">
        <v>1.4</v>
      </c>
      <c r="G132" s="38" t="n">
        <v>8</v>
      </c>
      <c r="H132" s="648" t="n">
        <v>11.2</v>
      </c>
      <c r="I132" s="648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2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50" t="n"/>
      <c r="O132" s="650" t="n"/>
      <c r="P132" s="650" t="n"/>
      <c r="Q132" s="616" t="n"/>
      <c r="R132" s="40" t="inlineStr"/>
      <c r="S132" s="40" t="inlineStr"/>
      <c r="T132" s="41" t="inlineStr">
        <is>
          <t>кг</t>
        </is>
      </c>
      <c r="U132" s="651" t="n">
        <v>0</v>
      </c>
      <c r="V132" s="65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70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53" t="n"/>
      <c r="M133" s="654" t="inlineStr">
        <is>
          <t>Итого</t>
        </is>
      </c>
      <c r="N133" s="624" t="n"/>
      <c r="O133" s="624" t="n"/>
      <c r="P133" s="624" t="n"/>
      <c r="Q133" s="624" t="n"/>
      <c r="R133" s="624" t="n"/>
      <c r="S133" s="625" t="n"/>
      <c r="T133" s="43" t="inlineStr">
        <is>
          <t>кор</t>
        </is>
      </c>
      <c r="U133" s="655">
        <f>IFERROR(U130/H130,"0")+IFERROR(U131/H131,"0")+IFERROR(U132/H132,"0")</f>
        <v/>
      </c>
      <c r="V133" s="655">
        <f>IFERROR(V130/H130,"0")+IFERROR(V131/H131,"0")+IFERROR(V132/H132,"0")</f>
        <v/>
      </c>
      <c r="W133" s="655">
        <f>IFERROR(IF(W130="",0,W130),"0")+IFERROR(IF(W131="",0,W131),"0")+IFERROR(IF(W132="",0,W132),"0")</f>
        <v/>
      </c>
      <c r="X133" s="656" t="n"/>
      <c r="Y133" s="656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53" t="n"/>
      <c r="M134" s="654" t="inlineStr">
        <is>
          <t>Итого</t>
        </is>
      </c>
      <c r="N134" s="624" t="n"/>
      <c r="O134" s="624" t="n"/>
      <c r="P134" s="624" t="n"/>
      <c r="Q134" s="624" t="n"/>
      <c r="R134" s="624" t="n"/>
      <c r="S134" s="625" t="n"/>
      <c r="T134" s="43" t="inlineStr">
        <is>
          <t>кг</t>
        </is>
      </c>
      <c r="U134" s="655">
        <f>IFERROR(SUM(U130:U132),"0")</f>
        <v/>
      </c>
      <c r="V134" s="655">
        <f>IFERROR(SUM(V130:V132),"0")</f>
        <v/>
      </c>
      <c r="W134" s="43" t="n"/>
      <c r="X134" s="656" t="n"/>
      <c r="Y134" s="656" t="n"/>
    </row>
    <row r="135" ht="16.5" customHeight="1">
      <c r="A135" s="360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60" t="n"/>
      <c r="Y135" s="360" t="n"/>
    </row>
    <row r="136" ht="14.25" customHeight="1">
      <c r="A136" s="361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61" t="n"/>
      <c r="Y136" s="361" t="n"/>
    </row>
    <row r="137" ht="27" customHeight="1">
      <c r="A137" s="64" t="inlineStr">
        <is>
          <t>SU002787</t>
        </is>
      </c>
      <c r="B137" s="64" t="inlineStr">
        <is>
          <t>P003189</t>
        </is>
      </c>
      <c r="C137" s="37" t="n">
        <v>4301011433</v>
      </c>
      <c r="D137" s="362" t="n">
        <v>4680115882638</v>
      </c>
      <c r="E137" s="616" t="n"/>
      <c r="F137" s="648" t="n">
        <v>0.4</v>
      </c>
      <c r="G137" s="38" t="n">
        <v>10</v>
      </c>
      <c r="H137" s="648" t="n">
        <v>4</v>
      </c>
      <c r="I137" s="648" t="n">
        <v>4.24</v>
      </c>
      <c r="J137" s="38" t="n">
        <v>120</v>
      </c>
      <c r="K137" s="39" t="inlineStr">
        <is>
          <t>СК1</t>
        </is>
      </c>
      <c r="L137" s="38" t="n">
        <v>90</v>
      </c>
      <c r="M137" s="721" t="inlineStr">
        <is>
          <t>Вареные колбасы "Молочная с нежным филе" Фикс.вес 0,4 кг п/а ТМ "Особый рецепт"</t>
        </is>
      </c>
      <c r="N137" s="650" t="n"/>
      <c r="O137" s="650" t="n"/>
      <c r="P137" s="650" t="n"/>
      <c r="Q137" s="616" t="n"/>
      <c r="R137" s="40" t="inlineStr"/>
      <c r="S137" s="40" t="inlineStr"/>
      <c r="T137" s="41" t="inlineStr">
        <is>
          <t>кг</t>
        </is>
      </c>
      <c r="U137" s="651" t="n">
        <v>0</v>
      </c>
      <c r="V137" s="652">
        <f>IFERROR(IF(U137="",0,CEILING((U137/$H137),1)*$H137),"")</f>
        <v/>
      </c>
      <c r="W137" s="42">
        <f>IFERROR(IF(V137=0,"",ROUNDUP(V137/H137,0)*0.00937),"")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62" t="n">
        <v>4607091387445</v>
      </c>
      <c r="E138" s="616" t="n"/>
      <c r="F138" s="648" t="n">
        <v>0.9</v>
      </c>
      <c r="G138" s="38" t="n">
        <v>10</v>
      </c>
      <c r="H138" s="648" t="n">
        <v>9</v>
      </c>
      <c r="I138" s="64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2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50" t="n"/>
      <c r="O138" s="650" t="n"/>
      <c r="P138" s="650" t="n"/>
      <c r="Q138" s="616" t="n"/>
      <c r="R138" s="40" t="inlineStr"/>
      <c r="S138" s="40" t="inlineStr"/>
      <c r="T138" s="41" t="inlineStr">
        <is>
          <t>кг</t>
        </is>
      </c>
      <c r="U138" s="651" t="n">
        <v>0</v>
      </c>
      <c r="V138" s="65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62" t="n">
        <v>4607091386004</v>
      </c>
      <c r="E139" s="616" t="n"/>
      <c r="F139" s="648" t="n">
        <v>1.35</v>
      </c>
      <c r="G139" s="38" t="n">
        <v>8</v>
      </c>
      <c r="H139" s="648" t="n">
        <v>10.8</v>
      </c>
      <c r="I139" s="64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2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50" t="n"/>
      <c r="O139" s="650" t="n"/>
      <c r="P139" s="650" t="n"/>
      <c r="Q139" s="616" t="n"/>
      <c r="R139" s="40" t="inlineStr"/>
      <c r="S139" s="40" t="inlineStr"/>
      <c r="T139" s="41" t="inlineStr">
        <is>
          <t>кг</t>
        </is>
      </c>
      <c r="U139" s="651" t="n">
        <v>0</v>
      </c>
      <c r="V139" s="65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62" t="n">
        <v>4607091386004</v>
      </c>
      <c r="E140" s="616" t="n"/>
      <c r="F140" s="648" t="n">
        <v>1.35</v>
      </c>
      <c r="G140" s="38" t="n">
        <v>8</v>
      </c>
      <c r="H140" s="648" t="n">
        <v>10.8</v>
      </c>
      <c r="I140" s="64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2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50" t="n"/>
      <c r="O140" s="650" t="n"/>
      <c r="P140" s="650" t="n"/>
      <c r="Q140" s="616" t="n"/>
      <c r="R140" s="40" t="inlineStr"/>
      <c r="S140" s="40" t="inlineStr"/>
      <c r="T140" s="41" t="inlineStr">
        <is>
          <t>кг</t>
        </is>
      </c>
      <c r="U140" s="651" t="n">
        <v>500</v>
      </c>
      <c r="V140" s="65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62" t="n">
        <v>4607091386073</v>
      </c>
      <c r="E141" s="616" t="n"/>
      <c r="F141" s="648" t="n">
        <v>0.9</v>
      </c>
      <c r="G141" s="38" t="n">
        <v>10</v>
      </c>
      <c r="H141" s="648" t="n">
        <v>9</v>
      </c>
      <c r="I141" s="64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2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50" t="n"/>
      <c r="O141" s="650" t="n"/>
      <c r="P141" s="650" t="n"/>
      <c r="Q141" s="616" t="n"/>
      <c r="R141" s="40" t="inlineStr"/>
      <c r="S141" s="40" t="inlineStr"/>
      <c r="T141" s="41" t="inlineStr">
        <is>
          <t>кг</t>
        </is>
      </c>
      <c r="U141" s="651" t="n">
        <v>0</v>
      </c>
      <c r="V141" s="65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62" t="n">
        <v>4607091387322</v>
      </c>
      <c r="E142" s="616" t="n"/>
      <c r="F142" s="648" t="n">
        <v>1.35</v>
      </c>
      <c r="G142" s="38" t="n">
        <v>8</v>
      </c>
      <c r="H142" s="648" t="n">
        <v>10.8</v>
      </c>
      <c r="I142" s="64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2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50" t="n"/>
      <c r="O142" s="650" t="n"/>
      <c r="P142" s="650" t="n"/>
      <c r="Q142" s="616" t="n"/>
      <c r="R142" s="40" t="inlineStr"/>
      <c r="S142" s="40" t="inlineStr"/>
      <c r="T142" s="41" t="inlineStr">
        <is>
          <t>кг</t>
        </is>
      </c>
      <c r="U142" s="651" t="n">
        <v>0</v>
      </c>
      <c r="V142" s="65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62" t="n">
        <v>4607091387322</v>
      </c>
      <c r="E143" s="616" t="n"/>
      <c r="F143" s="648" t="n">
        <v>1.35</v>
      </c>
      <c r="G143" s="38" t="n">
        <v>8</v>
      </c>
      <c r="H143" s="648" t="n">
        <v>10.8</v>
      </c>
      <c r="I143" s="64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50" t="n"/>
      <c r="O143" s="650" t="n"/>
      <c r="P143" s="650" t="n"/>
      <c r="Q143" s="616" t="n"/>
      <c r="R143" s="40" t="inlineStr"/>
      <c r="S143" s="40" t="inlineStr"/>
      <c r="T143" s="41" t="inlineStr">
        <is>
          <t>кг</t>
        </is>
      </c>
      <c r="U143" s="651" t="n">
        <v>0</v>
      </c>
      <c r="V143" s="65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62" t="n">
        <v>4607091387377</v>
      </c>
      <c r="E144" s="616" t="n"/>
      <c r="F144" s="648" t="n">
        <v>1.35</v>
      </c>
      <c r="G144" s="38" t="n">
        <v>8</v>
      </c>
      <c r="H144" s="648" t="n">
        <v>10.8</v>
      </c>
      <c r="I144" s="64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50" t="n"/>
      <c r="O144" s="650" t="n"/>
      <c r="P144" s="650" t="n"/>
      <c r="Q144" s="616" t="n"/>
      <c r="R144" s="40" t="inlineStr"/>
      <c r="S144" s="40" t="inlineStr"/>
      <c r="T144" s="41" t="inlineStr">
        <is>
          <t>кг</t>
        </is>
      </c>
      <c r="U144" s="651" t="n">
        <v>0</v>
      </c>
      <c r="V144" s="65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62" t="n">
        <v>4680115881402</v>
      </c>
      <c r="E145" s="616" t="n"/>
      <c r="F145" s="648" t="n">
        <v>1.35</v>
      </c>
      <c r="G145" s="38" t="n">
        <v>8</v>
      </c>
      <c r="H145" s="648" t="n">
        <v>10.8</v>
      </c>
      <c r="I145" s="64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9" t="inlineStr">
        <is>
          <t>Вареные колбасы "Сочинка" Весовой п/а ТМ "Стародворье"</t>
        </is>
      </c>
      <c r="N145" s="650" t="n"/>
      <c r="O145" s="650" t="n"/>
      <c r="P145" s="650" t="n"/>
      <c r="Q145" s="616" t="n"/>
      <c r="R145" s="40" t="inlineStr"/>
      <c r="S145" s="40" t="inlineStr"/>
      <c r="T145" s="41" t="inlineStr">
        <is>
          <t>кг</t>
        </is>
      </c>
      <c r="U145" s="651" t="n">
        <v>0</v>
      </c>
      <c r="V145" s="65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62" t="n">
        <v>4607091387353</v>
      </c>
      <c r="E146" s="616" t="n"/>
      <c r="F146" s="648" t="n">
        <v>1.35</v>
      </c>
      <c r="G146" s="38" t="n">
        <v>8</v>
      </c>
      <c r="H146" s="648" t="n">
        <v>10.8</v>
      </c>
      <c r="I146" s="64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3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50" t="n"/>
      <c r="O146" s="650" t="n"/>
      <c r="P146" s="650" t="n"/>
      <c r="Q146" s="616" t="n"/>
      <c r="R146" s="40" t="inlineStr"/>
      <c r="S146" s="40" t="inlineStr"/>
      <c r="T146" s="41" t="inlineStr">
        <is>
          <t>кг</t>
        </is>
      </c>
      <c r="U146" s="651" t="n">
        <v>0</v>
      </c>
      <c r="V146" s="65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62" t="n">
        <v>4607091386011</v>
      </c>
      <c r="E147" s="616" t="n"/>
      <c r="F147" s="648" t="n">
        <v>0.5</v>
      </c>
      <c r="G147" s="38" t="n">
        <v>10</v>
      </c>
      <c r="H147" s="648" t="n">
        <v>5</v>
      </c>
      <c r="I147" s="64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3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50" t="n"/>
      <c r="O147" s="650" t="n"/>
      <c r="P147" s="650" t="n"/>
      <c r="Q147" s="616" t="n"/>
      <c r="R147" s="40" t="inlineStr"/>
      <c r="S147" s="40" t="inlineStr"/>
      <c r="T147" s="41" t="inlineStr">
        <is>
          <t>кг</t>
        </is>
      </c>
      <c r="U147" s="651" t="n">
        <v>100</v>
      </c>
      <c r="V147" s="65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62" t="n">
        <v>4607091387308</v>
      </c>
      <c r="E148" s="616" t="n"/>
      <c r="F148" s="648" t="n">
        <v>0.5</v>
      </c>
      <c r="G148" s="38" t="n">
        <v>10</v>
      </c>
      <c r="H148" s="648" t="n">
        <v>5</v>
      </c>
      <c r="I148" s="64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3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50" t="n"/>
      <c r="O148" s="650" t="n"/>
      <c r="P148" s="650" t="n"/>
      <c r="Q148" s="616" t="n"/>
      <c r="R148" s="40" t="inlineStr"/>
      <c r="S148" s="40" t="inlineStr"/>
      <c r="T148" s="41" t="inlineStr">
        <is>
          <t>кг</t>
        </is>
      </c>
      <c r="U148" s="651" t="n">
        <v>0</v>
      </c>
      <c r="V148" s="65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62" t="n">
        <v>4607091387339</v>
      </c>
      <c r="E149" s="616" t="n"/>
      <c r="F149" s="648" t="n">
        <v>0.5</v>
      </c>
      <c r="G149" s="38" t="n">
        <v>10</v>
      </c>
      <c r="H149" s="648" t="n">
        <v>5</v>
      </c>
      <c r="I149" s="64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3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50" t="n"/>
      <c r="O149" s="650" t="n"/>
      <c r="P149" s="650" t="n"/>
      <c r="Q149" s="616" t="n"/>
      <c r="R149" s="40" t="inlineStr"/>
      <c r="S149" s="40" t="inlineStr"/>
      <c r="T149" s="41" t="inlineStr">
        <is>
          <t>кг</t>
        </is>
      </c>
      <c r="U149" s="651" t="n">
        <v>0</v>
      </c>
      <c r="V149" s="65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SU002894</t>
        </is>
      </c>
      <c r="B150" s="64" t="inlineStr">
        <is>
          <t>P003314</t>
        </is>
      </c>
      <c r="C150" s="37" t="n">
        <v>4301011573</v>
      </c>
      <c r="D150" s="362" t="n">
        <v>4680115881938</v>
      </c>
      <c r="E150" s="616" t="n"/>
      <c r="F150" s="648" t="n">
        <v>0.4</v>
      </c>
      <c r="G150" s="38" t="n">
        <v>10</v>
      </c>
      <c r="H150" s="648" t="n">
        <v>4</v>
      </c>
      <c r="I150" s="64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34" t="inlineStr">
        <is>
          <t>Вареные колбасы пастеризованная "Стародворская без шпика" Фикс.вес 0,4 п/а ТМ " Стародворье"</t>
        </is>
      </c>
      <c r="N150" s="650" t="n"/>
      <c r="O150" s="650" t="n"/>
      <c r="P150" s="650" t="n"/>
      <c r="Q150" s="616" t="n"/>
      <c r="R150" s="40" t="inlineStr"/>
      <c r="S150" s="40" t="inlineStr"/>
      <c r="T150" s="41" t="inlineStr">
        <is>
          <t>кг</t>
        </is>
      </c>
      <c r="U150" s="651" t="n">
        <v>0</v>
      </c>
      <c r="V150" s="65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62" t="n">
        <v>4680115881396</v>
      </c>
      <c r="E151" s="616" t="n"/>
      <c r="F151" s="648" t="n">
        <v>0.45</v>
      </c>
      <c r="G151" s="38" t="n">
        <v>6</v>
      </c>
      <c r="H151" s="648" t="n">
        <v>2.7</v>
      </c>
      <c r="I151" s="648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35" t="inlineStr">
        <is>
          <t>Вареные колбасы Сочинка с сочным окороком ТМ Стародворье ф/в 0,45 кг</t>
        </is>
      </c>
      <c r="N151" s="650" t="n"/>
      <c r="O151" s="650" t="n"/>
      <c r="P151" s="650" t="n"/>
      <c r="Q151" s="616" t="n"/>
      <c r="R151" s="40" t="inlineStr"/>
      <c r="S151" s="40" t="inlineStr"/>
      <c r="T151" s="41" t="inlineStr">
        <is>
          <t>кг</t>
        </is>
      </c>
      <c r="U151" s="651" t="n">
        <v>0</v>
      </c>
      <c r="V151" s="652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SU000078</t>
        </is>
      </c>
      <c r="B152" s="64" t="inlineStr">
        <is>
          <t>P001806</t>
        </is>
      </c>
      <c r="C152" s="37" t="n">
        <v>4301010944</v>
      </c>
      <c r="D152" s="362" t="n">
        <v>4607091387346</v>
      </c>
      <c r="E152" s="616" t="n"/>
      <c r="F152" s="648" t="n">
        <v>0.4</v>
      </c>
      <c r="G152" s="38" t="n">
        <v>10</v>
      </c>
      <c r="H152" s="648" t="n">
        <v>4</v>
      </c>
      <c r="I152" s="648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3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2" s="650" t="n"/>
      <c r="O152" s="650" t="n"/>
      <c r="P152" s="650" t="n"/>
      <c r="Q152" s="616" t="n"/>
      <c r="R152" s="40" t="inlineStr"/>
      <c r="S152" s="40" t="inlineStr"/>
      <c r="T152" s="41" t="inlineStr">
        <is>
          <t>кг</t>
        </is>
      </c>
      <c r="U152" s="651" t="n">
        <v>0</v>
      </c>
      <c r="V152" s="652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SU002616</t>
        </is>
      </c>
      <c r="B153" s="64" t="inlineStr">
        <is>
          <t>P002950</t>
        </is>
      </c>
      <c r="C153" s="37" t="n">
        <v>4301011353</v>
      </c>
      <c r="D153" s="362" t="n">
        <v>4607091389807</v>
      </c>
      <c r="E153" s="616" t="n"/>
      <c r="F153" s="648" t="n">
        <v>0.4</v>
      </c>
      <c r="G153" s="38" t="n">
        <v>10</v>
      </c>
      <c r="H153" s="648" t="n">
        <v>4</v>
      </c>
      <c r="I153" s="64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3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3" s="650" t="n"/>
      <c r="O153" s="650" t="n"/>
      <c r="P153" s="650" t="n"/>
      <c r="Q153" s="616" t="n"/>
      <c r="R153" s="40" t="inlineStr"/>
      <c r="S153" s="40" t="inlineStr"/>
      <c r="T153" s="41" t="inlineStr">
        <is>
          <t>кг</t>
        </is>
      </c>
      <c r="U153" s="651" t="n">
        <v>0</v>
      </c>
      <c r="V153" s="65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>
      <c r="A154" s="370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53" t="n"/>
      <c r="M154" s="654" t="inlineStr">
        <is>
          <t>Итого</t>
        </is>
      </c>
      <c r="N154" s="624" t="n"/>
      <c r="O154" s="624" t="n"/>
      <c r="P154" s="624" t="n"/>
      <c r="Q154" s="624" t="n"/>
      <c r="R154" s="624" t="n"/>
      <c r="S154" s="625" t="n"/>
      <c r="T154" s="43" t="inlineStr">
        <is>
          <t>кор</t>
        </is>
      </c>
      <c r="U154" s="65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/>
      </c>
      <c r="V154" s="65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/>
      </c>
      <c r="W154" s="65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/>
      </c>
      <c r="X154" s="656" t="n"/>
      <c r="Y154" s="65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53" t="n"/>
      <c r="M155" s="654" t="inlineStr">
        <is>
          <t>Итого</t>
        </is>
      </c>
      <c r="N155" s="624" t="n"/>
      <c r="O155" s="624" t="n"/>
      <c r="P155" s="624" t="n"/>
      <c r="Q155" s="624" t="n"/>
      <c r="R155" s="624" t="n"/>
      <c r="S155" s="625" t="n"/>
      <c r="T155" s="43" t="inlineStr">
        <is>
          <t>кг</t>
        </is>
      </c>
      <c r="U155" s="655">
        <f>IFERROR(SUM(U137:U153),"0")</f>
        <v/>
      </c>
      <c r="V155" s="655">
        <f>IFERROR(SUM(V137:V153),"0")</f>
        <v/>
      </c>
      <c r="W155" s="43" t="n"/>
      <c r="X155" s="656" t="n"/>
      <c r="Y155" s="656" t="n"/>
    </row>
    <row r="156" ht="14.25" customHeight="1">
      <c r="A156" s="361" t="inlineStr">
        <is>
          <t>Ветчины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61" t="n"/>
      <c r="Y156" s="361" t="n"/>
    </row>
    <row r="157" ht="27" customHeight="1">
      <c r="A157" s="64" t="inlineStr">
        <is>
          <t>SU002788</t>
        </is>
      </c>
      <c r="B157" s="64" t="inlineStr">
        <is>
          <t>P003190</t>
        </is>
      </c>
      <c r="C157" s="37" t="n">
        <v>4301020254</v>
      </c>
      <c r="D157" s="362" t="n">
        <v>4680115881914</v>
      </c>
      <c r="E157" s="616" t="n"/>
      <c r="F157" s="648" t="n">
        <v>0.4</v>
      </c>
      <c r="G157" s="38" t="n">
        <v>10</v>
      </c>
      <c r="H157" s="648" t="n">
        <v>4</v>
      </c>
      <c r="I157" s="648" t="n">
        <v>4.24</v>
      </c>
      <c r="J157" s="38" t="n">
        <v>120</v>
      </c>
      <c r="K157" s="39" t="inlineStr">
        <is>
          <t>СК1</t>
        </is>
      </c>
      <c r="L157" s="38" t="n">
        <v>90</v>
      </c>
      <c r="M157" s="738" t="inlineStr">
        <is>
          <t>Ветчины пастеризованная "Нежная с филе" Фикс.вес 0,4 п/а ТМ "Особый рецепт"</t>
        </is>
      </c>
      <c r="N157" s="650" t="n"/>
      <c r="O157" s="650" t="n"/>
      <c r="P157" s="650" t="n"/>
      <c r="Q157" s="616" t="n"/>
      <c r="R157" s="40" t="inlineStr"/>
      <c r="S157" s="40" t="inlineStr"/>
      <c r="T157" s="41" t="inlineStr">
        <is>
          <t>кг</t>
        </is>
      </c>
      <c r="U157" s="651" t="n">
        <v>0</v>
      </c>
      <c r="V157" s="65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154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62" t="n">
        <v>4680115880764</v>
      </c>
      <c r="E158" s="616" t="n"/>
      <c r="F158" s="648" t="n">
        <v>0.35</v>
      </c>
      <c r="G158" s="38" t="n">
        <v>6</v>
      </c>
      <c r="H158" s="648" t="n">
        <v>2.1</v>
      </c>
      <c r="I158" s="648" t="n">
        <v>2.3</v>
      </c>
      <c r="J158" s="38" t="n">
        <v>156</v>
      </c>
      <c r="K158" s="39" t="inlineStr">
        <is>
          <t>СК1</t>
        </is>
      </c>
      <c r="L158" s="38" t="n">
        <v>50</v>
      </c>
      <c r="M158" s="739" t="inlineStr">
        <is>
          <t>Ветчина Сочинка с сочным окороком ТМ Стародворье полиамид ф/в 0,35 кг</t>
        </is>
      </c>
      <c r="N158" s="650" t="n"/>
      <c r="O158" s="650" t="n"/>
      <c r="P158" s="650" t="n"/>
      <c r="Q158" s="616" t="n"/>
      <c r="R158" s="40" t="inlineStr"/>
      <c r="S158" s="40" t="inlineStr"/>
      <c r="T158" s="41" t="inlineStr">
        <is>
          <t>кг</t>
        </is>
      </c>
      <c r="U158" s="651" t="n">
        <v>0</v>
      </c>
      <c r="V158" s="652">
        <f>IFERROR(IF(U158="",0,CEILING((U158/$H158),1)*$H158),"")</f>
        <v/>
      </c>
      <c r="W158" s="42">
        <f>IFERROR(IF(V158=0,"",ROUNDUP(V158/H158,0)*0.00753),"")</f>
        <v/>
      </c>
      <c r="X158" s="69" t="inlineStr"/>
      <c r="Y158" s="70" t="inlineStr"/>
      <c r="AC158" s="155" t="inlineStr">
        <is>
          <t>КИ</t>
        </is>
      </c>
    </row>
    <row r="159">
      <c r="A159" s="370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53" t="n"/>
      <c r="M159" s="654" t="inlineStr">
        <is>
          <t>Итого</t>
        </is>
      </c>
      <c r="N159" s="624" t="n"/>
      <c r="O159" s="624" t="n"/>
      <c r="P159" s="624" t="n"/>
      <c r="Q159" s="624" t="n"/>
      <c r="R159" s="624" t="n"/>
      <c r="S159" s="625" t="n"/>
      <c r="T159" s="43" t="inlineStr">
        <is>
          <t>кор</t>
        </is>
      </c>
      <c r="U159" s="655">
        <f>IFERROR(U157/H157,"0")+IFERROR(U158/H158,"0")</f>
        <v/>
      </c>
      <c r="V159" s="655">
        <f>IFERROR(V157/H157,"0")+IFERROR(V158/H158,"0")</f>
        <v/>
      </c>
      <c r="W159" s="655">
        <f>IFERROR(IF(W157="",0,W157),"0")+IFERROR(IF(W158="",0,W158),"0")</f>
        <v/>
      </c>
      <c r="X159" s="656" t="n"/>
      <c r="Y159" s="656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53" t="n"/>
      <c r="M160" s="654" t="inlineStr">
        <is>
          <t>Итого</t>
        </is>
      </c>
      <c r="N160" s="624" t="n"/>
      <c r="O160" s="624" t="n"/>
      <c r="P160" s="624" t="n"/>
      <c r="Q160" s="624" t="n"/>
      <c r="R160" s="624" t="n"/>
      <c r="S160" s="625" t="n"/>
      <c r="T160" s="43" t="inlineStr">
        <is>
          <t>кг</t>
        </is>
      </c>
      <c r="U160" s="655">
        <f>IFERROR(SUM(U157:U158),"0")</f>
        <v/>
      </c>
      <c r="V160" s="655">
        <f>IFERROR(SUM(V157:V158),"0")</f>
        <v/>
      </c>
      <c r="W160" s="43" t="n"/>
      <c r="X160" s="656" t="n"/>
      <c r="Y160" s="656" t="n"/>
    </row>
    <row r="161" ht="14.25" customHeight="1">
      <c r="A161" s="361" t="inlineStr">
        <is>
          <t>Копченые колбасы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361" t="n"/>
      <c r="Y161" s="361" t="n"/>
    </row>
    <row r="162" ht="27" customHeight="1">
      <c r="A162" s="64" t="inlineStr">
        <is>
          <t>SU001820</t>
        </is>
      </c>
      <c r="B162" s="64" t="inlineStr">
        <is>
          <t>P001820</t>
        </is>
      </c>
      <c r="C162" s="37" t="n">
        <v>4301030878</v>
      </c>
      <c r="D162" s="362" t="n">
        <v>4607091387193</v>
      </c>
      <c r="E162" s="616" t="n"/>
      <c r="F162" s="648" t="n">
        <v>0.7</v>
      </c>
      <c r="G162" s="38" t="n">
        <v>6</v>
      </c>
      <c r="H162" s="648" t="n">
        <v>4.2</v>
      </c>
      <c r="I162" s="648" t="n">
        <v>4.46</v>
      </c>
      <c r="J162" s="38" t="n">
        <v>156</v>
      </c>
      <c r="K162" s="39" t="inlineStr">
        <is>
          <t>СК2</t>
        </is>
      </c>
      <c r="L162" s="38" t="n">
        <v>35</v>
      </c>
      <c r="M162" s="74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2" s="650" t="n"/>
      <c r="O162" s="650" t="n"/>
      <c r="P162" s="650" t="n"/>
      <c r="Q162" s="616" t="n"/>
      <c r="R162" s="40" t="inlineStr"/>
      <c r="S162" s="40" t="inlineStr"/>
      <c r="T162" s="41" t="inlineStr">
        <is>
          <t>кг</t>
        </is>
      </c>
      <c r="U162" s="651" t="n">
        <v>200</v>
      </c>
      <c r="V162" s="652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SU001822</t>
        </is>
      </c>
      <c r="B163" s="64" t="inlineStr">
        <is>
          <t>P003013</t>
        </is>
      </c>
      <c r="C163" s="37" t="n">
        <v>4301031153</v>
      </c>
      <c r="D163" s="362" t="n">
        <v>4607091387230</v>
      </c>
      <c r="E163" s="616" t="n"/>
      <c r="F163" s="648" t="n">
        <v>0.7</v>
      </c>
      <c r="G163" s="38" t="n">
        <v>6</v>
      </c>
      <c r="H163" s="648" t="n">
        <v>4.2</v>
      </c>
      <c r="I163" s="648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4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3" s="650" t="n"/>
      <c r="O163" s="650" t="n"/>
      <c r="P163" s="650" t="n"/>
      <c r="Q163" s="616" t="n"/>
      <c r="R163" s="40" t="inlineStr"/>
      <c r="S163" s="40" t="inlineStr"/>
      <c r="T163" s="41" t="inlineStr">
        <is>
          <t>кг</t>
        </is>
      </c>
      <c r="U163" s="651" t="n">
        <v>150</v>
      </c>
      <c r="V163" s="652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SU002756</t>
        </is>
      </c>
      <c r="B164" s="64" t="inlineStr">
        <is>
          <t>P003179</t>
        </is>
      </c>
      <c r="C164" s="37" t="n">
        <v>4301031191</v>
      </c>
      <c r="D164" s="362" t="n">
        <v>4680115880993</v>
      </c>
      <c r="E164" s="616" t="n"/>
      <c r="F164" s="648" t="n">
        <v>0.7</v>
      </c>
      <c r="G164" s="38" t="n">
        <v>6</v>
      </c>
      <c r="H164" s="648" t="n">
        <v>4.2</v>
      </c>
      <c r="I164" s="648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42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4" s="650" t="n"/>
      <c r="O164" s="650" t="n"/>
      <c r="P164" s="650" t="n"/>
      <c r="Q164" s="616" t="n"/>
      <c r="R164" s="40" t="inlineStr"/>
      <c r="S164" s="40" t="inlineStr"/>
      <c r="T164" s="41" t="inlineStr">
        <is>
          <t>кг</t>
        </is>
      </c>
      <c r="U164" s="651" t="n">
        <v>0</v>
      </c>
      <c r="V164" s="65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SU002876</t>
        </is>
      </c>
      <c r="B165" s="64" t="inlineStr">
        <is>
          <t>P003276</t>
        </is>
      </c>
      <c r="C165" s="37" t="n">
        <v>4301031204</v>
      </c>
      <c r="D165" s="362" t="n">
        <v>4680115881761</v>
      </c>
      <c r="E165" s="616" t="n"/>
      <c r="F165" s="648" t="n">
        <v>0.7</v>
      </c>
      <c r="G165" s="38" t="n">
        <v>6</v>
      </c>
      <c r="H165" s="648" t="n">
        <v>4.2</v>
      </c>
      <c r="I165" s="64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43" t="inlineStr">
        <is>
          <t>Копченые колбасы Салями Мясорубская с рубленым шпиком Бордо Весовой фиброуз Стародворье</t>
        </is>
      </c>
      <c r="N165" s="650" t="n"/>
      <c r="O165" s="650" t="n"/>
      <c r="P165" s="650" t="n"/>
      <c r="Q165" s="616" t="n"/>
      <c r="R165" s="40" t="inlineStr"/>
      <c r="S165" s="40" t="inlineStr"/>
      <c r="T165" s="41" t="inlineStr">
        <is>
          <t>кг</t>
        </is>
      </c>
      <c r="U165" s="651" t="n">
        <v>0</v>
      </c>
      <c r="V165" s="65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SU002847</t>
        </is>
      </c>
      <c r="B166" s="64" t="inlineStr">
        <is>
          <t>P003259</t>
        </is>
      </c>
      <c r="C166" s="37" t="n">
        <v>4301031201</v>
      </c>
      <c r="D166" s="362" t="n">
        <v>4680115881563</v>
      </c>
      <c r="E166" s="616" t="n"/>
      <c r="F166" s="648" t="n">
        <v>0.7</v>
      </c>
      <c r="G166" s="38" t="n">
        <v>6</v>
      </c>
      <c r="H166" s="648" t="n">
        <v>4.2</v>
      </c>
      <c r="I166" s="648" t="n">
        <v>4.4</v>
      </c>
      <c r="J166" s="38" t="n">
        <v>156</v>
      </c>
      <c r="K166" s="39" t="inlineStr">
        <is>
          <t>СК2</t>
        </is>
      </c>
      <c r="L166" s="38" t="n">
        <v>40</v>
      </c>
      <c r="M166" s="744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6" s="650" t="n"/>
      <c r="O166" s="650" t="n"/>
      <c r="P166" s="650" t="n"/>
      <c r="Q166" s="616" t="n"/>
      <c r="R166" s="40" t="inlineStr"/>
      <c r="S166" s="40" t="inlineStr"/>
      <c r="T166" s="41" t="inlineStr">
        <is>
          <t>кг</t>
        </is>
      </c>
      <c r="U166" s="651" t="n">
        <v>0</v>
      </c>
      <c r="V166" s="65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SU002941</t>
        </is>
      </c>
      <c r="B167" s="64" t="inlineStr">
        <is>
          <t>P003387</t>
        </is>
      </c>
      <c r="C167" s="37" t="n">
        <v>4301031224</v>
      </c>
      <c r="D167" s="362" t="n">
        <v>4680115882683</v>
      </c>
      <c r="E167" s="616" t="n"/>
      <c r="F167" s="648" t="n">
        <v>0.9</v>
      </c>
      <c r="G167" s="38" t="n">
        <v>6</v>
      </c>
      <c r="H167" s="648" t="n">
        <v>5.4</v>
      </c>
      <c r="I167" s="648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45" t="inlineStr">
        <is>
          <t>В/к колбасы "Сочинка по-европейски с сочной грудинкой" Весовой фиброуз ТМ "Стародворье"</t>
        </is>
      </c>
      <c r="N167" s="650" t="n"/>
      <c r="O167" s="650" t="n"/>
      <c r="P167" s="650" t="n"/>
      <c r="Q167" s="616" t="n"/>
      <c r="R167" s="40" t="inlineStr"/>
      <c r="S167" s="40" t="inlineStr"/>
      <c r="T167" s="41" t="inlineStr">
        <is>
          <t>кг</t>
        </is>
      </c>
      <c r="U167" s="651" t="n">
        <v>0</v>
      </c>
      <c r="V167" s="652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SU002943</t>
        </is>
      </c>
      <c r="B168" s="64" t="inlineStr">
        <is>
          <t>P003401</t>
        </is>
      </c>
      <c r="C168" s="37" t="n">
        <v>4301031230</v>
      </c>
      <c r="D168" s="362" t="n">
        <v>4680115882690</v>
      </c>
      <c r="E168" s="616" t="n"/>
      <c r="F168" s="648" t="n">
        <v>0.9</v>
      </c>
      <c r="G168" s="38" t="n">
        <v>6</v>
      </c>
      <c r="H168" s="648" t="n">
        <v>5.4</v>
      </c>
      <c r="I168" s="648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46" t="inlineStr">
        <is>
          <t>В/к колбасы "Сочинка по-фински с сочным окороком" Весовой фиброуз ТМ "Стародворье"</t>
        </is>
      </c>
      <c r="N168" s="650" t="n"/>
      <c r="O168" s="650" t="n"/>
      <c r="P168" s="650" t="n"/>
      <c r="Q168" s="616" t="n"/>
      <c r="R168" s="40" t="inlineStr"/>
      <c r="S168" s="40" t="inlineStr"/>
      <c r="T168" s="41" t="inlineStr">
        <is>
          <t>кг</t>
        </is>
      </c>
      <c r="U168" s="651" t="n">
        <v>0</v>
      </c>
      <c r="V168" s="652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SU002945</t>
        </is>
      </c>
      <c r="B169" s="64" t="inlineStr">
        <is>
          <t>P003383</t>
        </is>
      </c>
      <c r="C169" s="37" t="n">
        <v>4301031220</v>
      </c>
      <c r="D169" s="362" t="n">
        <v>4680115882669</v>
      </c>
      <c r="E169" s="616" t="n"/>
      <c r="F169" s="648" t="n">
        <v>0.9</v>
      </c>
      <c r="G169" s="38" t="n">
        <v>6</v>
      </c>
      <c r="H169" s="648" t="n">
        <v>5.4</v>
      </c>
      <c r="I169" s="64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7" t="inlineStr">
        <is>
          <t>П/к колбасы "Сочинка зернистая с сочной грудинкой" Весовой фиброуз ТМ "Стародворье"</t>
        </is>
      </c>
      <c r="N169" s="650" t="n"/>
      <c r="O169" s="650" t="n"/>
      <c r="P169" s="650" t="n"/>
      <c r="Q169" s="616" t="n"/>
      <c r="R169" s="40" t="inlineStr"/>
      <c r="S169" s="40" t="inlineStr"/>
      <c r="T169" s="41" t="inlineStr">
        <is>
          <t>кг</t>
        </is>
      </c>
      <c r="U169" s="651" t="n">
        <v>0</v>
      </c>
      <c r="V169" s="65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SU002947</t>
        </is>
      </c>
      <c r="B170" s="64" t="inlineStr">
        <is>
          <t>P003384</t>
        </is>
      </c>
      <c r="C170" s="37" t="n">
        <v>4301031221</v>
      </c>
      <c r="D170" s="362" t="n">
        <v>4680115882676</v>
      </c>
      <c r="E170" s="616" t="n"/>
      <c r="F170" s="648" t="n">
        <v>0.9</v>
      </c>
      <c r="G170" s="38" t="n">
        <v>6</v>
      </c>
      <c r="H170" s="648" t="n">
        <v>5.4</v>
      </c>
      <c r="I170" s="64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48" t="inlineStr">
        <is>
          <t>П/к колбасы "Сочинка рубленая с сочным окороком" Весовой фиброуз ТМ "Стародворье"</t>
        </is>
      </c>
      <c r="N170" s="650" t="n"/>
      <c r="O170" s="650" t="n"/>
      <c r="P170" s="650" t="n"/>
      <c r="Q170" s="616" t="n"/>
      <c r="R170" s="40" t="inlineStr"/>
      <c r="S170" s="40" t="inlineStr"/>
      <c r="T170" s="41" t="inlineStr">
        <is>
          <t>кг</t>
        </is>
      </c>
      <c r="U170" s="651" t="n">
        <v>0</v>
      </c>
      <c r="V170" s="65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SU002579</t>
        </is>
      </c>
      <c r="B171" s="64" t="inlineStr">
        <is>
          <t>P003012</t>
        </is>
      </c>
      <c r="C171" s="37" t="n">
        <v>4301031152</v>
      </c>
      <c r="D171" s="362" t="n">
        <v>4607091387285</v>
      </c>
      <c r="E171" s="616" t="n"/>
      <c r="F171" s="648" t="n">
        <v>0.35</v>
      </c>
      <c r="G171" s="38" t="n">
        <v>6</v>
      </c>
      <c r="H171" s="648" t="n">
        <v>2.1</v>
      </c>
      <c r="I171" s="648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1" s="650" t="n"/>
      <c r="O171" s="650" t="n"/>
      <c r="P171" s="650" t="n"/>
      <c r="Q171" s="616" t="n"/>
      <c r="R171" s="40" t="inlineStr"/>
      <c r="S171" s="40" t="inlineStr"/>
      <c r="T171" s="41" t="inlineStr">
        <is>
          <t>кг</t>
        </is>
      </c>
      <c r="U171" s="651" t="n">
        <v>0</v>
      </c>
      <c r="V171" s="652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SU002660</t>
        </is>
      </c>
      <c r="B172" s="64" t="inlineStr">
        <is>
          <t>P003256</t>
        </is>
      </c>
      <c r="C172" s="37" t="n">
        <v>4301031199</v>
      </c>
      <c r="D172" s="362" t="n">
        <v>4680115880986</v>
      </c>
      <c r="E172" s="616" t="n"/>
      <c r="F172" s="648" t="n">
        <v>0.35</v>
      </c>
      <c r="G172" s="38" t="n">
        <v>6</v>
      </c>
      <c r="H172" s="648" t="n">
        <v>2.1</v>
      </c>
      <c r="I172" s="648" t="n">
        <v>2.23</v>
      </c>
      <c r="J172" s="38" t="n">
        <v>234</v>
      </c>
      <c r="K172" s="39" t="inlineStr">
        <is>
          <t>СК2</t>
        </is>
      </c>
      <c r="L172" s="38" t="n">
        <v>40</v>
      </c>
      <c r="M172" s="750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2" s="650" t="n"/>
      <c r="O172" s="650" t="n"/>
      <c r="P172" s="650" t="n"/>
      <c r="Q172" s="616" t="n"/>
      <c r="R172" s="40" t="inlineStr"/>
      <c r="S172" s="40" t="inlineStr"/>
      <c r="T172" s="41" t="inlineStr">
        <is>
          <t>кг</t>
        </is>
      </c>
      <c r="U172" s="651" t="n">
        <v>0</v>
      </c>
      <c r="V172" s="652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SU002826</t>
        </is>
      </c>
      <c r="B173" s="64" t="inlineStr">
        <is>
          <t>P003178</t>
        </is>
      </c>
      <c r="C173" s="37" t="n">
        <v>4301031190</v>
      </c>
      <c r="D173" s="362" t="n">
        <v>4680115880207</v>
      </c>
      <c r="E173" s="616" t="n"/>
      <c r="F173" s="648" t="n">
        <v>0.4</v>
      </c>
      <c r="G173" s="38" t="n">
        <v>6</v>
      </c>
      <c r="H173" s="648" t="n">
        <v>2.4</v>
      </c>
      <c r="I173" s="648" t="n">
        <v>2.63</v>
      </c>
      <c r="J173" s="38" t="n">
        <v>156</v>
      </c>
      <c r="K173" s="39" t="inlineStr">
        <is>
          <t>СК2</t>
        </is>
      </c>
      <c r="L173" s="38" t="n">
        <v>40</v>
      </c>
      <c r="M173" s="751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3" s="650" t="n"/>
      <c r="O173" s="650" t="n"/>
      <c r="P173" s="650" t="n"/>
      <c r="Q173" s="616" t="n"/>
      <c r="R173" s="40" t="inlineStr"/>
      <c r="S173" s="40" t="inlineStr"/>
      <c r="T173" s="41" t="inlineStr">
        <is>
          <t>кг</t>
        </is>
      </c>
      <c r="U173" s="651" t="n">
        <v>0</v>
      </c>
      <c r="V173" s="65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SU002877</t>
        </is>
      </c>
      <c r="B174" s="64" t="inlineStr">
        <is>
          <t>P003277</t>
        </is>
      </c>
      <c r="C174" s="37" t="n">
        <v>4301031205</v>
      </c>
      <c r="D174" s="362" t="n">
        <v>4680115881785</v>
      </c>
      <c r="E174" s="616" t="n"/>
      <c r="F174" s="648" t="n">
        <v>0.35</v>
      </c>
      <c r="G174" s="38" t="n">
        <v>6</v>
      </c>
      <c r="H174" s="648" t="n">
        <v>2.1</v>
      </c>
      <c r="I174" s="64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52" t="inlineStr">
        <is>
          <t>Копченые колбасы Салями Мясорубская с рубленым шпиком срез Бордо ф/в 0,35 фиброуз Стародворье</t>
        </is>
      </c>
      <c r="N174" s="650" t="n"/>
      <c r="O174" s="650" t="n"/>
      <c r="P174" s="650" t="n"/>
      <c r="Q174" s="616" t="n"/>
      <c r="R174" s="40" t="inlineStr"/>
      <c r="S174" s="40" t="inlineStr"/>
      <c r="T174" s="41" t="inlineStr">
        <is>
          <t>кг</t>
        </is>
      </c>
      <c r="U174" s="651" t="n">
        <v>0</v>
      </c>
      <c r="V174" s="65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SU002848</t>
        </is>
      </c>
      <c r="B175" s="64" t="inlineStr">
        <is>
          <t>P003260</t>
        </is>
      </c>
      <c r="C175" s="37" t="n">
        <v>4301031202</v>
      </c>
      <c r="D175" s="362" t="n">
        <v>4680115881679</v>
      </c>
      <c r="E175" s="616" t="n"/>
      <c r="F175" s="648" t="n">
        <v>0.35</v>
      </c>
      <c r="G175" s="38" t="n">
        <v>6</v>
      </c>
      <c r="H175" s="648" t="n">
        <v>2.1</v>
      </c>
      <c r="I175" s="648" t="n">
        <v>2.2</v>
      </c>
      <c r="J175" s="38" t="n">
        <v>234</v>
      </c>
      <c r="K175" s="39" t="inlineStr">
        <is>
          <t>СК2</t>
        </is>
      </c>
      <c r="L175" s="38" t="n">
        <v>40</v>
      </c>
      <c r="M175" s="753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5" s="650" t="n"/>
      <c r="O175" s="650" t="n"/>
      <c r="P175" s="650" t="n"/>
      <c r="Q175" s="616" t="n"/>
      <c r="R175" s="40" t="inlineStr"/>
      <c r="S175" s="40" t="inlineStr"/>
      <c r="T175" s="41" t="inlineStr">
        <is>
          <t>кг</t>
        </is>
      </c>
      <c r="U175" s="651" t="n">
        <v>0</v>
      </c>
      <c r="V175" s="652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SU002659</t>
        </is>
      </c>
      <c r="B176" s="64" t="inlineStr">
        <is>
          <t>P003034</t>
        </is>
      </c>
      <c r="C176" s="37" t="n">
        <v>4301031158</v>
      </c>
      <c r="D176" s="362" t="n">
        <v>4680115880191</v>
      </c>
      <c r="E176" s="616" t="n"/>
      <c r="F176" s="648" t="n">
        <v>0.4</v>
      </c>
      <c r="G176" s="38" t="n">
        <v>6</v>
      </c>
      <c r="H176" s="648" t="n">
        <v>2.4</v>
      </c>
      <c r="I176" s="648" t="n">
        <v>2.5</v>
      </c>
      <c r="J176" s="38" t="n">
        <v>234</v>
      </c>
      <c r="K176" s="39" t="inlineStr">
        <is>
          <t>СК2</t>
        </is>
      </c>
      <c r="L176" s="38" t="n">
        <v>40</v>
      </c>
      <c r="M176" s="754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6" s="650" t="n"/>
      <c r="O176" s="650" t="n"/>
      <c r="P176" s="650" t="n"/>
      <c r="Q176" s="616" t="n"/>
      <c r="R176" s="40" t="inlineStr"/>
      <c r="S176" s="40" t="inlineStr"/>
      <c r="T176" s="41" t="inlineStr">
        <is>
          <t>кг</t>
        </is>
      </c>
      <c r="U176" s="651" t="n">
        <v>0</v>
      </c>
      <c r="V176" s="65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SU002617</t>
        </is>
      </c>
      <c r="B177" s="64" t="inlineStr">
        <is>
          <t>P002951</t>
        </is>
      </c>
      <c r="C177" s="37" t="n">
        <v>4301031151</v>
      </c>
      <c r="D177" s="362" t="n">
        <v>4607091389845</v>
      </c>
      <c r="E177" s="616" t="n"/>
      <c r="F177" s="648" t="n">
        <v>0.35</v>
      </c>
      <c r="G177" s="38" t="n">
        <v>6</v>
      </c>
      <c r="H177" s="648" t="n">
        <v>2.1</v>
      </c>
      <c r="I177" s="64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5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7" s="650" t="n"/>
      <c r="O177" s="650" t="n"/>
      <c r="P177" s="650" t="n"/>
      <c r="Q177" s="616" t="n"/>
      <c r="R177" s="40" t="inlineStr"/>
      <c r="S177" s="40" t="inlineStr"/>
      <c r="T177" s="41" t="inlineStr">
        <is>
          <t>кг</t>
        </is>
      </c>
      <c r="U177" s="651" t="n">
        <v>0</v>
      </c>
      <c r="V177" s="65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>
      <c r="A178" s="370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53" t="n"/>
      <c r="M178" s="654" t="inlineStr">
        <is>
          <t>Итого</t>
        </is>
      </c>
      <c r="N178" s="624" t="n"/>
      <c r="O178" s="624" t="n"/>
      <c r="P178" s="624" t="n"/>
      <c r="Q178" s="624" t="n"/>
      <c r="R178" s="624" t="n"/>
      <c r="S178" s="625" t="n"/>
      <c r="T178" s="43" t="inlineStr">
        <is>
          <t>кор</t>
        </is>
      </c>
      <c r="U178" s="655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/>
      </c>
      <c r="V178" s="655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/>
      </c>
      <c r="W178" s="655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/>
      </c>
      <c r="X178" s="656" t="n"/>
      <c r="Y178" s="656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653" t="n"/>
      <c r="M179" s="654" t="inlineStr">
        <is>
          <t>Итого</t>
        </is>
      </c>
      <c r="N179" s="624" t="n"/>
      <c r="O179" s="624" t="n"/>
      <c r="P179" s="624" t="n"/>
      <c r="Q179" s="624" t="n"/>
      <c r="R179" s="624" t="n"/>
      <c r="S179" s="625" t="n"/>
      <c r="T179" s="43" t="inlineStr">
        <is>
          <t>кг</t>
        </is>
      </c>
      <c r="U179" s="655">
        <f>IFERROR(SUM(U162:U177),"0")</f>
        <v/>
      </c>
      <c r="V179" s="655">
        <f>IFERROR(SUM(V162:V177),"0")</f>
        <v/>
      </c>
      <c r="W179" s="43" t="n"/>
      <c r="X179" s="656" t="n"/>
      <c r="Y179" s="656" t="n"/>
    </row>
    <row r="180" ht="14.25" customHeight="1">
      <c r="A180" s="361" t="inlineStr">
        <is>
          <t>Сосиски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361" t="n"/>
      <c r="Y180" s="361" t="n"/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62" t="n">
        <v>4680115882607</v>
      </c>
      <c r="E181" s="616" t="n"/>
      <c r="F181" s="648" t="n">
        <v>0.3</v>
      </c>
      <c r="G181" s="38" t="n">
        <v>6</v>
      </c>
      <c r="H181" s="648" t="n">
        <v>1.8</v>
      </c>
      <c r="I181" s="648" t="n">
        <v>2.072</v>
      </c>
      <c r="J181" s="38" t="n">
        <v>156</v>
      </c>
      <c r="K181" s="39" t="inlineStr">
        <is>
          <t>СК3</t>
        </is>
      </c>
      <c r="L181" s="38" t="n">
        <v>45</v>
      </c>
      <c r="M181" s="756" t="inlineStr">
        <is>
          <t>Сосиски "Сочинки с сочной грудинкой" Фикс.вес 0,3 П/а мгс ТМ "Стародворье"</t>
        </is>
      </c>
      <c r="N181" s="650" t="n"/>
      <c r="O181" s="650" t="n"/>
      <c r="P181" s="650" t="n"/>
      <c r="Q181" s="616" t="n"/>
      <c r="R181" s="40" t="inlineStr"/>
      <c r="S181" s="40" t="inlineStr"/>
      <c r="T181" s="41" t="inlineStr">
        <is>
          <t>кг</t>
        </is>
      </c>
      <c r="U181" s="651" t="n">
        <v>0</v>
      </c>
      <c r="V181" s="65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>
        <is>
          <t>Новинка</t>
        </is>
      </c>
      <c r="AC181" s="172" t="inlineStr">
        <is>
          <t>КИ</t>
        </is>
      </c>
    </row>
    <row r="182" ht="16.5" customHeight="1">
      <c r="A182" s="64" t="inlineStr">
        <is>
          <t>SU003073</t>
        </is>
      </c>
      <c r="B182" s="64" t="inlineStr">
        <is>
          <t>P003613</t>
        </is>
      </c>
      <c r="C182" s="37" t="n">
        <v>4301051523</v>
      </c>
      <c r="D182" s="362" t="n">
        <v>4680115882942</v>
      </c>
      <c r="E182" s="616" t="n"/>
      <c r="F182" s="648" t="n">
        <v>0.3</v>
      </c>
      <c r="G182" s="38" t="n">
        <v>6</v>
      </c>
      <c r="H182" s="648" t="n">
        <v>1.8</v>
      </c>
      <c r="I182" s="648" t="n">
        <v>2.072</v>
      </c>
      <c r="J182" s="38" t="n">
        <v>156</v>
      </c>
      <c r="K182" s="39" t="inlineStr">
        <is>
          <t>СК2</t>
        </is>
      </c>
      <c r="L182" s="38" t="n">
        <v>40</v>
      </c>
      <c r="M182" s="757" t="inlineStr">
        <is>
          <t>Сосиски "Сочинки с сыром" ф/в 0,3 кг п/а ТМ "Стародворье"</t>
        </is>
      </c>
      <c r="N182" s="650" t="n"/>
      <c r="O182" s="650" t="n"/>
      <c r="P182" s="650" t="n"/>
      <c r="Q182" s="616" t="n"/>
      <c r="R182" s="40" t="inlineStr"/>
      <c r="S182" s="40" t="inlineStr"/>
      <c r="T182" s="41" t="inlineStr">
        <is>
          <t>кг</t>
        </is>
      </c>
      <c r="U182" s="651" t="n">
        <v>0</v>
      </c>
      <c r="V182" s="652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>
        <is>
          <t>Новинка</t>
        </is>
      </c>
      <c r="AC182" s="173" t="inlineStr">
        <is>
          <t>КИ</t>
        </is>
      </c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62" t="n">
        <v>4680115881556</v>
      </c>
      <c r="E183" s="616" t="n"/>
      <c r="F183" s="648" t="n">
        <v>1</v>
      </c>
      <c r="G183" s="38" t="n">
        <v>4</v>
      </c>
      <c r="H183" s="648" t="n">
        <v>4</v>
      </c>
      <c r="I183" s="64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58" t="inlineStr">
        <is>
          <t>Сосиски Сочинки по-баварски ТМ Стародворье полиамид мгс вес СК3</t>
        </is>
      </c>
      <c r="N183" s="650" t="n"/>
      <c r="O183" s="650" t="n"/>
      <c r="P183" s="650" t="n"/>
      <c r="Q183" s="616" t="n"/>
      <c r="R183" s="40" t="inlineStr"/>
      <c r="S183" s="40" t="inlineStr"/>
      <c r="T183" s="41" t="inlineStr">
        <is>
          <t>кг</t>
        </is>
      </c>
      <c r="U183" s="651" t="n">
        <v>0</v>
      </c>
      <c r="V183" s="65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62" t="n">
        <v>4607091387766</v>
      </c>
      <c r="E184" s="616" t="n"/>
      <c r="F184" s="648" t="n">
        <v>1.35</v>
      </c>
      <c r="G184" s="38" t="n">
        <v>6</v>
      </c>
      <c r="H184" s="648" t="n">
        <v>8.1</v>
      </c>
      <c r="I184" s="64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5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50" t="n"/>
      <c r="O184" s="650" t="n"/>
      <c r="P184" s="650" t="n"/>
      <c r="Q184" s="616" t="n"/>
      <c r="R184" s="40" t="inlineStr"/>
      <c r="S184" s="40" t="inlineStr"/>
      <c r="T184" s="41" t="inlineStr">
        <is>
          <t>кг</t>
        </is>
      </c>
      <c r="U184" s="651" t="n">
        <v>5500</v>
      </c>
      <c r="V184" s="65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62" t="n">
        <v>4607091387957</v>
      </c>
      <c r="E185" s="616" t="n"/>
      <c r="F185" s="648" t="n">
        <v>1.3</v>
      </c>
      <c r="G185" s="38" t="n">
        <v>6</v>
      </c>
      <c r="H185" s="648" t="n">
        <v>7.8</v>
      </c>
      <c r="I185" s="64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6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50" t="n"/>
      <c r="O185" s="650" t="n"/>
      <c r="P185" s="650" t="n"/>
      <c r="Q185" s="616" t="n"/>
      <c r="R185" s="40" t="inlineStr"/>
      <c r="S185" s="40" t="inlineStr"/>
      <c r="T185" s="41" t="inlineStr">
        <is>
          <t>кг</t>
        </is>
      </c>
      <c r="U185" s="651" t="n">
        <v>0</v>
      </c>
      <c r="V185" s="65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62" t="n">
        <v>4607091387964</v>
      </c>
      <c r="E186" s="616" t="n"/>
      <c r="F186" s="648" t="n">
        <v>1.35</v>
      </c>
      <c r="G186" s="38" t="n">
        <v>6</v>
      </c>
      <c r="H186" s="648" t="n">
        <v>8.1</v>
      </c>
      <c r="I186" s="64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6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50" t="n"/>
      <c r="O186" s="650" t="n"/>
      <c r="P186" s="650" t="n"/>
      <c r="Q186" s="616" t="n"/>
      <c r="R186" s="40" t="inlineStr"/>
      <c r="S186" s="40" t="inlineStr"/>
      <c r="T186" s="41" t="inlineStr">
        <is>
          <t>кг</t>
        </is>
      </c>
      <c r="U186" s="651" t="n">
        <v>0</v>
      </c>
      <c r="V186" s="65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62" t="n">
        <v>4680115880573</v>
      </c>
      <c r="E187" s="616" t="n"/>
      <c r="F187" s="648" t="n">
        <v>1.3</v>
      </c>
      <c r="G187" s="38" t="n">
        <v>6</v>
      </c>
      <c r="H187" s="648" t="n">
        <v>7.8</v>
      </c>
      <c r="I187" s="64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62" t="inlineStr">
        <is>
          <t>Сосиски "Сочинки" Весовой п/а ТМ "Стародворье"</t>
        </is>
      </c>
      <c r="N187" s="650" t="n"/>
      <c r="O187" s="650" t="n"/>
      <c r="P187" s="650" t="n"/>
      <c r="Q187" s="616" t="n"/>
      <c r="R187" s="40" t="inlineStr"/>
      <c r="S187" s="40" t="inlineStr"/>
      <c r="T187" s="41" t="inlineStr">
        <is>
          <t>кг</t>
        </is>
      </c>
      <c r="U187" s="651" t="n">
        <v>0</v>
      </c>
      <c r="V187" s="65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62" t="n">
        <v>4680115881594</v>
      </c>
      <c r="E188" s="616" t="n"/>
      <c r="F188" s="648" t="n">
        <v>1.35</v>
      </c>
      <c r="G188" s="38" t="n">
        <v>6</v>
      </c>
      <c r="H188" s="648" t="n">
        <v>8.1</v>
      </c>
      <c r="I188" s="64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63" t="inlineStr">
        <is>
          <t>Сосиски "Сочинки Молочные" Весовой п/а мгс ТМ "Стародворье"</t>
        </is>
      </c>
      <c r="N188" s="650" t="n"/>
      <c r="O188" s="650" t="n"/>
      <c r="P188" s="650" t="n"/>
      <c r="Q188" s="616" t="n"/>
      <c r="R188" s="40" t="inlineStr"/>
      <c r="S188" s="40" t="inlineStr"/>
      <c r="T188" s="41" t="inlineStr">
        <is>
          <t>кг</t>
        </is>
      </c>
      <c r="U188" s="651" t="n">
        <v>0</v>
      </c>
      <c r="V188" s="65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62" t="n">
        <v>4680115881587</v>
      </c>
      <c r="E189" s="616" t="n"/>
      <c r="F189" s="648" t="n">
        <v>1</v>
      </c>
      <c r="G189" s="38" t="n">
        <v>4</v>
      </c>
      <c r="H189" s="648" t="n">
        <v>4</v>
      </c>
      <c r="I189" s="64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64" t="inlineStr">
        <is>
          <t>Сосиски Сочинки по-баварски с сыром Бордо Весовой п/а Стародворье</t>
        </is>
      </c>
      <c r="N189" s="650" t="n"/>
      <c r="O189" s="650" t="n"/>
      <c r="P189" s="650" t="n"/>
      <c r="Q189" s="616" t="n"/>
      <c r="R189" s="40" t="inlineStr"/>
      <c r="S189" s="40" t="inlineStr"/>
      <c r="T189" s="41" t="inlineStr">
        <is>
          <t>кг</t>
        </is>
      </c>
      <c r="U189" s="651" t="n">
        <v>0</v>
      </c>
      <c r="V189" s="65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62" t="n">
        <v>4680115880962</v>
      </c>
      <c r="E190" s="616" t="n"/>
      <c r="F190" s="648" t="n">
        <v>1.3</v>
      </c>
      <c r="G190" s="38" t="n">
        <v>6</v>
      </c>
      <c r="H190" s="648" t="n">
        <v>7.8</v>
      </c>
      <c r="I190" s="64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65" t="inlineStr">
        <is>
          <t>Сосиски Сочинки с сыром Бордо Весовой п/а Стародворье</t>
        </is>
      </c>
      <c r="N190" s="650" t="n"/>
      <c r="O190" s="650" t="n"/>
      <c r="P190" s="650" t="n"/>
      <c r="Q190" s="616" t="n"/>
      <c r="R190" s="40" t="inlineStr"/>
      <c r="S190" s="40" t="inlineStr"/>
      <c r="T190" s="41" t="inlineStr">
        <is>
          <t>кг</t>
        </is>
      </c>
      <c r="U190" s="651" t="n">
        <v>0</v>
      </c>
      <c r="V190" s="65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62" t="n">
        <v>4680115881617</v>
      </c>
      <c r="E191" s="616" t="n"/>
      <c r="F191" s="648" t="n">
        <v>1.35</v>
      </c>
      <c r="G191" s="38" t="n">
        <v>6</v>
      </c>
      <c r="H191" s="648" t="n">
        <v>8.1</v>
      </c>
      <c r="I191" s="64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66" t="inlineStr">
        <is>
          <t>Сосиски "Сочинки Сливочные" Весовые ТМ "Стародворье" 1,35 кг</t>
        </is>
      </c>
      <c r="N191" s="650" t="n"/>
      <c r="O191" s="650" t="n"/>
      <c r="P191" s="650" t="n"/>
      <c r="Q191" s="616" t="n"/>
      <c r="R191" s="40" t="inlineStr"/>
      <c r="S191" s="40" t="inlineStr"/>
      <c r="T191" s="41" t="inlineStr">
        <is>
          <t>кг</t>
        </is>
      </c>
      <c r="U191" s="651" t="n">
        <v>0</v>
      </c>
      <c r="V191" s="65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62" t="n">
        <v>4680115881228</v>
      </c>
      <c r="E192" s="616" t="n"/>
      <c r="F192" s="648" t="n">
        <v>0.4</v>
      </c>
      <c r="G192" s="38" t="n">
        <v>6</v>
      </c>
      <c r="H192" s="648" t="n">
        <v>2.4</v>
      </c>
      <c r="I192" s="64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6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50" t="n"/>
      <c r="O192" s="650" t="n"/>
      <c r="P192" s="650" t="n"/>
      <c r="Q192" s="616" t="n"/>
      <c r="R192" s="40" t="inlineStr"/>
      <c r="S192" s="40" t="inlineStr"/>
      <c r="T192" s="41" t="inlineStr">
        <is>
          <t>кг</t>
        </is>
      </c>
      <c r="U192" s="651" t="n">
        <v>0</v>
      </c>
      <c r="V192" s="65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62" t="n">
        <v>4680115881037</v>
      </c>
      <c r="E193" s="616" t="n"/>
      <c r="F193" s="648" t="n">
        <v>0.84</v>
      </c>
      <c r="G193" s="38" t="n">
        <v>4</v>
      </c>
      <c r="H193" s="648" t="n">
        <v>3.36</v>
      </c>
      <c r="I193" s="64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68" t="inlineStr">
        <is>
          <t>Сосиски Сочинки по-баварски с сыром ТМ Стародворье полиамид мгс ф/в 0,84 кг СК3</t>
        </is>
      </c>
      <c r="N193" s="650" t="n"/>
      <c r="O193" s="650" t="n"/>
      <c r="P193" s="650" t="n"/>
      <c r="Q193" s="616" t="n"/>
      <c r="R193" s="40" t="inlineStr"/>
      <c r="S193" s="40" t="inlineStr"/>
      <c r="T193" s="41" t="inlineStr">
        <is>
          <t>кг</t>
        </is>
      </c>
      <c r="U193" s="651" t="n">
        <v>0</v>
      </c>
      <c r="V193" s="65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62" t="n">
        <v>4680115881211</v>
      </c>
      <c r="E194" s="616" t="n"/>
      <c r="F194" s="648" t="n">
        <v>0.4</v>
      </c>
      <c r="G194" s="38" t="n">
        <v>6</v>
      </c>
      <c r="H194" s="648" t="n">
        <v>2.4</v>
      </c>
      <c r="I194" s="64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69" t="inlineStr">
        <is>
          <t>Сосиски Сочинки по-баварски Бавария Фикс.вес 0,4 П/а мгс Стародворье</t>
        </is>
      </c>
      <c r="N194" s="650" t="n"/>
      <c r="O194" s="650" t="n"/>
      <c r="P194" s="650" t="n"/>
      <c r="Q194" s="616" t="n"/>
      <c r="R194" s="40" t="inlineStr"/>
      <c r="S194" s="40" t="inlineStr"/>
      <c r="T194" s="41" t="inlineStr">
        <is>
          <t>кг</t>
        </is>
      </c>
      <c r="U194" s="651" t="n">
        <v>0</v>
      </c>
      <c r="V194" s="65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62" t="n">
        <v>4680115881020</v>
      </c>
      <c r="E195" s="616" t="n"/>
      <c r="F195" s="648" t="n">
        <v>0.84</v>
      </c>
      <c r="G195" s="38" t="n">
        <v>4</v>
      </c>
      <c r="H195" s="648" t="n">
        <v>3.36</v>
      </c>
      <c r="I195" s="64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70" t="inlineStr">
        <is>
          <t>Сосиски Сочинки по-баварски Бавария Фикс.вес 0,84 П/а мгс Стародворье</t>
        </is>
      </c>
      <c r="N195" s="650" t="n"/>
      <c r="O195" s="650" t="n"/>
      <c r="P195" s="650" t="n"/>
      <c r="Q195" s="616" t="n"/>
      <c r="R195" s="40" t="inlineStr"/>
      <c r="S195" s="40" t="inlineStr"/>
      <c r="T195" s="41" t="inlineStr">
        <is>
          <t>кг</t>
        </is>
      </c>
      <c r="U195" s="651" t="n">
        <v>0</v>
      </c>
      <c r="V195" s="65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62" t="n">
        <v>4607091381672</v>
      </c>
      <c r="E196" s="616" t="n"/>
      <c r="F196" s="648" t="n">
        <v>0.6</v>
      </c>
      <c r="G196" s="38" t="n">
        <v>6</v>
      </c>
      <c r="H196" s="648" t="n">
        <v>3.6</v>
      </c>
      <c r="I196" s="64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7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50" t="n"/>
      <c r="O196" s="650" t="n"/>
      <c r="P196" s="650" t="n"/>
      <c r="Q196" s="616" t="n"/>
      <c r="R196" s="40" t="inlineStr"/>
      <c r="S196" s="40" t="inlineStr"/>
      <c r="T196" s="41" t="inlineStr">
        <is>
          <t>кг</t>
        </is>
      </c>
      <c r="U196" s="651" t="n">
        <v>0</v>
      </c>
      <c r="V196" s="65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62" t="n">
        <v>4607091387537</v>
      </c>
      <c r="E197" s="616" t="n"/>
      <c r="F197" s="648" t="n">
        <v>0.45</v>
      </c>
      <c r="G197" s="38" t="n">
        <v>6</v>
      </c>
      <c r="H197" s="648" t="n">
        <v>2.7</v>
      </c>
      <c r="I197" s="64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7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50" t="n"/>
      <c r="O197" s="650" t="n"/>
      <c r="P197" s="650" t="n"/>
      <c r="Q197" s="616" t="n"/>
      <c r="R197" s="40" t="inlineStr"/>
      <c r="S197" s="40" t="inlineStr"/>
      <c r="T197" s="41" t="inlineStr">
        <is>
          <t>кг</t>
        </is>
      </c>
      <c r="U197" s="651" t="n">
        <v>0</v>
      </c>
      <c r="V197" s="65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62" t="n">
        <v>4607091387513</v>
      </c>
      <c r="E198" s="616" t="n"/>
      <c r="F198" s="648" t="n">
        <v>0.45</v>
      </c>
      <c r="G198" s="38" t="n">
        <v>6</v>
      </c>
      <c r="H198" s="648" t="n">
        <v>2.7</v>
      </c>
      <c r="I198" s="64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7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50" t="n"/>
      <c r="O198" s="650" t="n"/>
      <c r="P198" s="650" t="n"/>
      <c r="Q198" s="616" t="n"/>
      <c r="R198" s="40" t="inlineStr"/>
      <c r="S198" s="40" t="inlineStr"/>
      <c r="T198" s="41" t="inlineStr">
        <is>
          <t>кг</t>
        </is>
      </c>
      <c r="U198" s="651" t="n">
        <v>0</v>
      </c>
      <c r="V198" s="65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62" t="n">
        <v>4680115882195</v>
      </c>
      <c r="E199" s="616" t="n"/>
      <c r="F199" s="648" t="n">
        <v>0.4</v>
      </c>
      <c r="G199" s="38" t="n">
        <v>6</v>
      </c>
      <c r="H199" s="648" t="n">
        <v>2.4</v>
      </c>
      <c r="I199" s="64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74" t="inlineStr">
        <is>
          <t>Сосиски "Сочинки Молочные" Фикс.вес 0,4 п/а мгс ТМ "Стародворье"</t>
        </is>
      </c>
      <c r="N199" s="650" t="n"/>
      <c r="O199" s="650" t="n"/>
      <c r="P199" s="650" t="n"/>
      <c r="Q199" s="616" t="n"/>
      <c r="R199" s="40" t="inlineStr"/>
      <c r="S199" s="40" t="inlineStr"/>
      <c r="T199" s="41" t="inlineStr">
        <is>
          <t>кг</t>
        </is>
      </c>
      <c r="U199" s="651" t="n">
        <v>0</v>
      </c>
      <c r="V199" s="65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SU002618</t>
        </is>
      </c>
      <c r="B200" s="64" t="inlineStr">
        <is>
          <t>P003398</t>
        </is>
      </c>
      <c r="C200" s="37" t="n">
        <v>4301051468</v>
      </c>
      <c r="D200" s="362" t="n">
        <v>4680115880092</v>
      </c>
      <c r="E200" s="616" t="n"/>
      <c r="F200" s="648" t="n">
        <v>0.4</v>
      </c>
      <c r="G200" s="38" t="n">
        <v>6</v>
      </c>
      <c r="H200" s="648" t="n">
        <v>2.4</v>
      </c>
      <c r="I200" s="648" t="n">
        <v>2.672</v>
      </c>
      <c r="J200" s="38" t="n">
        <v>156</v>
      </c>
      <c r="K200" s="39" t="inlineStr">
        <is>
          <t>СК3</t>
        </is>
      </c>
      <c r="L200" s="38" t="n">
        <v>45</v>
      </c>
      <c r="M200" s="775" t="inlineStr">
        <is>
          <t>Сосиски "Сочинки с сочной грудинкой" Фикс.вес 0,4 П/а мгс ТМ "Стародворье"</t>
        </is>
      </c>
      <c r="N200" s="650" t="n"/>
      <c r="O200" s="650" t="n"/>
      <c r="P200" s="650" t="n"/>
      <c r="Q200" s="616" t="n"/>
      <c r="R200" s="40" t="inlineStr"/>
      <c r="S200" s="40" t="inlineStr"/>
      <c r="T200" s="41" t="inlineStr">
        <is>
          <t>кг</t>
        </is>
      </c>
      <c r="U200" s="651" t="n">
        <v>0</v>
      </c>
      <c r="V200" s="65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SU002621</t>
        </is>
      </c>
      <c r="B201" s="64" t="inlineStr">
        <is>
          <t>P003399</t>
        </is>
      </c>
      <c r="C201" s="37" t="n">
        <v>4301051469</v>
      </c>
      <c r="D201" s="362" t="n">
        <v>4680115880221</v>
      </c>
      <c r="E201" s="616" t="n"/>
      <c r="F201" s="648" t="n">
        <v>0.4</v>
      </c>
      <c r="G201" s="38" t="n">
        <v>6</v>
      </c>
      <c r="H201" s="648" t="n">
        <v>2.4</v>
      </c>
      <c r="I201" s="64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76" t="inlineStr">
        <is>
          <t>Сосиски Сочинки с сочным окороком Бордо Фикс.вес 0,4 П/а мгс Стародворье</t>
        </is>
      </c>
      <c r="N201" s="650" t="n"/>
      <c r="O201" s="650" t="n"/>
      <c r="P201" s="650" t="n"/>
      <c r="Q201" s="616" t="n"/>
      <c r="R201" s="40" t="inlineStr"/>
      <c r="S201" s="40" t="inlineStr"/>
      <c r="T201" s="41" t="inlineStr">
        <is>
          <t>кг</t>
        </is>
      </c>
      <c r="U201" s="651" t="n">
        <v>0</v>
      </c>
      <c r="V201" s="65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16.5" customHeight="1">
      <c r="A202" s="64" t="inlineStr">
        <is>
          <t>SU002686</t>
        </is>
      </c>
      <c r="B202" s="64" t="inlineStr">
        <is>
          <t>P003071</t>
        </is>
      </c>
      <c r="C202" s="37" t="n">
        <v>4301051326</v>
      </c>
      <c r="D202" s="362" t="n">
        <v>4680115880504</v>
      </c>
      <c r="E202" s="616" t="n"/>
      <c r="F202" s="648" t="n">
        <v>0.4</v>
      </c>
      <c r="G202" s="38" t="n">
        <v>6</v>
      </c>
      <c r="H202" s="648" t="n">
        <v>2.4</v>
      </c>
      <c r="I202" s="648" t="n">
        <v>2.672</v>
      </c>
      <c r="J202" s="38" t="n">
        <v>156</v>
      </c>
      <c r="K202" s="39" t="inlineStr">
        <is>
          <t>СК2</t>
        </is>
      </c>
      <c r="L202" s="38" t="n">
        <v>40</v>
      </c>
      <c r="M202" s="777">
        <f>HYPERLINK("https://abi.ru/products/Охлажденные/Стародворье/Бордо/Сосиски/P003071/","Сосиски Сочинки с сыром Бордо ф/в 0,4 кг п/а Стародворье")</f>
        <v/>
      </c>
      <c r="N202" s="650" t="n"/>
      <c r="O202" s="650" t="n"/>
      <c r="P202" s="650" t="n"/>
      <c r="Q202" s="616" t="n"/>
      <c r="R202" s="40" t="inlineStr"/>
      <c r="S202" s="40" t="inlineStr"/>
      <c r="T202" s="41" t="inlineStr">
        <is>
          <t>кг</t>
        </is>
      </c>
      <c r="U202" s="651" t="n">
        <v>0</v>
      </c>
      <c r="V202" s="65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27" customHeight="1">
      <c r="A203" s="64" t="inlineStr">
        <is>
          <t>SU002844</t>
        </is>
      </c>
      <c r="B203" s="64" t="inlineStr">
        <is>
          <t>P003265</t>
        </is>
      </c>
      <c r="C203" s="37" t="n">
        <v>4301051410</v>
      </c>
      <c r="D203" s="362" t="n">
        <v>4680115882164</v>
      </c>
      <c r="E203" s="616" t="n"/>
      <c r="F203" s="648" t="n">
        <v>0.4</v>
      </c>
      <c r="G203" s="38" t="n">
        <v>6</v>
      </c>
      <c r="H203" s="648" t="n">
        <v>2.4</v>
      </c>
      <c r="I203" s="648" t="n">
        <v>2.678</v>
      </c>
      <c r="J203" s="38" t="n">
        <v>156</v>
      </c>
      <c r="K203" s="39" t="inlineStr">
        <is>
          <t>СК3</t>
        </is>
      </c>
      <c r="L203" s="38" t="n">
        <v>40</v>
      </c>
      <c r="M203" s="778" t="inlineStr">
        <is>
          <t>Сосиски "Сочинки Сливочные" Фикс.вес 0,4 п/а мгс ТМ "Стародворье"</t>
        </is>
      </c>
      <c r="N203" s="650" t="n"/>
      <c r="O203" s="650" t="n"/>
      <c r="P203" s="650" t="n"/>
      <c r="Q203" s="616" t="n"/>
      <c r="R203" s="40" t="inlineStr"/>
      <c r="S203" s="40" t="inlineStr"/>
      <c r="T203" s="41" t="inlineStr">
        <is>
          <t>кг</t>
        </is>
      </c>
      <c r="U203" s="651" t="n">
        <v>0</v>
      </c>
      <c r="V203" s="65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>
      <c r="A204" s="370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53" t="n"/>
      <c r="M204" s="654" t="inlineStr">
        <is>
          <t>Итого</t>
        </is>
      </c>
      <c r="N204" s="624" t="n"/>
      <c r="O204" s="624" t="n"/>
      <c r="P204" s="624" t="n"/>
      <c r="Q204" s="624" t="n"/>
      <c r="R204" s="624" t="n"/>
      <c r="S204" s="625" t="n"/>
      <c r="T204" s="43" t="inlineStr">
        <is>
          <t>кор</t>
        </is>
      </c>
      <c r="U204" s="655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55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55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56" t="n"/>
      <c r="Y204" s="65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53" t="n"/>
      <c r="M205" s="654" t="inlineStr">
        <is>
          <t>Итого</t>
        </is>
      </c>
      <c r="N205" s="624" t="n"/>
      <c r="O205" s="624" t="n"/>
      <c r="P205" s="624" t="n"/>
      <c r="Q205" s="624" t="n"/>
      <c r="R205" s="624" t="n"/>
      <c r="S205" s="625" t="n"/>
      <c r="T205" s="43" t="inlineStr">
        <is>
          <t>кг</t>
        </is>
      </c>
      <c r="U205" s="655">
        <f>IFERROR(SUM(U181:U203),"0")</f>
        <v/>
      </c>
      <c r="V205" s="655">
        <f>IFERROR(SUM(V181:V203),"0")</f>
        <v/>
      </c>
      <c r="W205" s="43" t="n"/>
      <c r="X205" s="656" t="n"/>
      <c r="Y205" s="656" t="n"/>
    </row>
    <row r="206" ht="14.25" customHeight="1">
      <c r="A206" s="361" t="inlineStr">
        <is>
          <t>Сардельки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61" t="n"/>
      <c r="Y206" s="361" t="n"/>
    </row>
    <row r="207" ht="16.5" customHeight="1">
      <c r="A207" s="64" t="inlineStr">
        <is>
          <t>SU001051</t>
        </is>
      </c>
      <c r="B207" s="64" t="inlineStr">
        <is>
          <t>P002061</t>
        </is>
      </c>
      <c r="C207" s="37" t="n">
        <v>4301060326</v>
      </c>
      <c r="D207" s="362" t="n">
        <v>4607091380880</v>
      </c>
      <c r="E207" s="616" t="n"/>
      <c r="F207" s="648" t="n">
        <v>1.4</v>
      </c>
      <c r="G207" s="38" t="n">
        <v>6</v>
      </c>
      <c r="H207" s="648" t="n">
        <v>8.4</v>
      </c>
      <c r="I207" s="648" t="n">
        <v>8.964</v>
      </c>
      <c r="J207" s="38" t="n">
        <v>56</v>
      </c>
      <c r="K207" s="39" t="inlineStr">
        <is>
          <t>СК2</t>
        </is>
      </c>
      <c r="L207" s="38" t="n">
        <v>30</v>
      </c>
      <c r="M207" s="779">
        <f>HYPERLINK("https://abi.ru/products/Охлажденные/Стародворье/Бордо/Сардельки/P002061/","Сардельки Нежные Бордо Весовые н/о мгс Стародворье")</f>
        <v/>
      </c>
      <c r="N207" s="650" t="n"/>
      <c r="O207" s="650" t="n"/>
      <c r="P207" s="650" t="n"/>
      <c r="Q207" s="616" t="n"/>
      <c r="R207" s="40" t="inlineStr"/>
      <c r="S207" s="40" t="inlineStr"/>
      <c r="T207" s="41" t="inlineStr">
        <is>
          <t>кг</t>
        </is>
      </c>
      <c r="U207" s="651" t="n">
        <v>0</v>
      </c>
      <c r="V207" s="652">
        <f>IFERROR(IF(U207="",0,CEILING((U207/$H207),1)*$H207),"")</f>
        <v/>
      </c>
      <c r="W207" s="42">
        <f>IFERROR(IF(V207=0,"",ROUNDUP(V207/H207,0)*0.02175),"")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SU000227</t>
        </is>
      </c>
      <c r="B208" s="64" t="inlineStr">
        <is>
          <t>P002536</t>
        </is>
      </c>
      <c r="C208" s="37" t="n">
        <v>4301060308</v>
      </c>
      <c r="D208" s="362" t="n">
        <v>4607091384482</v>
      </c>
      <c r="E208" s="616" t="n"/>
      <c r="F208" s="648" t="n">
        <v>1.3</v>
      </c>
      <c r="G208" s="38" t="n">
        <v>6</v>
      </c>
      <c r="H208" s="648" t="n">
        <v>7.8</v>
      </c>
      <c r="I208" s="648" t="n">
        <v>8.364000000000001</v>
      </c>
      <c r="J208" s="38" t="n">
        <v>56</v>
      </c>
      <c r="K208" s="39" t="inlineStr">
        <is>
          <t>СК2</t>
        </is>
      </c>
      <c r="L208" s="38" t="n">
        <v>30</v>
      </c>
      <c r="M208" s="78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8" s="650" t="n"/>
      <c r="O208" s="650" t="n"/>
      <c r="P208" s="650" t="n"/>
      <c r="Q208" s="616" t="n"/>
      <c r="R208" s="40" t="inlineStr"/>
      <c r="S208" s="40" t="inlineStr"/>
      <c r="T208" s="41" t="inlineStr">
        <is>
          <t>кг</t>
        </is>
      </c>
      <c r="U208" s="651" t="n">
        <v>130</v>
      </c>
      <c r="V208" s="652">
        <f>IFERROR(IF(U208="",0,CEILING((U208/$H208),1)*$H208),"")</f>
        <v/>
      </c>
      <c r="W208" s="42">
        <f>IFERROR(IF(V208=0,"",ROUNDUP(V208/H208,0)*0.02175),"")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SU001430</t>
        </is>
      </c>
      <c r="B209" s="64" t="inlineStr">
        <is>
          <t>P002036</t>
        </is>
      </c>
      <c r="C209" s="37" t="n">
        <v>4301060325</v>
      </c>
      <c r="D209" s="362" t="n">
        <v>4607091380897</v>
      </c>
      <c r="E209" s="616" t="n"/>
      <c r="F209" s="648" t="n">
        <v>1.4</v>
      </c>
      <c r="G209" s="38" t="n">
        <v>6</v>
      </c>
      <c r="H209" s="648" t="n">
        <v>8.4</v>
      </c>
      <c r="I209" s="64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781">
        <f>HYPERLINK("https://abi.ru/products/Охлажденные/Стародворье/Бордо/Сардельки/P002036/","Сардельки Шпикачки Бордо Весовые NDX мгс Стародворье")</f>
        <v/>
      </c>
      <c r="N209" s="650" t="n"/>
      <c r="O209" s="650" t="n"/>
      <c r="P209" s="650" t="n"/>
      <c r="Q209" s="616" t="n"/>
      <c r="R209" s="40" t="inlineStr"/>
      <c r="S209" s="40" t="inlineStr"/>
      <c r="T209" s="41" t="inlineStr">
        <is>
          <t>кг</t>
        </is>
      </c>
      <c r="U209" s="651" t="n">
        <v>0</v>
      </c>
      <c r="V209" s="65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16.5" customHeight="1">
      <c r="A210" s="64" t="inlineStr">
        <is>
          <t>SU002758</t>
        </is>
      </c>
      <c r="B210" s="64" t="inlineStr">
        <is>
          <t>P003129</t>
        </is>
      </c>
      <c r="C210" s="37" t="n">
        <v>4301060338</v>
      </c>
      <c r="D210" s="362" t="n">
        <v>4680115880801</v>
      </c>
      <c r="E210" s="616" t="n"/>
      <c r="F210" s="648" t="n">
        <v>0.4</v>
      </c>
      <c r="G210" s="38" t="n">
        <v>6</v>
      </c>
      <c r="H210" s="648" t="n">
        <v>2.4</v>
      </c>
      <c r="I210" s="648" t="n">
        <v>2.672</v>
      </c>
      <c r="J210" s="38" t="n">
        <v>156</v>
      </c>
      <c r="K210" s="39" t="inlineStr">
        <is>
          <t>СК2</t>
        </is>
      </c>
      <c r="L210" s="38" t="n">
        <v>40</v>
      </c>
      <c r="M210" s="782" t="inlineStr">
        <is>
          <t>Сардельки Сочинки с сочным окороком ТМ Стародворье полиамид мгс ф/в 0,4 кг СК3</t>
        </is>
      </c>
      <c r="N210" s="650" t="n"/>
      <c r="O210" s="650" t="n"/>
      <c r="P210" s="650" t="n"/>
      <c r="Q210" s="616" t="n"/>
      <c r="R210" s="40" t="inlineStr"/>
      <c r="S210" s="40" t="inlineStr"/>
      <c r="T210" s="41" t="inlineStr">
        <is>
          <t>кг</t>
        </is>
      </c>
      <c r="U210" s="651" t="n">
        <v>0</v>
      </c>
      <c r="V210" s="652">
        <f>IFERROR(IF(U210="",0,CEILING((U210/$H210),1)*$H210),"")</f>
        <v/>
      </c>
      <c r="W210" s="42">
        <f>IFERROR(IF(V210=0,"",ROUNDUP(V210/H210,0)*0.00753),"")</f>
        <v/>
      </c>
      <c r="X210" s="69" t="inlineStr"/>
      <c r="Y210" s="70" t="inlineStr"/>
      <c r="AC210" s="198" t="inlineStr">
        <is>
          <t>КИ</t>
        </is>
      </c>
    </row>
    <row r="211" ht="27" customHeight="1">
      <c r="A211" s="64" t="inlineStr">
        <is>
          <t>SU002759</t>
        </is>
      </c>
      <c r="B211" s="64" t="inlineStr">
        <is>
          <t>P003130</t>
        </is>
      </c>
      <c r="C211" s="37" t="n">
        <v>4301060339</v>
      </c>
      <c r="D211" s="362" t="n">
        <v>4680115880818</v>
      </c>
      <c r="E211" s="616" t="n"/>
      <c r="F211" s="648" t="n">
        <v>0.4</v>
      </c>
      <c r="G211" s="38" t="n">
        <v>6</v>
      </c>
      <c r="H211" s="648" t="n">
        <v>2.4</v>
      </c>
      <c r="I211" s="648" t="n">
        <v>2.672</v>
      </c>
      <c r="J211" s="38" t="n">
        <v>156</v>
      </c>
      <c r="K211" s="39" t="inlineStr">
        <is>
          <t>СК2</t>
        </is>
      </c>
      <c r="L211" s="38" t="n">
        <v>40</v>
      </c>
      <c r="M211" s="783" t="inlineStr">
        <is>
          <t>Сардельки Сочинки с сыром Бордо Фикс.вес 0,4 п/а Стародворье</t>
        </is>
      </c>
      <c r="N211" s="650" t="n"/>
      <c r="O211" s="650" t="n"/>
      <c r="P211" s="650" t="n"/>
      <c r="Q211" s="616" t="n"/>
      <c r="R211" s="40" t="inlineStr"/>
      <c r="S211" s="40" t="inlineStr"/>
      <c r="T211" s="41" t="inlineStr">
        <is>
          <t>кг</t>
        </is>
      </c>
      <c r="U211" s="651" t="n">
        <v>0</v>
      </c>
      <c r="V211" s="65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SU002691</t>
        </is>
      </c>
      <c r="B212" s="64" t="inlineStr">
        <is>
          <t>P003055</t>
        </is>
      </c>
      <c r="C212" s="37" t="n">
        <v>4301060337</v>
      </c>
      <c r="D212" s="362" t="n">
        <v>4680115880368</v>
      </c>
      <c r="E212" s="616" t="n"/>
      <c r="F212" s="648" t="n">
        <v>1</v>
      </c>
      <c r="G212" s="38" t="n">
        <v>4</v>
      </c>
      <c r="H212" s="648" t="n">
        <v>4</v>
      </c>
      <c r="I212" s="648" t="n">
        <v>4.36</v>
      </c>
      <c r="J212" s="38" t="n">
        <v>104</v>
      </c>
      <c r="K212" s="39" t="inlineStr">
        <is>
          <t>СК3</t>
        </is>
      </c>
      <c r="L212" s="38" t="n">
        <v>40</v>
      </c>
      <c r="M212" s="784" t="inlineStr">
        <is>
          <t>Сардельки Царедворские Бордо ф/в 1 кг п/а Стародворье</t>
        </is>
      </c>
      <c r="N212" s="650" t="n"/>
      <c r="O212" s="650" t="n"/>
      <c r="P212" s="650" t="n"/>
      <c r="Q212" s="616" t="n"/>
      <c r="R212" s="40" t="inlineStr"/>
      <c r="S212" s="40" t="inlineStr"/>
      <c r="T212" s="41" t="inlineStr">
        <is>
          <t>кг</t>
        </is>
      </c>
      <c r="U212" s="651" t="n">
        <v>0</v>
      </c>
      <c r="V212" s="652">
        <f>IFERROR(IF(U212="",0,CEILING((U212/$H212),1)*$H212),"")</f>
        <v/>
      </c>
      <c r="W212" s="42">
        <f>IFERROR(IF(V212=0,"",ROUNDUP(V212/H212,0)*0.01196),"")</f>
        <v/>
      </c>
      <c r="X212" s="69" t="inlineStr"/>
      <c r="Y212" s="70" t="inlineStr"/>
      <c r="AC212" s="200" t="inlineStr">
        <is>
          <t>КИ</t>
        </is>
      </c>
    </row>
    <row r="213">
      <c r="A213" s="370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53" t="n"/>
      <c r="M213" s="654" t="inlineStr">
        <is>
          <t>Итого</t>
        </is>
      </c>
      <c r="N213" s="624" t="n"/>
      <c r="O213" s="624" t="n"/>
      <c r="P213" s="624" t="n"/>
      <c r="Q213" s="624" t="n"/>
      <c r="R213" s="624" t="n"/>
      <c r="S213" s="625" t="n"/>
      <c r="T213" s="43" t="inlineStr">
        <is>
          <t>кор</t>
        </is>
      </c>
      <c r="U213" s="655">
        <f>IFERROR(U207/H207,"0")+IFERROR(U208/H208,"0")+IFERROR(U209/H209,"0")+IFERROR(U210/H210,"0")+IFERROR(U211/H211,"0")+IFERROR(U212/H212,"0")</f>
        <v/>
      </c>
      <c r="V213" s="655">
        <f>IFERROR(V207/H207,"0")+IFERROR(V208/H208,"0")+IFERROR(V209/H209,"0")+IFERROR(V210/H210,"0")+IFERROR(V211/H211,"0")+IFERROR(V212/H212,"0")</f>
        <v/>
      </c>
      <c r="W213" s="655">
        <f>IFERROR(IF(W207="",0,W207),"0")+IFERROR(IF(W208="",0,W208),"0")+IFERROR(IF(W209="",0,W209),"0")+IFERROR(IF(W210="",0,W210),"0")+IFERROR(IF(W211="",0,W211),"0")+IFERROR(IF(W212="",0,W212),"0")</f>
        <v/>
      </c>
      <c r="X213" s="656" t="n"/>
      <c r="Y213" s="656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53" t="n"/>
      <c r="M214" s="654" t="inlineStr">
        <is>
          <t>Итого</t>
        </is>
      </c>
      <c r="N214" s="624" t="n"/>
      <c r="O214" s="624" t="n"/>
      <c r="P214" s="624" t="n"/>
      <c r="Q214" s="624" t="n"/>
      <c r="R214" s="624" t="n"/>
      <c r="S214" s="625" t="n"/>
      <c r="T214" s="43" t="inlineStr">
        <is>
          <t>кг</t>
        </is>
      </c>
      <c r="U214" s="655">
        <f>IFERROR(SUM(U207:U212),"0")</f>
        <v/>
      </c>
      <c r="V214" s="655">
        <f>IFERROR(SUM(V207:V212),"0")</f>
        <v/>
      </c>
      <c r="W214" s="43" t="n"/>
      <c r="X214" s="656" t="n"/>
      <c r="Y214" s="656" t="n"/>
    </row>
    <row r="215" ht="14.25" customHeight="1">
      <c r="A215" s="361" t="inlineStr">
        <is>
          <t>Сырокопченые колбасы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361" t="n"/>
      <c r="Y215" s="361" t="n"/>
    </row>
    <row r="216" ht="16.5" customHeight="1">
      <c r="A216" s="64" t="inlineStr">
        <is>
          <t>SU001920</t>
        </is>
      </c>
      <c r="B216" s="64" t="inlineStr">
        <is>
          <t>P001900</t>
        </is>
      </c>
      <c r="C216" s="37" t="n">
        <v>4301030232</v>
      </c>
      <c r="D216" s="362" t="n">
        <v>4607091388374</v>
      </c>
      <c r="E216" s="616" t="n"/>
      <c r="F216" s="648" t="n">
        <v>0.38</v>
      </c>
      <c r="G216" s="38" t="n">
        <v>8</v>
      </c>
      <c r="H216" s="648" t="n">
        <v>3.04</v>
      </c>
      <c r="I216" s="648" t="n">
        <v>3.28</v>
      </c>
      <c r="J216" s="38" t="n">
        <v>156</v>
      </c>
      <c r="K216" s="39" t="inlineStr">
        <is>
          <t>АК</t>
        </is>
      </c>
      <c r="L216" s="38" t="n">
        <v>180</v>
      </c>
      <c r="M216" s="785" t="inlineStr">
        <is>
          <t>С/к колбасы Княжеская Бордо Весовые б/о терм/п Стародворье</t>
        </is>
      </c>
      <c r="N216" s="650" t="n"/>
      <c r="O216" s="650" t="n"/>
      <c r="P216" s="650" t="n"/>
      <c r="Q216" s="616" t="n"/>
      <c r="R216" s="40" t="inlineStr"/>
      <c r="S216" s="40" t="inlineStr"/>
      <c r="T216" s="41" t="inlineStr">
        <is>
          <t>кг</t>
        </is>
      </c>
      <c r="U216" s="651" t="n">
        <v>0</v>
      </c>
      <c r="V216" s="652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201" t="inlineStr">
        <is>
          <t>КИ</t>
        </is>
      </c>
    </row>
    <row r="217" ht="27" customHeight="1">
      <c r="A217" s="64" t="inlineStr">
        <is>
          <t>SU001921</t>
        </is>
      </c>
      <c r="B217" s="64" t="inlineStr">
        <is>
          <t>P001916</t>
        </is>
      </c>
      <c r="C217" s="37" t="n">
        <v>4301030235</v>
      </c>
      <c r="D217" s="362" t="n">
        <v>4607091388381</v>
      </c>
      <c r="E217" s="616" t="n"/>
      <c r="F217" s="648" t="n">
        <v>0.38</v>
      </c>
      <c r="G217" s="38" t="n">
        <v>8</v>
      </c>
      <c r="H217" s="648" t="n">
        <v>3.04</v>
      </c>
      <c r="I217" s="648" t="n">
        <v>3.32</v>
      </c>
      <c r="J217" s="38" t="n">
        <v>156</v>
      </c>
      <c r="K217" s="39" t="inlineStr">
        <is>
          <t>АК</t>
        </is>
      </c>
      <c r="L217" s="38" t="n">
        <v>180</v>
      </c>
      <c r="M217" s="786" t="inlineStr">
        <is>
          <t>С/к колбасы Салями Охотничья Бордо Весовые б/о терм/п 180 Стародворье</t>
        </is>
      </c>
      <c r="N217" s="650" t="n"/>
      <c r="O217" s="650" t="n"/>
      <c r="P217" s="650" t="n"/>
      <c r="Q217" s="616" t="n"/>
      <c r="R217" s="40" t="inlineStr"/>
      <c r="S217" s="40" t="inlineStr"/>
      <c r="T217" s="41" t="inlineStr">
        <is>
          <t>кг</t>
        </is>
      </c>
      <c r="U217" s="651" t="n">
        <v>10</v>
      </c>
      <c r="V217" s="652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202" t="inlineStr">
        <is>
          <t>КИ</t>
        </is>
      </c>
    </row>
    <row r="218" ht="27" customHeight="1">
      <c r="A218" s="64" t="inlineStr">
        <is>
          <t>SU001869</t>
        </is>
      </c>
      <c r="B218" s="64" t="inlineStr">
        <is>
          <t>P001909</t>
        </is>
      </c>
      <c r="C218" s="37" t="n">
        <v>4301030233</v>
      </c>
      <c r="D218" s="362" t="n">
        <v>4607091388404</v>
      </c>
      <c r="E218" s="616" t="n"/>
      <c r="F218" s="648" t="n">
        <v>0.17</v>
      </c>
      <c r="G218" s="38" t="n">
        <v>15</v>
      </c>
      <c r="H218" s="648" t="n">
        <v>2.55</v>
      </c>
      <c r="I218" s="648" t="n">
        <v>2.9</v>
      </c>
      <c r="J218" s="38" t="n">
        <v>156</v>
      </c>
      <c r="K218" s="39" t="inlineStr">
        <is>
          <t>АК</t>
        </is>
      </c>
      <c r="L218" s="38" t="n">
        <v>180</v>
      </c>
      <c r="M218" s="78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8" s="650" t="n"/>
      <c r="O218" s="650" t="n"/>
      <c r="P218" s="650" t="n"/>
      <c r="Q218" s="616" t="n"/>
      <c r="R218" s="40" t="inlineStr"/>
      <c r="S218" s="40" t="inlineStr"/>
      <c r="T218" s="41" t="inlineStr">
        <is>
          <t>кг</t>
        </is>
      </c>
      <c r="U218" s="651" t="n">
        <v>0</v>
      </c>
      <c r="V218" s="65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>
      <c r="A219" s="370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53" t="n"/>
      <c r="M219" s="654" t="inlineStr">
        <is>
          <t>Итого</t>
        </is>
      </c>
      <c r="N219" s="624" t="n"/>
      <c r="O219" s="624" t="n"/>
      <c r="P219" s="624" t="n"/>
      <c r="Q219" s="624" t="n"/>
      <c r="R219" s="624" t="n"/>
      <c r="S219" s="625" t="n"/>
      <c r="T219" s="43" t="inlineStr">
        <is>
          <t>кор</t>
        </is>
      </c>
      <c r="U219" s="655">
        <f>IFERROR(U216/H216,"0")+IFERROR(U217/H217,"0")+IFERROR(U218/H218,"0")</f>
        <v/>
      </c>
      <c r="V219" s="655">
        <f>IFERROR(V216/H216,"0")+IFERROR(V217/H217,"0")+IFERROR(V218/H218,"0")</f>
        <v/>
      </c>
      <c r="W219" s="655">
        <f>IFERROR(IF(W216="",0,W216),"0")+IFERROR(IF(W217="",0,W217),"0")+IFERROR(IF(W218="",0,W218),"0")</f>
        <v/>
      </c>
      <c r="X219" s="656" t="n"/>
      <c r="Y219" s="656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53" t="n"/>
      <c r="M220" s="654" t="inlineStr">
        <is>
          <t>Итого</t>
        </is>
      </c>
      <c r="N220" s="624" t="n"/>
      <c r="O220" s="624" t="n"/>
      <c r="P220" s="624" t="n"/>
      <c r="Q220" s="624" t="n"/>
      <c r="R220" s="624" t="n"/>
      <c r="S220" s="625" t="n"/>
      <c r="T220" s="43" t="inlineStr">
        <is>
          <t>кг</t>
        </is>
      </c>
      <c r="U220" s="655">
        <f>IFERROR(SUM(U216:U218),"0")</f>
        <v/>
      </c>
      <c r="V220" s="655">
        <f>IFERROR(SUM(V216:V218),"0")</f>
        <v/>
      </c>
      <c r="W220" s="43" t="n"/>
      <c r="X220" s="656" t="n"/>
      <c r="Y220" s="656" t="n"/>
    </row>
    <row r="221" ht="14.25" customHeight="1">
      <c r="A221" s="361" t="inlineStr">
        <is>
          <t>Паштеты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61" t="n"/>
      <c r="Y221" s="361" t="n"/>
    </row>
    <row r="222" ht="16.5" customHeight="1">
      <c r="A222" s="64" t="inlineStr">
        <is>
          <t>SU002369</t>
        </is>
      </c>
      <c r="B222" s="64" t="inlineStr">
        <is>
          <t>P002649</t>
        </is>
      </c>
      <c r="C222" s="37" t="n">
        <v>4301180002</v>
      </c>
      <c r="D222" s="362" t="n">
        <v>4680115880122</v>
      </c>
      <c r="E222" s="616" t="n"/>
      <c r="F222" s="648" t="n">
        <v>0.1</v>
      </c>
      <c r="G222" s="38" t="n">
        <v>20</v>
      </c>
      <c r="H222" s="648" t="n">
        <v>2</v>
      </c>
      <c r="I222" s="648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8">
        <f>HYPERLINK("https://abi.ru/products/Охлажденные/Стародворье/Бордо/Паштеты/P002649/","Паштеты Копчёный бекон Бордо фикс.вес 0,1 Стародворье")</f>
        <v/>
      </c>
      <c r="N222" s="650" t="n"/>
      <c r="O222" s="650" t="n"/>
      <c r="P222" s="650" t="n"/>
      <c r="Q222" s="616" t="n"/>
      <c r="R222" s="40" t="inlineStr"/>
      <c r="S222" s="40" t="inlineStr"/>
      <c r="T222" s="41" t="inlineStr">
        <is>
          <t>кг</t>
        </is>
      </c>
      <c r="U222" s="651" t="n">
        <v>0</v>
      </c>
      <c r="V222" s="652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 ht="16.5" customHeight="1">
      <c r="A223" s="64" t="inlineStr">
        <is>
          <t>SU002841</t>
        </is>
      </c>
      <c r="B223" s="64" t="inlineStr">
        <is>
          <t>P003253</t>
        </is>
      </c>
      <c r="C223" s="37" t="n">
        <v>4301180007</v>
      </c>
      <c r="D223" s="362" t="n">
        <v>4680115881808</v>
      </c>
      <c r="E223" s="616" t="n"/>
      <c r="F223" s="648" t="n">
        <v>0.1</v>
      </c>
      <c r="G223" s="38" t="n">
        <v>20</v>
      </c>
      <c r="H223" s="648" t="n">
        <v>2</v>
      </c>
      <c r="I223" s="648" t="n">
        <v>2.24</v>
      </c>
      <c r="J223" s="38" t="n">
        <v>238</v>
      </c>
      <c r="K223" s="39" t="inlineStr">
        <is>
          <t>РК</t>
        </is>
      </c>
      <c r="L223" s="38" t="n">
        <v>730</v>
      </c>
      <c r="M223" s="789" t="inlineStr">
        <is>
          <t>Паштеты "Любительский ГОСТ" Фикс.вес 0,1 ТМ "Стародворье"</t>
        </is>
      </c>
      <c r="N223" s="650" t="n"/>
      <c r="O223" s="650" t="n"/>
      <c r="P223" s="650" t="n"/>
      <c r="Q223" s="616" t="n"/>
      <c r="R223" s="40" t="inlineStr"/>
      <c r="S223" s="40" t="inlineStr"/>
      <c r="T223" s="41" t="inlineStr">
        <is>
          <t>кг</t>
        </is>
      </c>
      <c r="U223" s="651" t="n">
        <v>0</v>
      </c>
      <c r="V223" s="652">
        <f>IFERROR(IF(U223="",0,CEILING((U223/$H223),1)*$H223),"")</f>
        <v/>
      </c>
      <c r="W223" s="42">
        <f>IFERROR(IF(V223=0,"",ROUNDUP(V223/H223,0)*0.00474),"")</f>
        <v/>
      </c>
      <c r="X223" s="69" t="inlineStr"/>
      <c r="Y223" s="70" t="inlineStr"/>
      <c r="AC223" s="205" t="inlineStr">
        <is>
          <t>КИ</t>
        </is>
      </c>
    </row>
    <row r="224" ht="27" customHeight="1">
      <c r="A224" s="64" t="inlineStr">
        <is>
          <t>SU002840</t>
        </is>
      </c>
      <c r="B224" s="64" t="inlineStr">
        <is>
          <t>P003252</t>
        </is>
      </c>
      <c r="C224" s="37" t="n">
        <v>4301180006</v>
      </c>
      <c r="D224" s="362" t="n">
        <v>4680115881822</v>
      </c>
      <c r="E224" s="616" t="n"/>
      <c r="F224" s="648" t="n">
        <v>0.1</v>
      </c>
      <c r="G224" s="38" t="n">
        <v>20</v>
      </c>
      <c r="H224" s="648" t="n">
        <v>2</v>
      </c>
      <c r="I224" s="64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790" t="inlineStr">
        <is>
          <t>Паштеты "Печеночный с морковью ГОСТ" Фикс.вес 0,1 ТМ "Стародворье"</t>
        </is>
      </c>
      <c r="N224" s="650" t="n"/>
      <c r="O224" s="650" t="n"/>
      <c r="P224" s="650" t="n"/>
      <c r="Q224" s="616" t="n"/>
      <c r="R224" s="40" t="inlineStr"/>
      <c r="S224" s="40" t="inlineStr"/>
      <c r="T224" s="41" t="inlineStr">
        <is>
          <t>кг</t>
        </is>
      </c>
      <c r="U224" s="651" t="n">
        <v>0</v>
      </c>
      <c r="V224" s="65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SU002368</t>
        </is>
      </c>
      <c r="B225" s="64" t="inlineStr">
        <is>
          <t>P002648</t>
        </is>
      </c>
      <c r="C225" s="37" t="n">
        <v>4301180001</v>
      </c>
      <c r="D225" s="362" t="n">
        <v>4680115880016</v>
      </c>
      <c r="E225" s="616" t="n"/>
      <c r="F225" s="648" t="n">
        <v>0.1</v>
      </c>
      <c r="G225" s="38" t="n">
        <v>20</v>
      </c>
      <c r="H225" s="648" t="n">
        <v>2</v>
      </c>
      <c r="I225" s="64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79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5" s="650" t="n"/>
      <c r="O225" s="650" t="n"/>
      <c r="P225" s="650" t="n"/>
      <c r="Q225" s="616" t="n"/>
      <c r="R225" s="40" t="inlineStr"/>
      <c r="S225" s="40" t="inlineStr"/>
      <c r="T225" s="41" t="inlineStr">
        <is>
          <t>кг</t>
        </is>
      </c>
      <c r="U225" s="651" t="n">
        <v>0</v>
      </c>
      <c r="V225" s="65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>
      <c r="A226" s="370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53" t="n"/>
      <c r="M226" s="654" t="inlineStr">
        <is>
          <t>Итого</t>
        </is>
      </c>
      <c r="N226" s="624" t="n"/>
      <c r="O226" s="624" t="n"/>
      <c r="P226" s="624" t="n"/>
      <c r="Q226" s="624" t="n"/>
      <c r="R226" s="624" t="n"/>
      <c r="S226" s="625" t="n"/>
      <c r="T226" s="43" t="inlineStr">
        <is>
          <t>кор</t>
        </is>
      </c>
      <c r="U226" s="655">
        <f>IFERROR(U222/H222,"0")+IFERROR(U223/H223,"0")+IFERROR(U224/H224,"0")+IFERROR(U225/H225,"0")</f>
        <v/>
      </c>
      <c r="V226" s="655">
        <f>IFERROR(V222/H222,"0")+IFERROR(V223/H223,"0")+IFERROR(V224/H224,"0")+IFERROR(V225/H225,"0")</f>
        <v/>
      </c>
      <c r="W226" s="655">
        <f>IFERROR(IF(W222="",0,W222),"0")+IFERROR(IF(W223="",0,W223),"0")+IFERROR(IF(W224="",0,W224),"0")+IFERROR(IF(W225="",0,W225),"0")</f>
        <v/>
      </c>
      <c r="X226" s="656" t="n"/>
      <c r="Y226" s="65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53" t="n"/>
      <c r="M227" s="654" t="inlineStr">
        <is>
          <t>Итого</t>
        </is>
      </c>
      <c r="N227" s="624" t="n"/>
      <c r="O227" s="624" t="n"/>
      <c r="P227" s="624" t="n"/>
      <c r="Q227" s="624" t="n"/>
      <c r="R227" s="624" t="n"/>
      <c r="S227" s="625" t="n"/>
      <c r="T227" s="43" t="inlineStr">
        <is>
          <t>кг</t>
        </is>
      </c>
      <c r="U227" s="655">
        <f>IFERROR(SUM(U222:U225),"0")</f>
        <v/>
      </c>
      <c r="V227" s="655">
        <f>IFERROR(SUM(V222:V225),"0")</f>
        <v/>
      </c>
      <c r="W227" s="43" t="n"/>
      <c r="X227" s="656" t="n"/>
      <c r="Y227" s="656" t="n"/>
    </row>
    <row r="228" ht="16.5" customHeight="1">
      <c r="A228" s="360" t="inlineStr">
        <is>
          <t>Фирменная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60" t="n"/>
      <c r="Y228" s="360" t="n"/>
    </row>
    <row r="229" ht="14.25" customHeight="1">
      <c r="A229" s="361" t="inlineStr">
        <is>
          <t>Вареные колбасы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61" t="n"/>
      <c r="Y229" s="361" t="n"/>
    </row>
    <row r="230" ht="27" customHeight="1">
      <c r="A230" s="64" t="inlineStr">
        <is>
          <t>SU001793</t>
        </is>
      </c>
      <c r="B230" s="64" t="inlineStr">
        <is>
          <t>P001793</t>
        </is>
      </c>
      <c r="C230" s="37" t="n">
        <v>4301011315</v>
      </c>
      <c r="D230" s="362" t="n">
        <v>4607091387421</v>
      </c>
      <c r="E230" s="616" t="n"/>
      <c r="F230" s="648" t="n">
        <v>1.35</v>
      </c>
      <c r="G230" s="38" t="n">
        <v>8</v>
      </c>
      <c r="H230" s="648" t="n">
        <v>10.8</v>
      </c>
      <c r="I230" s="648" t="n">
        <v>11.28</v>
      </c>
      <c r="J230" s="38" t="n">
        <v>56</v>
      </c>
      <c r="K230" s="39" t="inlineStr">
        <is>
          <t>СК1</t>
        </is>
      </c>
      <c r="L230" s="38" t="n">
        <v>55</v>
      </c>
      <c r="M230" s="79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0" s="650" t="n"/>
      <c r="O230" s="650" t="n"/>
      <c r="P230" s="650" t="n"/>
      <c r="Q230" s="616" t="n"/>
      <c r="R230" s="40" t="inlineStr"/>
      <c r="S230" s="40" t="inlineStr"/>
      <c r="T230" s="41" t="inlineStr">
        <is>
          <t>кг</t>
        </is>
      </c>
      <c r="U230" s="651" t="n">
        <v>0</v>
      </c>
      <c r="V230" s="65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SU001793</t>
        </is>
      </c>
      <c r="B231" s="64" t="inlineStr">
        <is>
          <t>P002227</t>
        </is>
      </c>
      <c r="C231" s="37" t="n">
        <v>4301011121</v>
      </c>
      <c r="D231" s="362" t="n">
        <v>4607091387421</v>
      </c>
      <c r="E231" s="616" t="n"/>
      <c r="F231" s="648" t="n">
        <v>1.35</v>
      </c>
      <c r="G231" s="38" t="n">
        <v>8</v>
      </c>
      <c r="H231" s="648" t="n">
        <v>10.8</v>
      </c>
      <c r="I231" s="648" t="n">
        <v>11.28</v>
      </c>
      <c r="J231" s="38" t="n">
        <v>48</v>
      </c>
      <c r="K231" s="39" t="inlineStr">
        <is>
          <t>ВЗ</t>
        </is>
      </c>
      <c r="L231" s="38" t="n">
        <v>55</v>
      </c>
      <c r="M231" s="79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1" s="650" t="n"/>
      <c r="O231" s="650" t="n"/>
      <c r="P231" s="650" t="n"/>
      <c r="Q231" s="616" t="n"/>
      <c r="R231" s="40" t="inlineStr"/>
      <c r="S231" s="40" t="inlineStr"/>
      <c r="T231" s="41" t="inlineStr">
        <is>
          <t>кг</t>
        </is>
      </c>
      <c r="U231" s="651" t="n">
        <v>0</v>
      </c>
      <c r="V231" s="652">
        <f>IFERROR(IF(U231="",0,CEILING((U231/$H231),1)*$H231),"")</f>
        <v/>
      </c>
      <c r="W231" s="42">
        <f>IFERROR(IF(V231=0,"",ROUNDUP(V231/H231,0)*0.02039),"")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SU001799</t>
        </is>
      </c>
      <c r="B232" s="64" t="inlineStr">
        <is>
          <t>P003076</t>
        </is>
      </c>
      <c r="C232" s="37" t="n">
        <v>4301011396</v>
      </c>
      <c r="D232" s="362" t="n">
        <v>4607091387452</v>
      </c>
      <c r="E232" s="616" t="n"/>
      <c r="F232" s="648" t="n">
        <v>1.35</v>
      </c>
      <c r="G232" s="38" t="n">
        <v>8</v>
      </c>
      <c r="H232" s="648" t="n">
        <v>10.8</v>
      </c>
      <c r="I232" s="648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79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2" s="650" t="n"/>
      <c r="O232" s="650" t="n"/>
      <c r="P232" s="650" t="n"/>
      <c r="Q232" s="616" t="n"/>
      <c r="R232" s="40" t="inlineStr"/>
      <c r="S232" s="40" t="inlineStr"/>
      <c r="T232" s="41" t="inlineStr">
        <is>
          <t>кг</t>
        </is>
      </c>
      <c r="U232" s="651" t="n">
        <v>0</v>
      </c>
      <c r="V232" s="652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P001799</t>
        </is>
      </c>
      <c r="C233" s="37" t="n">
        <v>4301011322</v>
      </c>
      <c r="D233" s="362" t="n">
        <v>4607091387452</v>
      </c>
      <c r="E233" s="616" t="n"/>
      <c r="F233" s="648" t="n">
        <v>1.35</v>
      </c>
      <c r="G233" s="38" t="n">
        <v>8</v>
      </c>
      <c r="H233" s="648" t="n">
        <v>10.8</v>
      </c>
      <c r="I233" s="648" t="n">
        <v>11.28</v>
      </c>
      <c r="J233" s="38" t="n">
        <v>56</v>
      </c>
      <c r="K233" s="39" t="inlineStr">
        <is>
          <t>СК3</t>
        </is>
      </c>
      <c r="L233" s="38" t="n">
        <v>55</v>
      </c>
      <c r="M233" s="79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3" s="650" t="n"/>
      <c r="O233" s="650" t="n"/>
      <c r="P233" s="650" t="n"/>
      <c r="Q233" s="616" t="n"/>
      <c r="R233" s="40" t="inlineStr"/>
      <c r="S233" s="40" t="inlineStr"/>
      <c r="T233" s="41" t="inlineStr">
        <is>
          <t>кг</t>
        </is>
      </c>
      <c r="U233" s="651" t="n">
        <v>0</v>
      </c>
      <c r="V233" s="652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SU001792</t>
        </is>
      </c>
      <c r="B234" s="64" t="inlineStr">
        <is>
          <t>P001792</t>
        </is>
      </c>
      <c r="C234" s="37" t="n">
        <v>4301011313</v>
      </c>
      <c r="D234" s="362" t="n">
        <v>4607091385984</v>
      </c>
      <c r="E234" s="616" t="n"/>
      <c r="F234" s="648" t="n">
        <v>1.35</v>
      </c>
      <c r="G234" s="38" t="n">
        <v>8</v>
      </c>
      <c r="H234" s="648" t="n">
        <v>10.8</v>
      </c>
      <c r="I234" s="648" t="n">
        <v>11.28</v>
      </c>
      <c r="J234" s="38" t="n">
        <v>56</v>
      </c>
      <c r="K234" s="39" t="inlineStr">
        <is>
          <t>СК1</t>
        </is>
      </c>
      <c r="L234" s="38" t="n">
        <v>55</v>
      </c>
      <c r="M234" s="79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4" s="650" t="n"/>
      <c r="O234" s="650" t="n"/>
      <c r="P234" s="650" t="n"/>
      <c r="Q234" s="616" t="n"/>
      <c r="R234" s="40" t="inlineStr"/>
      <c r="S234" s="40" t="inlineStr"/>
      <c r="T234" s="41" t="inlineStr">
        <is>
          <t>кг</t>
        </is>
      </c>
      <c r="U234" s="651" t="n">
        <v>0</v>
      </c>
      <c r="V234" s="652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SU001794</t>
        </is>
      </c>
      <c r="B235" s="64" t="inlineStr">
        <is>
          <t>P001794</t>
        </is>
      </c>
      <c r="C235" s="37" t="n">
        <v>4301011316</v>
      </c>
      <c r="D235" s="362" t="n">
        <v>4607091387438</v>
      </c>
      <c r="E235" s="616" t="n"/>
      <c r="F235" s="648" t="n">
        <v>0.5</v>
      </c>
      <c r="G235" s="38" t="n">
        <v>10</v>
      </c>
      <c r="H235" s="648" t="n">
        <v>5</v>
      </c>
      <c r="I235" s="648" t="n">
        <v>5.24</v>
      </c>
      <c r="J235" s="38" t="n">
        <v>120</v>
      </c>
      <c r="K235" s="39" t="inlineStr">
        <is>
          <t>СК1</t>
        </is>
      </c>
      <c r="L235" s="38" t="n">
        <v>55</v>
      </c>
      <c r="M235" s="79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5" s="650" t="n"/>
      <c r="O235" s="650" t="n"/>
      <c r="P235" s="650" t="n"/>
      <c r="Q235" s="616" t="n"/>
      <c r="R235" s="40" t="inlineStr"/>
      <c r="S235" s="40" t="inlineStr"/>
      <c r="T235" s="41" t="inlineStr">
        <is>
          <t>кг</t>
        </is>
      </c>
      <c r="U235" s="651" t="n">
        <v>15</v>
      </c>
      <c r="V235" s="652">
        <f>IFERROR(IF(U235="",0,CEILING((U235/$H235),1)*$H235),"")</f>
        <v/>
      </c>
      <c r="W235" s="42">
        <f>IFERROR(IF(V235=0,"",ROUNDUP(V235/H235,0)*0.00937),"")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SU001795</t>
        </is>
      </c>
      <c r="B236" s="64" t="inlineStr">
        <is>
          <t>P001795</t>
        </is>
      </c>
      <c r="C236" s="37" t="n">
        <v>4301011318</v>
      </c>
      <c r="D236" s="362" t="n">
        <v>4607091387469</v>
      </c>
      <c r="E236" s="616" t="n"/>
      <c r="F236" s="648" t="n">
        <v>0.5</v>
      </c>
      <c r="G236" s="38" t="n">
        <v>10</v>
      </c>
      <c r="H236" s="648" t="n">
        <v>5</v>
      </c>
      <c r="I236" s="648" t="n">
        <v>5.21</v>
      </c>
      <c r="J236" s="38" t="n">
        <v>120</v>
      </c>
      <c r="K236" s="39" t="inlineStr">
        <is>
          <t>СК2</t>
        </is>
      </c>
      <c r="L236" s="38" t="n">
        <v>55</v>
      </c>
      <c r="M236" s="79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6" s="650" t="n"/>
      <c r="O236" s="650" t="n"/>
      <c r="P236" s="650" t="n"/>
      <c r="Q236" s="616" t="n"/>
      <c r="R236" s="40" t="inlineStr"/>
      <c r="S236" s="40" t="inlineStr"/>
      <c r="T236" s="41" t="inlineStr">
        <is>
          <t>кг</t>
        </is>
      </c>
      <c r="U236" s="651" t="n">
        <v>0</v>
      </c>
      <c r="V236" s="652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>
      <c r="A237" s="370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53" t="n"/>
      <c r="M237" s="654" t="inlineStr">
        <is>
          <t>Итого</t>
        </is>
      </c>
      <c r="N237" s="624" t="n"/>
      <c r="O237" s="624" t="n"/>
      <c r="P237" s="624" t="n"/>
      <c r="Q237" s="624" t="n"/>
      <c r="R237" s="624" t="n"/>
      <c r="S237" s="625" t="n"/>
      <c r="T237" s="43" t="inlineStr">
        <is>
          <t>кор</t>
        </is>
      </c>
      <c r="U237" s="655">
        <f>IFERROR(U230/H230,"0")+IFERROR(U231/H231,"0")+IFERROR(U232/H232,"0")+IFERROR(U233/H233,"0")+IFERROR(U234/H234,"0")+IFERROR(U235/H235,"0")+IFERROR(U236/H236,"0")</f>
        <v/>
      </c>
      <c r="V237" s="655">
        <f>IFERROR(V230/H230,"0")+IFERROR(V231/H231,"0")+IFERROR(V232/H232,"0")+IFERROR(V233/H233,"0")+IFERROR(V234/H234,"0")+IFERROR(V235/H235,"0")+IFERROR(V236/H236,"0")</f>
        <v/>
      </c>
      <c r="W237" s="655">
        <f>IFERROR(IF(W230="",0,W230),"0")+IFERROR(IF(W231="",0,W231),"0")+IFERROR(IF(W232="",0,W232),"0")+IFERROR(IF(W233="",0,W233),"0")+IFERROR(IF(W234="",0,W234),"0")+IFERROR(IF(W235="",0,W235),"0")+IFERROR(IF(W236="",0,W236),"0")</f>
        <v/>
      </c>
      <c r="X237" s="656" t="n"/>
      <c r="Y237" s="65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53" t="n"/>
      <c r="M238" s="654" t="inlineStr">
        <is>
          <t>Итого</t>
        </is>
      </c>
      <c r="N238" s="624" t="n"/>
      <c r="O238" s="624" t="n"/>
      <c r="P238" s="624" t="n"/>
      <c r="Q238" s="624" t="n"/>
      <c r="R238" s="624" t="n"/>
      <c r="S238" s="625" t="n"/>
      <c r="T238" s="43" t="inlineStr">
        <is>
          <t>кг</t>
        </is>
      </c>
      <c r="U238" s="655">
        <f>IFERROR(SUM(U230:U236),"0")</f>
        <v/>
      </c>
      <c r="V238" s="655">
        <f>IFERROR(SUM(V230:V236),"0")</f>
        <v/>
      </c>
      <c r="W238" s="43" t="n"/>
      <c r="X238" s="656" t="n"/>
      <c r="Y238" s="656" t="n"/>
    </row>
    <row r="239" ht="14.25" customHeight="1">
      <c r="A239" s="361" t="inlineStr">
        <is>
          <t>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61" t="n"/>
      <c r="Y239" s="361" t="n"/>
    </row>
    <row r="240" ht="27" customHeight="1">
      <c r="A240" s="64" t="inlineStr">
        <is>
          <t>SU001801</t>
        </is>
      </c>
      <c r="B240" s="64" t="inlineStr">
        <is>
          <t>P003014</t>
        </is>
      </c>
      <c r="C240" s="37" t="n">
        <v>4301031154</v>
      </c>
      <c r="D240" s="362" t="n">
        <v>4607091387292</v>
      </c>
      <c r="E240" s="616" t="n"/>
      <c r="F240" s="648" t="n">
        <v>0.63</v>
      </c>
      <c r="G240" s="38" t="n">
        <v>6</v>
      </c>
      <c r="H240" s="648" t="n">
        <v>3.78</v>
      </c>
      <c r="I240" s="648" t="n">
        <v>4.04</v>
      </c>
      <c r="J240" s="38" t="n">
        <v>156</v>
      </c>
      <c r="K240" s="39" t="inlineStr">
        <is>
          <t>СК2</t>
        </is>
      </c>
      <c r="L240" s="38" t="n">
        <v>45</v>
      </c>
      <c r="M240" s="79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0" s="650" t="n"/>
      <c r="O240" s="650" t="n"/>
      <c r="P240" s="650" t="n"/>
      <c r="Q240" s="616" t="n"/>
      <c r="R240" s="40" t="inlineStr"/>
      <c r="S240" s="40" t="inlineStr"/>
      <c r="T240" s="41" t="inlineStr">
        <is>
          <t>кг</t>
        </is>
      </c>
      <c r="U240" s="651" t="n">
        <v>0</v>
      </c>
      <c r="V240" s="652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15" t="inlineStr">
        <is>
          <t>КИ</t>
        </is>
      </c>
    </row>
    <row r="241" ht="27" customHeight="1">
      <c r="A241" s="64" t="inlineStr">
        <is>
          <t>SU000231</t>
        </is>
      </c>
      <c r="B241" s="64" t="inlineStr">
        <is>
          <t>P003015</t>
        </is>
      </c>
      <c r="C241" s="37" t="n">
        <v>4301031155</v>
      </c>
      <c r="D241" s="362" t="n">
        <v>4607091387315</v>
      </c>
      <c r="E241" s="616" t="n"/>
      <c r="F241" s="648" t="n">
        <v>0.7</v>
      </c>
      <c r="G241" s="38" t="n">
        <v>4</v>
      </c>
      <c r="H241" s="648" t="n">
        <v>2.8</v>
      </c>
      <c r="I241" s="648" t="n">
        <v>3.048</v>
      </c>
      <c r="J241" s="38" t="n">
        <v>156</v>
      </c>
      <c r="K241" s="39" t="inlineStr">
        <is>
          <t>СК2</t>
        </is>
      </c>
      <c r="L241" s="38" t="n">
        <v>45</v>
      </c>
      <c r="M241" s="80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1" s="650" t="n"/>
      <c r="O241" s="650" t="n"/>
      <c r="P241" s="650" t="n"/>
      <c r="Q241" s="616" t="n"/>
      <c r="R241" s="40" t="inlineStr"/>
      <c r="S241" s="40" t="inlineStr"/>
      <c r="T241" s="41" t="inlineStr">
        <is>
          <t>кг</t>
        </is>
      </c>
      <c r="U241" s="651" t="n">
        <v>0</v>
      </c>
      <c r="V241" s="652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>
      <c r="A242" s="370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53" t="n"/>
      <c r="M242" s="654" t="inlineStr">
        <is>
          <t>Итого</t>
        </is>
      </c>
      <c r="N242" s="624" t="n"/>
      <c r="O242" s="624" t="n"/>
      <c r="P242" s="624" t="n"/>
      <c r="Q242" s="624" t="n"/>
      <c r="R242" s="624" t="n"/>
      <c r="S242" s="625" t="n"/>
      <c r="T242" s="43" t="inlineStr">
        <is>
          <t>кор</t>
        </is>
      </c>
      <c r="U242" s="655">
        <f>IFERROR(U240/H240,"0")+IFERROR(U241/H241,"0")</f>
        <v/>
      </c>
      <c r="V242" s="655">
        <f>IFERROR(V240/H240,"0")+IFERROR(V241/H241,"0")</f>
        <v/>
      </c>
      <c r="W242" s="655">
        <f>IFERROR(IF(W240="",0,W240),"0")+IFERROR(IF(W241="",0,W241),"0")</f>
        <v/>
      </c>
      <c r="X242" s="656" t="n"/>
      <c r="Y242" s="656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53" t="n"/>
      <c r="M243" s="654" t="inlineStr">
        <is>
          <t>Итого</t>
        </is>
      </c>
      <c r="N243" s="624" t="n"/>
      <c r="O243" s="624" t="n"/>
      <c r="P243" s="624" t="n"/>
      <c r="Q243" s="624" t="n"/>
      <c r="R243" s="624" t="n"/>
      <c r="S243" s="625" t="n"/>
      <c r="T243" s="43" t="inlineStr">
        <is>
          <t>кг</t>
        </is>
      </c>
      <c r="U243" s="655">
        <f>IFERROR(SUM(U240:U241),"0")</f>
        <v/>
      </c>
      <c r="V243" s="655">
        <f>IFERROR(SUM(V240:V241),"0")</f>
        <v/>
      </c>
      <c r="W243" s="43" t="n"/>
      <c r="X243" s="656" t="n"/>
      <c r="Y243" s="656" t="n"/>
    </row>
    <row r="244" ht="16.5" customHeight="1">
      <c r="A244" s="360" t="inlineStr">
        <is>
          <t>Бавария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360" t="n"/>
      <c r="Y244" s="360" t="n"/>
    </row>
    <row r="245" ht="14.25" customHeight="1">
      <c r="A245" s="361" t="inlineStr">
        <is>
          <t>Копченые колбасы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61" t="n"/>
      <c r="Y245" s="361" t="n"/>
    </row>
    <row r="246" ht="37.5" customHeight="1">
      <c r="A246" s="64" t="inlineStr">
        <is>
          <t>SU002061</t>
        </is>
      </c>
      <c r="B246" s="64" t="inlineStr">
        <is>
          <t>P002232</t>
        </is>
      </c>
      <c r="C246" s="37" t="n">
        <v>4301030368</v>
      </c>
      <c r="D246" s="362" t="n">
        <v>4607091383232</v>
      </c>
      <c r="E246" s="616" t="n"/>
      <c r="F246" s="648" t="n">
        <v>0.28</v>
      </c>
      <c r="G246" s="38" t="n">
        <v>6</v>
      </c>
      <c r="H246" s="648" t="n">
        <v>1.68</v>
      </c>
      <c r="I246" s="648" t="n">
        <v>2.6</v>
      </c>
      <c r="J246" s="38" t="n">
        <v>156</v>
      </c>
      <c r="K246" s="39" t="inlineStr">
        <is>
          <t>СК2</t>
        </is>
      </c>
      <c r="L246" s="38" t="n">
        <v>35</v>
      </c>
      <c r="M246" s="80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6" s="650" t="n"/>
      <c r="O246" s="650" t="n"/>
      <c r="P246" s="650" t="n"/>
      <c r="Q246" s="616" t="n"/>
      <c r="R246" s="40" t="inlineStr"/>
      <c r="S246" s="40" t="inlineStr"/>
      <c r="T246" s="41" t="inlineStr">
        <is>
          <t>кг</t>
        </is>
      </c>
      <c r="U246" s="651" t="n">
        <v>0</v>
      </c>
      <c r="V246" s="652">
        <f>IFERROR(IF(U246="",0,CEILING((U246/$H246),1)*$H246),"")</f>
        <v/>
      </c>
      <c r="W246" s="42">
        <f>IFERROR(IF(V246=0,"",ROUNDUP(V246/H246,0)*0.00753),"")</f>
        <v/>
      </c>
      <c r="X246" s="69" t="inlineStr"/>
      <c r="Y246" s="70" t="inlineStr"/>
      <c r="AC246" s="217" t="inlineStr">
        <is>
          <t>КИ</t>
        </is>
      </c>
    </row>
    <row r="247" ht="27" customHeight="1">
      <c r="A247" s="64" t="inlineStr">
        <is>
          <t>SU002252</t>
        </is>
      </c>
      <c r="B247" s="64" t="inlineStr">
        <is>
          <t>P002461</t>
        </is>
      </c>
      <c r="C247" s="37" t="n">
        <v>4301031066</v>
      </c>
      <c r="D247" s="362" t="n">
        <v>4607091383836</v>
      </c>
      <c r="E247" s="616" t="n"/>
      <c r="F247" s="648" t="n">
        <v>0.3</v>
      </c>
      <c r="G247" s="38" t="n">
        <v>6</v>
      </c>
      <c r="H247" s="648" t="n">
        <v>1.8</v>
      </c>
      <c r="I247" s="648" t="n">
        <v>2.048</v>
      </c>
      <c r="J247" s="38" t="n">
        <v>156</v>
      </c>
      <c r="K247" s="39" t="inlineStr">
        <is>
          <t>СК2</t>
        </is>
      </c>
      <c r="L247" s="38" t="n">
        <v>40</v>
      </c>
      <c r="M247" s="80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7" s="650" t="n"/>
      <c r="O247" s="650" t="n"/>
      <c r="P247" s="650" t="n"/>
      <c r="Q247" s="616" t="n"/>
      <c r="R247" s="40" t="inlineStr"/>
      <c r="S247" s="40" t="inlineStr"/>
      <c r="T247" s="41" t="inlineStr">
        <is>
          <t>кг</t>
        </is>
      </c>
      <c r="U247" s="651" t="n">
        <v>0</v>
      </c>
      <c r="V247" s="652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>
      <c r="A248" s="370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53" t="n"/>
      <c r="M248" s="654" t="inlineStr">
        <is>
          <t>Итого</t>
        </is>
      </c>
      <c r="N248" s="624" t="n"/>
      <c r="O248" s="624" t="n"/>
      <c r="P248" s="624" t="n"/>
      <c r="Q248" s="624" t="n"/>
      <c r="R248" s="624" t="n"/>
      <c r="S248" s="625" t="n"/>
      <c r="T248" s="43" t="inlineStr">
        <is>
          <t>кор</t>
        </is>
      </c>
      <c r="U248" s="655">
        <f>IFERROR(U246/H246,"0")+IFERROR(U247/H247,"0")</f>
        <v/>
      </c>
      <c r="V248" s="655">
        <f>IFERROR(V246/H246,"0")+IFERROR(V247/H247,"0")</f>
        <v/>
      </c>
      <c r="W248" s="655">
        <f>IFERROR(IF(W246="",0,W246),"0")+IFERROR(IF(W247="",0,W247),"0")</f>
        <v/>
      </c>
      <c r="X248" s="656" t="n"/>
      <c r="Y248" s="656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53" t="n"/>
      <c r="M249" s="654" t="inlineStr">
        <is>
          <t>Итого</t>
        </is>
      </c>
      <c r="N249" s="624" t="n"/>
      <c r="O249" s="624" t="n"/>
      <c r="P249" s="624" t="n"/>
      <c r="Q249" s="624" t="n"/>
      <c r="R249" s="624" t="n"/>
      <c r="S249" s="625" t="n"/>
      <c r="T249" s="43" t="inlineStr">
        <is>
          <t>кг</t>
        </is>
      </c>
      <c r="U249" s="655">
        <f>IFERROR(SUM(U246:U247),"0")</f>
        <v/>
      </c>
      <c r="V249" s="655">
        <f>IFERROR(SUM(V246:V247),"0")</f>
        <v/>
      </c>
      <c r="W249" s="43" t="n"/>
      <c r="X249" s="656" t="n"/>
      <c r="Y249" s="656" t="n"/>
    </row>
    <row r="250" ht="14.25" customHeight="1">
      <c r="A250" s="361" t="inlineStr">
        <is>
          <t>Сосиски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61" t="n"/>
      <c r="Y250" s="361" t="n"/>
    </row>
    <row r="251" ht="27" customHeight="1">
      <c r="A251" s="64" t="inlineStr">
        <is>
          <t>SU001835</t>
        </is>
      </c>
      <c r="B251" s="64" t="inlineStr">
        <is>
          <t>P002202</t>
        </is>
      </c>
      <c r="C251" s="37" t="n">
        <v>4301051142</v>
      </c>
      <c r="D251" s="362" t="n">
        <v>4607091387919</v>
      </c>
      <c r="E251" s="616" t="n"/>
      <c r="F251" s="648" t="n">
        <v>1.35</v>
      </c>
      <c r="G251" s="38" t="n">
        <v>6</v>
      </c>
      <c r="H251" s="648" t="n">
        <v>8.1</v>
      </c>
      <c r="I251" s="648" t="n">
        <v>8.664</v>
      </c>
      <c r="J251" s="38" t="n">
        <v>56</v>
      </c>
      <c r="K251" s="39" t="inlineStr">
        <is>
          <t>СК2</t>
        </is>
      </c>
      <c r="L251" s="38" t="n">
        <v>45</v>
      </c>
      <c r="M251" s="80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1" s="650" t="n"/>
      <c r="O251" s="650" t="n"/>
      <c r="P251" s="650" t="n"/>
      <c r="Q251" s="616" t="n"/>
      <c r="R251" s="40" t="inlineStr"/>
      <c r="S251" s="40" t="inlineStr"/>
      <c r="T251" s="41" t="inlineStr">
        <is>
          <t>кг</t>
        </is>
      </c>
      <c r="U251" s="651" t="n">
        <v>150</v>
      </c>
      <c r="V251" s="65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19" t="inlineStr">
        <is>
          <t>КИ</t>
        </is>
      </c>
    </row>
    <row r="252" ht="27" customHeight="1">
      <c r="A252" s="64" t="inlineStr">
        <is>
          <t>SU001836</t>
        </is>
      </c>
      <c r="B252" s="64" t="inlineStr">
        <is>
          <t>P002201</t>
        </is>
      </c>
      <c r="C252" s="37" t="n">
        <v>4301051109</v>
      </c>
      <c r="D252" s="362" t="n">
        <v>4607091383942</v>
      </c>
      <c r="E252" s="616" t="n"/>
      <c r="F252" s="648" t="n">
        <v>0.42</v>
      </c>
      <c r="G252" s="38" t="n">
        <v>6</v>
      </c>
      <c r="H252" s="648" t="n">
        <v>2.52</v>
      </c>
      <c r="I252" s="648" t="n">
        <v>2.792</v>
      </c>
      <c r="J252" s="38" t="n">
        <v>156</v>
      </c>
      <c r="K252" s="39" t="inlineStr">
        <is>
          <t>СК3</t>
        </is>
      </c>
      <c r="L252" s="38" t="n">
        <v>45</v>
      </c>
      <c r="M252" s="80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2" s="650" t="n"/>
      <c r="O252" s="650" t="n"/>
      <c r="P252" s="650" t="n"/>
      <c r="Q252" s="616" t="n"/>
      <c r="R252" s="40" t="inlineStr"/>
      <c r="S252" s="40" t="inlineStr"/>
      <c r="T252" s="41" t="inlineStr">
        <is>
          <t>кг</t>
        </is>
      </c>
      <c r="U252" s="651" t="n">
        <v>5.04</v>
      </c>
      <c r="V252" s="652">
        <f>IFERROR(IF(U252="",0,CEILING((U252/$H252),1)*$H252),"")</f>
        <v/>
      </c>
      <c r="W252" s="42">
        <f>IFERROR(IF(V252=0,"",ROUNDUP(V252/H252,0)*0.00753),"")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SU001970</t>
        </is>
      </c>
      <c r="B253" s="64" t="inlineStr">
        <is>
          <t>P001837</t>
        </is>
      </c>
      <c r="C253" s="37" t="n">
        <v>4301051300</v>
      </c>
      <c r="D253" s="362" t="n">
        <v>4607091383959</v>
      </c>
      <c r="E253" s="616" t="n"/>
      <c r="F253" s="648" t="n">
        <v>0.42</v>
      </c>
      <c r="G253" s="38" t="n">
        <v>6</v>
      </c>
      <c r="H253" s="648" t="n">
        <v>2.52</v>
      </c>
      <c r="I253" s="648" t="n">
        <v>2.78</v>
      </c>
      <c r="J253" s="38" t="n">
        <v>156</v>
      </c>
      <c r="K253" s="39" t="inlineStr">
        <is>
          <t>СК2</t>
        </is>
      </c>
      <c r="L253" s="38" t="n">
        <v>35</v>
      </c>
      <c r="M253" s="80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3" s="650" t="n"/>
      <c r="O253" s="650" t="n"/>
      <c r="P253" s="650" t="n"/>
      <c r="Q253" s="616" t="n"/>
      <c r="R253" s="40" t="inlineStr"/>
      <c r="S253" s="40" t="inlineStr"/>
      <c r="T253" s="41" t="inlineStr">
        <is>
          <t>кг</t>
        </is>
      </c>
      <c r="U253" s="651" t="n">
        <v>5.04</v>
      </c>
      <c r="V253" s="652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>
      <c r="A254" s="370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53" t="n"/>
      <c r="M254" s="654" t="inlineStr">
        <is>
          <t>Итого</t>
        </is>
      </c>
      <c r="N254" s="624" t="n"/>
      <c r="O254" s="624" t="n"/>
      <c r="P254" s="624" t="n"/>
      <c r="Q254" s="624" t="n"/>
      <c r="R254" s="624" t="n"/>
      <c r="S254" s="625" t="n"/>
      <c r="T254" s="43" t="inlineStr">
        <is>
          <t>кор</t>
        </is>
      </c>
      <c r="U254" s="655">
        <f>IFERROR(U251/H251,"0")+IFERROR(U252/H252,"0")+IFERROR(U253/H253,"0")</f>
        <v/>
      </c>
      <c r="V254" s="655">
        <f>IFERROR(V251/H251,"0")+IFERROR(V252/H252,"0")+IFERROR(V253/H253,"0")</f>
        <v/>
      </c>
      <c r="W254" s="655">
        <f>IFERROR(IF(W251="",0,W251),"0")+IFERROR(IF(W252="",0,W252),"0")+IFERROR(IF(W253="",0,W253),"0")</f>
        <v/>
      </c>
      <c r="X254" s="656" t="n"/>
      <c r="Y254" s="65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53" t="n"/>
      <c r="M255" s="654" t="inlineStr">
        <is>
          <t>Итого</t>
        </is>
      </c>
      <c r="N255" s="624" t="n"/>
      <c r="O255" s="624" t="n"/>
      <c r="P255" s="624" t="n"/>
      <c r="Q255" s="624" t="n"/>
      <c r="R255" s="624" t="n"/>
      <c r="S255" s="625" t="n"/>
      <c r="T255" s="43" t="inlineStr">
        <is>
          <t>кг</t>
        </is>
      </c>
      <c r="U255" s="655">
        <f>IFERROR(SUM(U251:U253),"0")</f>
        <v/>
      </c>
      <c r="V255" s="655">
        <f>IFERROR(SUM(V251:V253),"0")</f>
        <v/>
      </c>
      <c r="W255" s="43" t="n"/>
      <c r="X255" s="656" t="n"/>
      <c r="Y255" s="656" t="n"/>
    </row>
    <row r="256" ht="14.25" customHeight="1">
      <c r="A256" s="361" t="inlineStr">
        <is>
          <t>Сардельки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61" t="n"/>
      <c r="Y256" s="361" t="n"/>
    </row>
    <row r="257" ht="27" customHeight="1">
      <c r="A257" s="64" t="inlineStr">
        <is>
          <t>SU002173</t>
        </is>
      </c>
      <c r="B257" s="64" t="inlineStr">
        <is>
          <t>P002361</t>
        </is>
      </c>
      <c r="C257" s="37" t="n">
        <v>4301060324</v>
      </c>
      <c r="D257" s="362" t="n">
        <v>4607091388831</v>
      </c>
      <c r="E257" s="616" t="n"/>
      <c r="F257" s="648" t="n">
        <v>0.38</v>
      </c>
      <c r="G257" s="38" t="n">
        <v>6</v>
      </c>
      <c r="H257" s="648" t="n">
        <v>2.28</v>
      </c>
      <c r="I257" s="648" t="n">
        <v>2.552</v>
      </c>
      <c r="J257" s="38" t="n">
        <v>156</v>
      </c>
      <c r="K257" s="39" t="inlineStr">
        <is>
          <t>СК2</t>
        </is>
      </c>
      <c r="L257" s="38" t="n">
        <v>40</v>
      </c>
      <c r="M257" s="80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7" s="650" t="n"/>
      <c r="O257" s="650" t="n"/>
      <c r="P257" s="650" t="n"/>
      <c r="Q257" s="616" t="n"/>
      <c r="R257" s="40" t="inlineStr"/>
      <c r="S257" s="40" t="inlineStr"/>
      <c r="T257" s="41" t="inlineStr">
        <is>
          <t>кг</t>
        </is>
      </c>
      <c r="U257" s="651" t="n">
        <v>0</v>
      </c>
      <c r="V257" s="65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222" t="inlineStr">
        <is>
          <t>КИ</t>
        </is>
      </c>
    </row>
    <row r="258">
      <c r="A258" s="370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53" t="n"/>
      <c r="M258" s="654" t="inlineStr">
        <is>
          <t>Итого</t>
        </is>
      </c>
      <c r="N258" s="624" t="n"/>
      <c r="O258" s="624" t="n"/>
      <c r="P258" s="624" t="n"/>
      <c r="Q258" s="624" t="n"/>
      <c r="R258" s="624" t="n"/>
      <c r="S258" s="625" t="n"/>
      <c r="T258" s="43" t="inlineStr">
        <is>
          <t>кор</t>
        </is>
      </c>
      <c r="U258" s="655">
        <f>IFERROR(U257/H257,"0")</f>
        <v/>
      </c>
      <c r="V258" s="655">
        <f>IFERROR(V257/H257,"0")</f>
        <v/>
      </c>
      <c r="W258" s="655">
        <f>IFERROR(IF(W257="",0,W257),"0")</f>
        <v/>
      </c>
      <c r="X258" s="656" t="n"/>
      <c r="Y258" s="656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53" t="n"/>
      <c r="M259" s="654" t="inlineStr">
        <is>
          <t>Итого</t>
        </is>
      </c>
      <c r="N259" s="624" t="n"/>
      <c r="O259" s="624" t="n"/>
      <c r="P259" s="624" t="n"/>
      <c r="Q259" s="624" t="n"/>
      <c r="R259" s="624" t="n"/>
      <c r="S259" s="625" t="n"/>
      <c r="T259" s="43" t="inlineStr">
        <is>
          <t>кг</t>
        </is>
      </c>
      <c r="U259" s="655">
        <f>IFERROR(SUM(U257:U257),"0")</f>
        <v/>
      </c>
      <c r="V259" s="655">
        <f>IFERROR(SUM(V257:V257),"0")</f>
        <v/>
      </c>
      <c r="W259" s="43" t="n"/>
      <c r="X259" s="656" t="n"/>
      <c r="Y259" s="656" t="n"/>
    </row>
    <row r="260" ht="14.25" customHeight="1">
      <c r="A260" s="361" t="inlineStr">
        <is>
          <t>Сырокопченые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61" t="n"/>
      <c r="Y260" s="361" t="n"/>
    </row>
    <row r="261" ht="27" customHeight="1">
      <c r="A261" s="64" t="inlineStr">
        <is>
          <t>SU002092</t>
        </is>
      </c>
      <c r="B261" s="64" t="inlineStr">
        <is>
          <t>P002290</t>
        </is>
      </c>
      <c r="C261" s="37" t="n">
        <v>4301032015</v>
      </c>
      <c r="D261" s="362" t="n">
        <v>4607091383102</v>
      </c>
      <c r="E261" s="616" t="n"/>
      <c r="F261" s="648" t="n">
        <v>0.17</v>
      </c>
      <c r="G261" s="38" t="n">
        <v>15</v>
      </c>
      <c r="H261" s="648" t="n">
        <v>2.55</v>
      </c>
      <c r="I261" s="648" t="n">
        <v>2.975</v>
      </c>
      <c r="J261" s="38" t="n">
        <v>156</v>
      </c>
      <c r="K261" s="39" t="inlineStr">
        <is>
          <t>АК</t>
        </is>
      </c>
      <c r="L261" s="38" t="n">
        <v>180</v>
      </c>
      <c r="M261" s="80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1" s="650" t="n"/>
      <c r="O261" s="650" t="n"/>
      <c r="P261" s="650" t="n"/>
      <c r="Q261" s="616" t="n"/>
      <c r="R261" s="40" t="inlineStr"/>
      <c r="S261" s="40" t="inlineStr"/>
      <c r="T261" s="41" t="inlineStr">
        <is>
          <t>кг</t>
        </is>
      </c>
      <c r="U261" s="651" t="n">
        <v>0</v>
      </c>
      <c r="V261" s="652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23" t="inlineStr">
        <is>
          <t>КИ</t>
        </is>
      </c>
    </row>
    <row r="262">
      <c r="A262" s="370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53" t="n"/>
      <c r="M262" s="654" t="inlineStr">
        <is>
          <t>Итого</t>
        </is>
      </c>
      <c r="N262" s="624" t="n"/>
      <c r="O262" s="624" t="n"/>
      <c r="P262" s="624" t="n"/>
      <c r="Q262" s="624" t="n"/>
      <c r="R262" s="624" t="n"/>
      <c r="S262" s="625" t="n"/>
      <c r="T262" s="43" t="inlineStr">
        <is>
          <t>кор</t>
        </is>
      </c>
      <c r="U262" s="655">
        <f>IFERROR(U261/H261,"0")</f>
        <v/>
      </c>
      <c r="V262" s="655">
        <f>IFERROR(V261/H261,"0")</f>
        <v/>
      </c>
      <c r="W262" s="655">
        <f>IFERROR(IF(W261="",0,W261),"0")</f>
        <v/>
      </c>
      <c r="X262" s="656" t="n"/>
      <c r="Y262" s="656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53" t="n"/>
      <c r="M263" s="654" t="inlineStr">
        <is>
          <t>Итого</t>
        </is>
      </c>
      <c r="N263" s="624" t="n"/>
      <c r="O263" s="624" t="n"/>
      <c r="P263" s="624" t="n"/>
      <c r="Q263" s="624" t="n"/>
      <c r="R263" s="624" t="n"/>
      <c r="S263" s="625" t="n"/>
      <c r="T263" s="43" t="inlineStr">
        <is>
          <t>кг</t>
        </is>
      </c>
      <c r="U263" s="655">
        <f>IFERROR(SUM(U261:U261),"0")</f>
        <v/>
      </c>
      <c r="V263" s="655">
        <f>IFERROR(SUM(V261:V261),"0")</f>
        <v/>
      </c>
      <c r="W263" s="43" t="n"/>
      <c r="X263" s="656" t="n"/>
      <c r="Y263" s="656" t="n"/>
    </row>
    <row r="264" ht="27.75" customHeight="1">
      <c r="A264" s="359" t="inlineStr">
        <is>
          <t>Особый рецепт</t>
        </is>
      </c>
      <c r="B264" s="647" t="n"/>
      <c r="C264" s="647" t="n"/>
      <c r="D264" s="647" t="n"/>
      <c r="E264" s="647" t="n"/>
      <c r="F264" s="647" t="n"/>
      <c r="G264" s="647" t="n"/>
      <c r="H264" s="647" t="n"/>
      <c r="I264" s="647" t="n"/>
      <c r="J264" s="647" t="n"/>
      <c r="K264" s="647" t="n"/>
      <c r="L264" s="647" t="n"/>
      <c r="M264" s="647" t="n"/>
      <c r="N264" s="647" t="n"/>
      <c r="O264" s="647" t="n"/>
      <c r="P264" s="647" t="n"/>
      <c r="Q264" s="647" t="n"/>
      <c r="R264" s="647" t="n"/>
      <c r="S264" s="647" t="n"/>
      <c r="T264" s="647" t="n"/>
      <c r="U264" s="647" t="n"/>
      <c r="V264" s="647" t="n"/>
      <c r="W264" s="647" t="n"/>
      <c r="X264" s="55" t="n"/>
      <c r="Y264" s="55" t="n"/>
    </row>
    <row r="265" ht="16.5" customHeight="1">
      <c r="A265" s="360" t="inlineStr">
        <is>
          <t>Особая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60" t="n"/>
      <c r="Y265" s="360" t="n"/>
    </row>
    <row r="266" ht="14.25" customHeight="1">
      <c r="A266" s="361" t="inlineStr">
        <is>
          <t>Вареные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61" t="n"/>
      <c r="Y266" s="361" t="n"/>
    </row>
    <row r="267" ht="27" customHeight="1">
      <c r="A267" s="64" t="inlineStr">
        <is>
          <t>SU000251</t>
        </is>
      </c>
      <c r="B267" s="64" t="inlineStr">
        <is>
          <t>P002581</t>
        </is>
      </c>
      <c r="C267" s="37" t="n">
        <v>4301011239</v>
      </c>
      <c r="D267" s="362" t="n">
        <v>4607091383997</v>
      </c>
      <c r="E267" s="616" t="n"/>
      <c r="F267" s="648" t="n">
        <v>2.5</v>
      </c>
      <c r="G267" s="38" t="n">
        <v>6</v>
      </c>
      <c r="H267" s="648" t="n">
        <v>15</v>
      </c>
      <c r="I267" s="648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80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7" s="650" t="n"/>
      <c r="O267" s="650" t="n"/>
      <c r="P267" s="650" t="n"/>
      <c r="Q267" s="616" t="n"/>
      <c r="R267" s="40" t="inlineStr"/>
      <c r="S267" s="40" t="inlineStr"/>
      <c r="T267" s="41" t="inlineStr">
        <is>
          <t>кг</t>
        </is>
      </c>
      <c r="U267" s="651" t="n">
        <v>0</v>
      </c>
      <c r="V267" s="652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62" t="n">
        <v>4607091383997</v>
      </c>
      <c r="E268" s="616" t="n"/>
      <c r="F268" s="648" t="n">
        <v>2.5</v>
      </c>
      <c r="G268" s="38" t="n">
        <v>6</v>
      </c>
      <c r="H268" s="648" t="n">
        <v>15</v>
      </c>
      <c r="I268" s="648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0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50" t="n"/>
      <c r="O268" s="650" t="n"/>
      <c r="P268" s="650" t="n"/>
      <c r="Q268" s="616" t="n"/>
      <c r="R268" s="40" t="inlineStr"/>
      <c r="S268" s="40" t="inlineStr"/>
      <c r="T268" s="41" t="inlineStr">
        <is>
          <t>кг</t>
        </is>
      </c>
      <c r="U268" s="651" t="n">
        <v>2200</v>
      </c>
      <c r="V268" s="65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SU001578</t>
        </is>
      </c>
      <c r="B269" s="64" t="inlineStr">
        <is>
          <t>P002562</t>
        </is>
      </c>
      <c r="C269" s="37" t="n">
        <v>4301011326</v>
      </c>
      <c r="D269" s="362" t="n">
        <v>4607091384130</v>
      </c>
      <c r="E269" s="616" t="n"/>
      <c r="F269" s="648" t="n">
        <v>2.5</v>
      </c>
      <c r="G269" s="38" t="n">
        <v>6</v>
      </c>
      <c r="H269" s="648" t="n">
        <v>15</v>
      </c>
      <c r="I269" s="648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1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9" s="650" t="n"/>
      <c r="O269" s="650" t="n"/>
      <c r="P269" s="650" t="n"/>
      <c r="Q269" s="616" t="n"/>
      <c r="R269" s="40" t="inlineStr"/>
      <c r="S269" s="40" t="inlineStr"/>
      <c r="T269" s="41" t="inlineStr">
        <is>
          <t>кг</t>
        </is>
      </c>
      <c r="U269" s="651" t="n">
        <v>0</v>
      </c>
      <c r="V269" s="65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P002582</t>
        </is>
      </c>
      <c r="C270" s="37" t="n">
        <v>4301011240</v>
      </c>
      <c r="D270" s="362" t="n">
        <v>4607091384130</v>
      </c>
      <c r="E270" s="616" t="n"/>
      <c r="F270" s="648" t="n">
        <v>2.5</v>
      </c>
      <c r="G270" s="38" t="n">
        <v>6</v>
      </c>
      <c r="H270" s="648" t="n">
        <v>15</v>
      </c>
      <c r="I270" s="648" t="n">
        <v>15.48</v>
      </c>
      <c r="J270" s="38" t="n">
        <v>48</v>
      </c>
      <c r="K270" s="39" t="inlineStr">
        <is>
          <t>ВЗ</t>
        </is>
      </c>
      <c r="L270" s="38" t="n">
        <v>60</v>
      </c>
      <c r="M270" s="81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0" s="650" t="n"/>
      <c r="O270" s="650" t="n"/>
      <c r="P270" s="650" t="n"/>
      <c r="Q270" s="616" t="n"/>
      <c r="R270" s="40" t="inlineStr"/>
      <c r="S270" s="40" t="inlineStr"/>
      <c r="T270" s="41" t="inlineStr">
        <is>
          <t>кг</t>
        </is>
      </c>
      <c r="U270" s="651" t="n">
        <v>0</v>
      </c>
      <c r="V270" s="652">
        <f>IFERROR(IF(U270="",0,CEILING((U270/$H270),1)*$H270),"")</f>
        <v/>
      </c>
      <c r="W270" s="42">
        <f>IFERROR(IF(V270=0,"",ROUNDUP(V270/H270,0)*0.02039),"")</f>
        <v/>
      </c>
      <c r="X270" s="69" t="inlineStr"/>
      <c r="Y270" s="70" t="inlineStr"/>
      <c r="AC270" s="227" t="inlineStr">
        <is>
          <t>КИ</t>
        </is>
      </c>
    </row>
    <row r="271" ht="16.5" customHeight="1">
      <c r="A271" s="64" t="inlineStr">
        <is>
          <t>SU000102</t>
        </is>
      </c>
      <c r="B271" s="64" t="inlineStr">
        <is>
          <t>P002564</t>
        </is>
      </c>
      <c r="C271" s="37" t="n">
        <v>4301011330</v>
      </c>
      <c r="D271" s="362" t="n">
        <v>4607091384147</v>
      </c>
      <c r="E271" s="616" t="n"/>
      <c r="F271" s="648" t="n">
        <v>2.5</v>
      </c>
      <c r="G271" s="38" t="n">
        <v>6</v>
      </c>
      <c r="H271" s="648" t="n">
        <v>15</v>
      </c>
      <c r="I271" s="64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1" s="650" t="n"/>
      <c r="O271" s="650" t="n"/>
      <c r="P271" s="650" t="n"/>
      <c r="Q271" s="616" t="n"/>
      <c r="R271" s="40" t="inlineStr"/>
      <c r="S271" s="40" t="inlineStr"/>
      <c r="T271" s="41" t="inlineStr">
        <is>
          <t>кг</t>
        </is>
      </c>
      <c r="U271" s="651" t="n">
        <v>0</v>
      </c>
      <c r="V271" s="65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P002580</t>
        </is>
      </c>
      <c r="C272" s="37" t="n">
        <v>4301011238</v>
      </c>
      <c r="D272" s="362" t="n">
        <v>4607091384147</v>
      </c>
      <c r="E272" s="616" t="n"/>
      <c r="F272" s="648" t="n">
        <v>2.5</v>
      </c>
      <c r="G272" s="38" t="n">
        <v>6</v>
      </c>
      <c r="H272" s="648" t="n">
        <v>15</v>
      </c>
      <c r="I272" s="64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13" t="inlineStr">
        <is>
          <t>Вареные колбасы Особая Особая Весовые П/а Особый рецепт</t>
        </is>
      </c>
      <c r="N272" s="650" t="n"/>
      <c r="O272" s="650" t="n"/>
      <c r="P272" s="650" t="n"/>
      <c r="Q272" s="616" t="n"/>
      <c r="R272" s="40" t="inlineStr"/>
      <c r="S272" s="40" t="inlineStr"/>
      <c r="T272" s="41" t="inlineStr">
        <is>
          <t>кг</t>
        </is>
      </c>
      <c r="U272" s="651" t="n">
        <v>0</v>
      </c>
      <c r="V272" s="65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27" customHeight="1">
      <c r="A273" s="64" t="inlineStr">
        <is>
          <t>SU001989</t>
        </is>
      </c>
      <c r="B273" s="64" t="inlineStr">
        <is>
          <t>P002560</t>
        </is>
      </c>
      <c r="C273" s="37" t="n">
        <v>4301011327</v>
      </c>
      <c r="D273" s="362" t="n">
        <v>4607091384154</v>
      </c>
      <c r="E273" s="616" t="n"/>
      <c r="F273" s="648" t="n">
        <v>0.5</v>
      </c>
      <c r="G273" s="38" t="n">
        <v>10</v>
      </c>
      <c r="H273" s="648" t="n">
        <v>5</v>
      </c>
      <c r="I273" s="648" t="n">
        <v>5.21</v>
      </c>
      <c r="J273" s="38" t="n">
        <v>120</v>
      </c>
      <c r="K273" s="39" t="inlineStr">
        <is>
          <t>СК2</t>
        </is>
      </c>
      <c r="L273" s="38" t="n">
        <v>60</v>
      </c>
      <c r="M273" s="81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3" s="650" t="n"/>
      <c r="O273" s="650" t="n"/>
      <c r="P273" s="650" t="n"/>
      <c r="Q273" s="616" t="n"/>
      <c r="R273" s="40" t="inlineStr"/>
      <c r="S273" s="40" t="inlineStr"/>
      <c r="T273" s="41" t="inlineStr">
        <is>
          <t>кг</t>
        </is>
      </c>
      <c r="U273" s="651" t="n">
        <v>0</v>
      </c>
      <c r="V273" s="652">
        <f>IFERROR(IF(U273="",0,CEILING((U273/$H273),1)*$H273),"")</f>
        <v/>
      </c>
      <c r="W273" s="42">
        <f>IFERROR(IF(V273=0,"",ROUNDUP(V273/H273,0)*0.00937),"")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SU000256</t>
        </is>
      </c>
      <c r="B274" s="64" t="inlineStr">
        <is>
          <t>P002565</t>
        </is>
      </c>
      <c r="C274" s="37" t="n">
        <v>4301011332</v>
      </c>
      <c r="D274" s="362" t="n">
        <v>4607091384161</v>
      </c>
      <c r="E274" s="616" t="n"/>
      <c r="F274" s="648" t="n">
        <v>0.5</v>
      </c>
      <c r="G274" s="38" t="n">
        <v>10</v>
      </c>
      <c r="H274" s="648" t="n">
        <v>5</v>
      </c>
      <c r="I274" s="648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1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4" s="650" t="n"/>
      <c r="O274" s="650" t="n"/>
      <c r="P274" s="650" t="n"/>
      <c r="Q274" s="616" t="n"/>
      <c r="R274" s="40" t="inlineStr"/>
      <c r="S274" s="40" t="inlineStr"/>
      <c r="T274" s="41" t="inlineStr">
        <is>
          <t>кг</t>
        </is>
      </c>
      <c r="U274" s="651" t="n">
        <v>0</v>
      </c>
      <c r="V274" s="652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>
      <c r="A275" s="37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53" t="n"/>
      <c r="M275" s="654" t="inlineStr">
        <is>
          <t>Итого</t>
        </is>
      </c>
      <c r="N275" s="624" t="n"/>
      <c r="O275" s="624" t="n"/>
      <c r="P275" s="624" t="n"/>
      <c r="Q275" s="624" t="n"/>
      <c r="R275" s="624" t="n"/>
      <c r="S275" s="625" t="n"/>
      <c r="T275" s="43" t="inlineStr">
        <is>
          <t>кор</t>
        </is>
      </c>
      <c r="U275" s="655">
        <f>IFERROR(U267/H267,"0")+IFERROR(U268/H268,"0")+IFERROR(U269/H269,"0")+IFERROR(U270/H270,"0")+IFERROR(U271/H271,"0")+IFERROR(U272/H272,"0")+IFERROR(U273/H273,"0")+IFERROR(U274/H274,"0")</f>
        <v/>
      </c>
      <c r="V275" s="655">
        <f>IFERROR(V267/H267,"0")+IFERROR(V268/H268,"0")+IFERROR(V269/H269,"0")+IFERROR(V270/H270,"0")+IFERROR(V271/H271,"0")+IFERROR(V272/H272,"0")+IFERROR(V273/H273,"0")+IFERROR(V274/H274,"0")</f>
        <v/>
      </c>
      <c r="W275" s="655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/>
      </c>
      <c r="X275" s="656" t="n"/>
      <c r="Y275" s="65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53" t="n"/>
      <c r="M276" s="654" t="inlineStr">
        <is>
          <t>Итого</t>
        </is>
      </c>
      <c r="N276" s="624" t="n"/>
      <c r="O276" s="624" t="n"/>
      <c r="P276" s="624" t="n"/>
      <c r="Q276" s="624" t="n"/>
      <c r="R276" s="624" t="n"/>
      <c r="S276" s="625" t="n"/>
      <c r="T276" s="43" t="inlineStr">
        <is>
          <t>кг</t>
        </is>
      </c>
      <c r="U276" s="655">
        <f>IFERROR(SUM(U267:U274),"0")</f>
        <v/>
      </c>
      <c r="V276" s="655">
        <f>IFERROR(SUM(V267:V274),"0")</f>
        <v/>
      </c>
      <c r="W276" s="43" t="n"/>
      <c r="X276" s="656" t="n"/>
      <c r="Y276" s="656" t="n"/>
    </row>
    <row r="277" ht="14.25" customHeight="1">
      <c r="A277" s="361" t="inlineStr">
        <is>
          <t>Ветчины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61" t="n"/>
      <c r="Y277" s="361" t="n"/>
    </row>
    <row r="278" ht="27" customHeight="1">
      <c r="A278" s="64" t="inlineStr">
        <is>
          <t>SU000126</t>
        </is>
      </c>
      <c r="B278" s="64" t="inlineStr">
        <is>
          <t>P002555</t>
        </is>
      </c>
      <c r="C278" s="37" t="n">
        <v>4301020178</v>
      </c>
      <c r="D278" s="362" t="n">
        <v>4607091383980</v>
      </c>
      <c r="E278" s="616" t="n"/>
      <c r="F278" s="648" t="n">
        <v>2.5</v>
      </c>
      <c r="G278" s="38" t="n">
        <v>6</v>
      </c>
      <c r="H278" s="648" t="n">
        <v>15</v>
      </c>
      <c r="I278" s="648" t="n">
        <v>15.48</v>
      </c>
      <c r="J278" s="38" t="n">
        <v>48</v>
      </c>
      <c r="K278" s="39" t="inlineStr">
        <is>
          <t>СК1</t>
        </is>
      </c>
      <c r="L278" s="38" t="n">
        <v>50</v>
      </c>
      <c r="M278" s="81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8" s="650" t="n"/>
      <c r="O278" s="650" t="n"/>
      <c r="P278" s="650" t="n"/>
      <c r="Q278" s="616" t="n"/>
      <c r="R278" s="40" t="inlineStr"/>
      <c r="S278" s="40" t="inlineStr"/>
      <c r="T278" s="41" t="inlineStr">
        <is>
          <t>кг</t>
        </is>
      </c>
      <c r="U278" s="651" t="n">
        <v>0</v>
      </c>
      <c r="V278" s="652">
        <f>IFERROR(IF(U278="",0,CEILING((U278/$H278),1)*$H278),"")</f>
        <v/>
      </c>
      <c r="W278" s="42">
        <f>IFERROR(IF(V278=0,"",ROUNDUP(V278/H278,0)*0.02175),"")</f>
        <v/>
      </c>
      <c r="X278" s="69" t="inlineStr"/>
      <c r="Y278" s="70" t="inlineStr"/>
      <c r="AC278" s="232" t="inlineStr">
        <is>
          <t>КИ</t>
        </is>
      </c>
    </row>
    <row r="279" ht="27" customHeight="1">
      <c r="A279" s="64" t="inlineStr">
        <is>
          <t>SU002027</t>
        </is>
      </c>
      <c r="B279" s="64" t="inlineStr">
        <is>
          <t>P002556</t>
        </is>
      </c>
      <c r="C279" s="37" t="n">
        <v>4301020179</v>
      </c>
      <c r="D279" s="362" t="n">
        <v>4607091384178</v>
      </c>
      <c r="E279" s="616" t="n"/>
      <c r="F279" s="648" t="n">
        <v>0.4</v>
      </c>
      <c r="G279" s="38" t="n">
        <v>10</v>
      </c>
      <c r="H279" s="648" t="n">
        <v>4</v>
      </c>
      <c r="I279" s="648" t="n">
        <v>4.24</v>
      </c>
      <c r="J279" s="38" t="n">
        <v>120</v>
      </c>
      <c r="K279" s="39" t="inlineStr">
        <is>
          <t>СК1</t>
        </is>
      </c>
      <c r="L279" s="38" t="n">
        <v>50</v>
      </c>
      <c r="M279" s="81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9" s="650" t="n"/>
      <c r="O279" s="650" t="n"/>
      <c r="P279" s="650" t="n"/>
      <c r="Q279" s="616" t="n"/>
      <c r="R279" s="40" t="inlineStr"/>
      <c r="S279" s="40" t="inlineStr"/>
      <c r="T279" s="41" t="inlineStr">
        <is>
          <t>кг</t>
        </is>
      </c>
      <c r="U279" s="651" t="n">
        <v>0</v>
      </c>
      <c r="V279" s="652">
        <f>IFERROR(IF(U279="",0,CEILING((U279/$H279),1)*$H279),"")</f>
        <v/>
      </c>
      <c r="W279" s="42">
        <f>IFERROR(IF(V279=0,"",ROUNDUP(V279/H279,0)*0.00937),"")</f>
        <v/>
      </c>
      <c r="X279" s="69" t="inlineStr"/>
      <c r="Y279" s="70" t="inlineStr"/>
      <c r="AC279" s="233" t="inlineStr">
        <is>
          <t>КИ</t>
        </is>
      </c>
    </row>
    <row r="280">
      <c r="A280" s="370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53" t="n"/>
      <c r="M280" s="654" t="inlineStr">
        <is>
          <t>Итого</t>
        </is>
      </c>
      <c r="N280" s="624" t="n"/>
      <c r="O280" s="624" t="n"/>
      <c r="P280" s="624" t="n"/>
      <c r="Q280" s="624" t="n"/>
      <c r="R280" s="624" t="n"/>
      <c r="S280" s="625" t="n"/>
      <c r="T280" s="43" t="inlineStr">
        <is>
          <t>кор</t>
        </is>
      </c>
      <c r="U280" s="655">
        <f>IFERROR(U278/H278,"0")+IFERROR(U279/H279,"0")</f>
        <v/>
      </c>
      <c r="V280" s="655">
        <f>IFERROR(V278/H278,"0")+IFERROR(V279/H279,"0")</f>
        <v/>
      </c>
      <c r="W280" s="655">
        <f>IFERROR(IF(W278="",0,W278),"0")+IFERROR(IF(W279="",0,W279),"0")</f>
        <v/>
      </c>
      <c r="X280" s="656" t="n"/>
      <c r="Y280" s="65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53" t="n"/>
      <c r="M281" s="654" t="inlineStr">
        <is>
          <t>Итого</t>
        </is>
      </c>
      <c r="N281" s="624" t="n"/>
      <c r="O281" s="624" t="n"/>
      <c r="P281" s="624" t="n"/>
      <c r="Q281" s="624" t="n"/>
      <c r="R281" s="624" t="n"/>
      <c r="S281" s="625" t="n"/>
      <c r="T281" s="43" t="inlineStr">
        <is>
          <t>кг</t>
        </is>
      </c>
      <c r="U281" s="655">
        <f>IFERROR(SUM(U278:U279),"0")</f>
        <v/>
      </c>
      <c r="V281" s="655">
        <f>IFERROR(SUM(V278:V279),"0")</f>
        <v/>
      </c>
      <c r="W281" s="43" t="n"/>
      <c r="X281" s="656" t="n"/>
      <c r="Y281" s="656" t="n"/>
    </row>
    <row r="282" ht="14.25" customHeight="1">
      <c r="A282" s="361" t="inlineStr">
        <is>
          <t>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61" t="n"/>
      <c r="Y282" s="361" t="n"/>
    </row>
    <row r="283" ht="27" customHeight="1">
      <c r="A283" s="64" t="inlineStr">
        <is>
          <t>SU002364</t>
        </is>
      </c>
      <c r="B283" s="64" t="inlineStr">
        <is>
          <t>P002633</t>
        </is>
      </c>
      <c r="C283" s="37" t="n">
        <v>4301031137</v>
      </c>
      <c r="D283" s="362" t="n">
        <v>4607091384857</v>
      </c>
      <c r="E283" s="616" t="n"/>
      <c r="F283" s="648" t="n">
        <v>0.73</v>
      </c>
      <c r="G283" s="38" t="n">
        <v>6</v>
      </c>
      <c r="H283" s="648" t="n">
        <v>4.38</v>
      </c>
      <c r="I283" s="648" t="n">
        <v>4.58</v>
      </c>
      <c r="J283" s="38" t="n">
        <v>156</v>
      </c>
      <c r="K283" s="39" t="inlineStr">
        <is>
          <t>СК2</t>
        </is>
      </c>
      <c r="L283" s="38" t="n">
        <v>35</v>
      </c>
      <c r="M283" s="81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3" s="650" t="n"/>
      <c r="O283" s="650" t="n"/>
      <c r="P283" s="650" t="n"/>
      <c r="Q283" s="616" t="n"/>
      <c r="R283" s="40" t="inlineStr"/>
      <c r="S283" s="40" t="inlineStr"/>
      <c r="T283" s="41" t="inlineStr">
        <is>
          <t>кг</t>
        </is>
      </c>
      <c r="U283" s="651" t="n">
        <v>0</v>
      </c>
      <c r="V283" s="652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234" t="inlineStr">
        <is>
          <t>КИ</t>
        </is>
      </c>
    </row>
    <row r="284">
      <c r="A284" s="370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53" t="n"/>
      <c r="M284" s="654" t="inlineStr">
        <is>
          <t>Итого</t>
        </is>
      </c>
      <c r="N284" s="624" t="n"/>
      <c r="O284" s="624" t="n"/>
      <c r="P284" s="624" t="n"/>
      <c r="Q284" s="624" t="n"/>
      <c r="R284" s="624" t="n"/>
      <c r="S284" s="625" t="n"/>
      <c r="T284" s="43" t="inlineStr">
        <is>
          <t>кор</t>
        </is>
      </c>
      <c r="U284" s="655">
        <f>IFERROR(U283/H283,"0")</f>
        <v/>
      </c>
      <c r="V284" s="655">
        <f>IFERROR(V283/H283,"0")</f>
        <v/>
      </c>
      <c r="W284" s="655">
        <f>IFERROR(IF(W283="",0,W283),"0")</f>
        <v/>
      </c>
      <c r="X284" s="656" t="n"/>
      <c r="Y284" s="656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53" t="n"/>
      <c r="M285" s="654" t="inlineStr">
        <is>
          <t>Итого</t>
        </is>
      </c>
      <c r="N285" s="624" t="n"/>
      <c r="O285" s="624" t="n"/>
      <c r="P285" s="624" t="n"/>
      <c r="Q285" s="624" t="n"/>
      <c r="R285" s="624" t="n"/>
      <c r="S285" s="625" t="n"/>
      <c r="T285" s="43" t="inlineStr">
        <is>
          <t>кг</t>
        </is>
      </c>
      <c r="U285" s="655">
        <f>IFERROR(SUM(U283:U283),"0")</f>
        <v/>
      </c>
      <c r="V285" s="655">
        <f>IFERROR(SUM(V283:V283),"0")</f>
        <v/>
      </c>
      <c r="W285" s="43" t="n"/>
      <c r="X285" s="656" t="n"/>
      <c r="Y285" s="656" t="n"/>
    </row>
    <row r="286" ht="14.25" customHeight="1">
      <c r="A286" s="361" t="inlineStr">
        <is>
          <t>Сосиски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61" t="n"/>
      <c r="Y286" s="361" t="n"/>
    </row>
    <row r="287" ht="27" customHeight="1">
      <c r="A287" s="64" t="inlineStr">
        <is>
          <t>SU000246</t>
        </is>
      </c>
      <c r="B287" s="64" t="inlineStr">
        <is>
          <t>P002690</t>
        </is>
      </c>
      <c r="C287" s="37" t="n">
        <v>4301051298</v>
      </c>
      <c r="D287" s="362" t="n">
        <v>4607091384260</v>
      </c>
      <c r="E287" s="616" t="n"/>
      <c r="F287" s="648" t="n">
        <v>1.3</v>
      </c>
      <c r="G287" s="38" t="n">
        <v>6</v>
      </c>
      <c r="H287" s="648" t="n">
        <v>7.8</v>
      </c>
      <c r="I287" s="648" t="n">
        <v>8.364000000000001</v>
      </c>
      <c r="J287" s="38" t="n">
        <v>56</v>
      </c>
      <c r="K287" s="39" t="inlineStr">
        <is>
          <t>СК2</t>
        </is>
      </c>
      <c r="L287" s="38" t="n">
        <v>35</v>
      </c>
      <c r="M287" s="81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7" s="650" t="n"/>
      <c r="O287" s="650" t="n"/>
      <c r="P287" s="650" t="n"/>
      <c r="Q287" s="616" t="n"/>
      <c r="R287" s="40" t="inlineStr"/>
      <c r="S287" s="40" t="inlineStr"/>
      <c r="T287" s="41" t="inlineStr">
        <is>
          <t>кг</t>
        </is>
      </c>
      <c r="U287" s="651" t="n">
        <v>20</v>
      </c>
      <c r="V287" s="65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235" t="inlineStr">
        <is>
          <t>КИ</t>
        </is>
      </c>
    </row>
    <row r="288">
      <c r="A288" s="370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53" t="n"/>
      <c r="M288" s="654" t="inlineStr">
        <is>
          <t>Итого</t>
        </is>
      </c>
      <c r="N288" s="624" t="n"/>
      <c r="O288" s="624" t="n"/>
      <c r="P288" s="624" t="n"/>
      <c r="Q288" s="624" t="n"/>
      <c r="R288" s="624" t="n"/>
      <c r="S288" s="625" t="n"/>
      <c r="T288" s="43" t="inlineStr">
        <is>
          <t>кор</t>
        </is>
      </c>
      <c r="U288" s="655">
        <f>IFERROR(U287/H287,"0")</f>
        <v/>
      </c>
      <c r="V288" s="655">
        <f>IFERROR(V287/H287,"0")</f>
        <v/>
      </c>
      <c r="W288" s="655">
        <f>IFERROR(IF(W287="",0,W287),"0")</f>
        <v/>
      </c>
      <c r="X288" s="656" t="n"/>
      <c r="Y288" s="656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53" t="n"/>
      <c r="M289" s="654" t="inlineStr">
        <is>
          <t>Итого</t>
        </is>
      </c>
      <c r="N289" s="624" t="n"/>
      <c r="O289" s="624" t="n"/>
      <c r="P289" s="624" t="n"/>
      <c r="Q289" s="624" t="n"/>
      <c r="R289" s="624" t="n"/>
      <c r="S289" s="625" t="n"/>
      <c r="T289" s="43" t="inlineStr">
        <is>
          <t>кг</t>
        </is>
      </c>
      <c r="U289" s="655">
        <f>IFERROR(SUM(U287:U287),"0")</f>
        <v/>
      </c>
      <c r="V289" s="655">
        <f>IFERROR(SUM(V287:V287),"0")</f>
        <v/>
      </c>
      <c r="W289" s="43" t="n"/>
      <c r="X289" s="656" t="n"/>
      <c r="Y289" s="656" t="n"/>
    </row>
    <row r="290" ht="14.25" customHeight="1">
      <c r="A290" s="361" t="inlineStr">
        <is>
          <t>Сардельки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61" t="n"/>
      <c r="Y290" s="361" t="n"/>
    </row>
    <row r="291" ht="16.5" customHeight="1">
      <c r="A291" s="64" t="inlineStr">
        <is>
          <t>SU002287</t>
        </is>
      </c>
      <c r="B291" s="64" t="inlineStr">
        <is>
          <t>P002490</t>
        </is>
      </c>
      <c r="C291" s="37" t="n">
        <v>4301060314</v>
      </c>
      <c r="D291" s="362" t="n">
        <v>4607091384673</v>
      </c>
      <c r="E291" s="616" t="n"/>
      <c r="F291" s="648" t="n">
        <v>1.3</v>
      </c>
      <c r="G291" s="38" t="n">
        <v>6</v>
      </c>
      <c r="H291" s="648" t="n">
        <v>7.8</v>
      </c>
      <c r="I291" s="648" t="n">
        <v>8.364000000000001</v>
      </c>
      <c r="J291" s="38" t="n">
        <v>56</v>
      </c>
      <c r="K291" s="39" t="inlineStr">
        <is>
          <t>СК2</t>
        </is>
      </c>
      <c r="L291" s="38" t="n">
        <v>30</v>
      </c>
      <c r="M291" s="82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1" s="650" t="n"/>
      <c r="O291" s="650" t="n"/>
      <c r="P291" s="650" t="n"/>
      <c r="Q291" s="616" t="n"/>
      <c r="R291" s="40" t="inlineStr"/>
      <c r="S291" s="40" t="inlineStr"/>
      <c r="T291" s="41" t="inlineStr">
        <is>
          <t>кг</t>
        </is>
      </c>
      <c r="U291" s="651" t="n">
        <v>0</v>
      </c>
      <c r="V291" s="652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236" t="inlineStr">
        <is>
          <t>КИ</t>
        </is>
      </c>
    </row>
    <row r="292">
      <c r="A292" s="370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53" t="n"/>
      <c r="M292" s="654" t="inlineStr">
        <is>
          <t>Итого</t>
        </is>
      </c>
      <c r="N292" s="624" t="n"/>
      <c r="O292" s="624" t="n"/>
      <c r="P292" s="624" t="n"/>
      <c r="Q292" s="624" t="n"/>
      <c r="R292" s="624" t="n"/>
      <c r="S292" s="625" t="n"/>
      <c r="T292" s="43" t="inlineStr">
        <is>
          <t>кор</t>
        </is>
      </c>
      <c r="U292" s="655">
        <f>IFERROR(U291/H291,"0")</f>
        <v/>
      </c>
      <c r="V292" s="655">
        <f>IFERROR(V291/H291,"0")</f>
        <v/>
      </c>
      <c r="W292" s="655">
        <f>IFERROR(IF(W291="",0,W291),"0")</f>
        <v/>
      </c>
      <c r="X292" s="656" t="n"/>
      <c r="Y292" s="65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53" t="n"/>
      <c r="M293" s="654" t="inlineStr">
        <is>
          <t>Итого</t>
        </is>
      </c>
      <c r="N293" s="624" t="n"/>
      <c r="O293" s="624" t="n"/>
      <c r="P293" s="624" t="n"/>
      <c r="Q293" s="624" t="n"/>
      <c r="R293" s="624" t="n"/>
      <c r="S293" s="625" t="n"/>
      <c r="T293" s="43" t="inlineStr">
        <is>
          <t>кг</t>
        </is>
      </c>
      <c r="U293" s="655">
        <f>IFERROR(SUM(U291:U291),"0")</f>
        <v/>
      </c>
      <c r="V293" s="655">
        <f>IFERROR(SUM(V291:V291),"0")</f>
        <v/>
      </c>
      <c r="W293" s="43" t="n"/>
      <c r="X293" s="656" t="n"/>
      <c r="Y293" s="656" t="n"/>
    </row>
    <row r="294" ht="16.5" customHeight="1">
      <c r="A294" s="360" t="inlineStr">
        <is>
          <t>Особая Без свинины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60" t="n"/>
      <c r="Y294" s="360" t="n"/>
    </row>
    <row r="295" ht="14.25" customHeight="1">
      <c r="A295" s="361" t="inlineStr">
        <is>
          <t>Вареные колбасы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61" t="n"/>
      <c r="Y295" s="361" t="n"/>
    </row>
    <row r="296" ht="27" customHeight="1">
      <c r="A296" s="64" t="inlineStr">
        <is>
          <t>SU002073</t>
        </is>
      </c>
      <c r="B296" s="64" t="inlineStr">
        <is>
          <t>P002563</t>
        </is>
      </c>
      <c r="C296" s="37" t="n">
        <v>4301011324</v>
      </c>
      <c r="D296" s="362" t="n">
        <v>4607091384185</v>
      </c>
      <c r="E296" s="616" t="n"/>
      <c r="F296" s="648" t="n">
        <v>0.8</v>
      </c>
      <c r="G296" s="38" t="n">
        <v>15</v>
      </c>
      <c r="H296" s="648" t="n">
        <v>12</v>
      </c>
      <c r="I296" s="648" t="n">
        <v>12.48</v>
      </c>
      <c r="J296" s="38" t="n">
        <v>56</v>
      </c>
      <c r="K296" s="39" t="inlineStr">
        <is>
          <t>СК2</t>
        </is>
      </c>
      <c r="L296" s="38" t="n">
        <v>60</v>
      </c>
      <c r="M296" s="82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6" s="650" t="n"/>
      <c r="O296" s="650" t="n"/>
      <c r="P296" s="650" t="n"/>
      <c r="Q296" s="616" t="n"/>
      <c r="R296" s="40" t="inlineStr"/>
      <c r="S296" s="40" t="inlineStr"/>
      <c r="T296" s="41" t="inlineStr">
        <is>
          <t>кг</t>
        </is>
      </c>
      <c r="U296" s="651" t="n">
        <v>0</v>
      </c>
      <c r="V296" s="65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237" t="inlineStr">
        <is>
          <t>КИ</t>
        </is>
      </c>
    </row>
    <row r="297" ht="27" customHeight="1">
      <c r="A297" s="64" t="inlineStr">
        <is>
          <t>SU002187</t>
        </is>
      </c>
      <c r="B297" s="64" t="inlineStr">
        <is>
          <t>P002559</t>
        </is>
      </c>
      <c r="C297" s="37" t="n">
        <v>4301011312</v>
      </c>
      <c r="D297" s="362" t="n">
        <v>4607091384192</v>
      </c>
      <c r="E297" s="616" t="n"/>
      <c r="F297" s="648" t="n">
        <v>1.8</v>
      </c>
      <c r="G297" s="38" t="n">
        <v>6</v>
      </c>
      <c r="H297" s="648" t="n">
        <v>10.8</v>
      </c>
      <c r="I297" s="648" t="n">
        <v>11.28</v>
      </c>
      <c r="J297" s="38" t="n">
        <v>56</v>
      </c>
      <c r="K297" s="39" t="inlineStr">
        <is>
          <t>СК1</t>
        </is>
      </c>
      <c r="L297" s="38" t="n">
        <v>60</v>
      </c>
      <c r="M297" s="82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7" s="650" t="n"/>
      <c r="O297" s="650" t="n"/>
      <c r="P297" s="650" t="n"/>
      <c r="Q297" s="616" t="n"/>
      <c r="R297" s="40" t="inlineStr"/>
      <c r="S297" s="40" t="inlineStr"/>
      <c r="T297" s="41" t="inlineStr">
        <is>
          <t>кг</t>
        </is>
      </c>
      <c r="U297" s="651" t="n">
        <v>0</v>
      </c>
      <c r="V297" s="652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SU002899</t>
        </is>
      </c>
      <c r="B298" s="64" t="inlineStr">
        <is>
          <t>P003323</t>
        </is>
      </c>
      <c r="C298" s="37" t="n">
        <v>4301011483</v>
      </c>
      <c r="D298" s="362" t="n">
        <v>4680115881907</v>
      </c>
      <c r="E298" s="616" t="n"/>
      <c r="F298" s="648" t="n">
        <v>1.8</v>
      </c>
      <c r="G298" s="38" t="n">
        <v>6</v>
      </c>
      <c r="H298" s="648" t="n">
        <v>10.8</v>
      </c>
      <c r="I298" s="648" t="n">
        <v>11.28</v>
      </c>
      <c r="J298" s="38" t="n">
        <v>56</v>
      </c>
      <c r="K298" s="39" t="inlineStr">
        <is>
          <t>СК2</t>
        </is>
      </c>
      <c r="L298" s="38" t="n">
        <v>60</v>
      </c>
      <c r="M298" s="823" t="inlineStr">
        <is>
          <t>Вареные колбасы "Молочная оригинальная" Вес П/а ТМ "Особый рецепт" большой батон</t>
        </is>
      </c>
      <c r="N298" s="650" t="n"/>
      <c r="O298" s="650" t="n"/>
      <c r="P298" s="650" t="n"/>
      <c r="Q298" s="616" t="n"/>
      <c r="R298" s="40" t="inlineStr"/>
      <c r="S298" s="40" t="inlineStr"/>
      <c r="T298" s="41" t="inlineStr">
        <is>
          <t>кг</t>
        </is>
      </c>
      <c r="U298" s="651" t="n">
        <v>100</v>
      </c>
      <c r="V298" s="65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SU002462</t>
        </is>
      </c>
      <c r="B299" s="64" t="inlineStr">
        <is>
          <t>P002768</t>
        </is>
      </c>
      <c r="C299" s="37" t="n">
        <v>4301011303</v>
      </c>
      <c r="D299" s="362" t="n">
        <v>4607091384680</v>
      </c>
      <c r="E299" s="616" t="n"/>
      <c r="F299" s="648" t="n">
        <v>0.4</v>
      </c>
      <c r="G299" s="38" t="n">
        <v>10</v>
      </c>
      <c r="H299" s="648" t="n">
        <v>4</v>
      </c>
      <c r="I299" s="648" t="n">
        <v>4.21</v>
      </c>
      <c r="J299" s="38" t="n">
        <v>120</v>
      </c>
      <c r="K299" s="39" t="inlineStr">
        <is>
          <t>СК2</t>
        </is>
      </c>
      <c r="L299" s="38" t="n">
        <v>60</v>
      </c>
      <c r="M299" s="82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9" s="650" t="n"/>
      <c r="O299" s="650" t="n"/>
      <c r="P299" s="650" t="n"/>
      <c r="Q299" s="616" t="n"/>
      <c r="R299" s="40" t="inlineStr"/>
      <c r="S299" s="40" t="inlineStr"/>
      <c r="T299" s="41" t="inlineStr">
        <is>
          <t>кг</t>
        </is>
      </c>
      <c r="U299" s="651" t="n">
        <v>0</v>
      </c>
      <c r="V299" s="652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240" t="inlineStr">
        <is>
          <t>КИ</t>
        </is>
      </c>
    </row>
    <row r="300">
      <c r="A300" s="370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53" t="n"/>
      <c r="M300" s="654" t="inlineStr">
        <is>
          <t>Итого</t>
        </is>
      </c>
      <c r="N300" s="624" t="n"/>
      <c r="O300" s="624" t="n"/>
      <c r="P300" s="624" t="n"/>
      <c r="Q300" s="624" t="n"/>
      <c r="R300" s="624" t="n"/>
      <c r="S300" s="625" t="n"/>
      <c r="T300" s="43" t="inlineStr">
        <is>
          <t>кор</t>
        </is>
      </c>
      <c r="U300" s="655">
        <f>IFERROR(U296/H296,"0")+IFERROR(U297/H297,"0")+IFERROR(U298/H298,"0")+IFERROR(U299/H299,"0")</f>
        <v/>
      </c>
      <c r="V300" s="655">
        <f>IFERROR(V296/H296,"0")+IFERROR(V297/H297,"0")+IFERROR(V298/H298,"0")+IFERROR(V299/H299,"0")</f>
        <v/>
      </c>
      <c r="W300" s="655">
        <f>IFERROR(IF(W296="",0,W296),"0")+IFERROR(IF(W297="",0,W297),"0")+IFERROR(IF(W298="",0,W298),"0")+IFERROR(IF(W299="",0,W299),"0")</f>
        <v/>
      </c>
      <c r="X300" s="656" t="n"/>
      <c r="Y300" s="656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53" t="n"/>
      <c r="M301" s="654" t="inlineStr">
        <is>
          <t>Итого</t>
        </is>
      </c>
      <c r="N301" s="624" t="n"/>
      <c r="O301" s="624" t="n"/>
      <c r="P301" s="624" t="n"/>
      <c r="Q301" s="624" t="n"/>
      <c r="R301" s="624" t="n"/>
      <c r="S301" s="625" t="n"/>
      <c r="T301" s="43" t="inlineStr">
        <is>
          <t>кг</t>
        </is>
      </c>
      <c r="U301" s="655">
        <f>IFERROR(SUM(U296:U299),"0")</f>
        <v/>
      </c>
      <c r="V301" s="655">
        <f>IFERROR(SUM(V296:V299),"0")</f>
        <v/>
      </c>
      <c r="W301" s="43" t="n"/>
      <c r="X301" s="656" t="n"/>
      <c r="Y301" s="656" t="n"/>
    </row>
    <row r="302" ht="14.25" customHeight="1">
      <c r="A302" s="361" t="inlineStr">
        <is>
          <t>Копченые колбасы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61" t="n"/>
      <c r="Y302" s="361" t="n"/>
    </row>
    <row r="303" ht="27" customHeight="1">
      <c r="A303" s="64" t="inlineStr">
        <is>
          <t>SU002360</t>
        </is>
      </c>
      <c r="B303" s="64" t="inlineStr">
        <is>
          <t>P002629</t>
        </is>
      </c>
      <c r="C303" s="37" t="n">
        <v>4301031139</v>
      </c>
      <c r="D303" s="362" t="n">
        <v>4607091384802</v>
      </c>
      <c r="E303" s="616" t="n"/>
      <c r="F303" s="648" t="n">
        <v>0.73</v>
      </c>
      <c r="G303" s="38" t="n">
        <v>6</v>
      </c>
      <c r="H303" s="648" t="n">
        <v>4.38</v>
      </c>
      <c r="I303" s="648" t="n">
        <v>4.58</v>
      </c>
      <c r="J303" s="38" t="n">
        <v>156</v>
      </c>
      <c r="K303" s="39" t="inlineStr">
        <is>
          <t>СК2</t>
        </is>
      </c>
      <c r="L303" s="38" t="n">
        <v>35</v>
      </c>
      <c r="M303" s="82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3" s="650" t="n"/>
      <c r="O303" s="650" t="n"/>
      <c r="P303" s="650" t="n"/>
      <c r="Q303" s="616" t="n"/>
      <c r="R303" s="40" t="inlineStr"/>
      <c r="S303" s="40" t="inlineStr"/>
      <c r="T303" s="41" t="inlineStr">
        <is>
          <t>кг</t>
        </is>
      </c>
      <c r="U303" s="651" t="n">
        <v>0</v>
      </c>
      <c r="V303" s="652">
        <f>IFERROR(IF(U303="",0,CEILING((U303/$H303),1)*$H303),"")</f>
        <v/>
      </c>
      <c r="W303" s="42">
        <f>IFERROR(IF(V303=0,"",ROUNDUP(V303/H303,0)*0.00753),"")</f>
        <v/>
      </c>
      <c r="X303" s="69" t="inlineStr"/>
      <c r="Y303" s="70" t="inlineStr"/>
      <c r="AC303" s="241" t="inlineStr">
        <is>
          <t>КИ</t>
        </is>
      </c>
    </row>
    <row r="304" ht="27" customHeight="1">
      <c r="A304" s="64" t="inlineStr">
        <is>
          <t>SU002361</t>
        </is>
      </c>
      <c r="B304" s="64" t="inlineStr">
        <is>
          <t>P002630</t>
        </is>
      </c>
      <c r="C304" s="37" t="n">
        <v>4301031140</v>
      </c>
      <c r="D304" s="362" t="n">
        <v>4607091384826</v>
      </c>
      <c r="E304" s="616" t="n"/>
      <c r="F304" s="648" t="n">
        <v>0.35</v>
      </c>
      <c r="G304" s="38" t="n">
        <v>8</v>
      </c>
      <c r="H304" s="648" t="n">
        <v>2.8</v>
      </c>
      <c r="I304" s="648" t="n">
        <v>2.9</v>
      </c>
      <c r="J304" s="38" t="n">
        <v>234</v>
      </c>
      <c r="K304" s="39" t="inlineStr">
        <is>
          <t>СК2</t>
        </is>
      </c>
      <c r="L304" s="38" t="n">
        <v>35</v>
      </c>
      <c r="M304" s="82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4" s="650" t="n"/>
      <c r="O304" s="650" t="n"/>
      <c r="P304" s="650" t="n"/>
      <c r="Q304" s="616" t="n"/>
      <c r="R304" s="40" t="inlineStr"/>
      <c r="S304" s="40" t="inlineStr"/>
      <c r="T304" s="41" t="inlineStr">
        <is>
          <t>кг</t>
        </is>
      </c>
      <c r="U304" s="651" t="n">
        <v>0</v>
      </c>
      <c r="V304" s="652">
        <f>IFERROR(IF(U304="",0,CEILING((U304/$H304),1)*$H304),"")</f>
        <v/>
      </c>
      <c r="W304" s="42">
        <f>IFERROR(IF(V304=0,"",ROUNDUP(V304/H304,0)*0.00502),"")</f>
        <v/>
      </c>
      <c r="X304" s="69" t="inlineStr"/>
      <c r="Y304" s="70" t="inlineStr"/>
      <c r="AC304" s="242" t="inlineStr">
        <is>
          <t>КИ</t>
        </is>
      </c>
    </row>
    <row r="305">
      <c r="A305" s="37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53" t="n"/>
      <c r="M305" s="654" t="inlineStr">
        <is>
          <t>Итого</t>
        </is>
      </c>
      <c r="N305" s="624" t="n"/>
      <c r="O305" s="624" t="n"/>
      <c r="P305" s="624" t="n"/>
      <c r="Q305" s="624" t="n"/>
      <c r="R305" s="624" t="n"/>
      <c r="S305" s="625" t="n"/>
      <c r="T305" s="43" t="inlineStr">
        <is>
          <t>кор</t>
        </is>
      </c>
      <c r="U305" s="655">
        <f>IFERROR(U303/H303,"0")+IFERROR(U304/H304,"0")</f>
        <v/>
      </c>
      <c r="V305" s="655">
        <f>IFERROR(V303/H303,"0")+IFERROR(V304/H304,"0")</f>
        <v/>
      </c>
      <c r="W305" s="655">
        <f>IFERROR(IF(W303="",0,W303),"0")+IFERROR(IF(W304="",0,W304),"0")</f>
        <v/>
      </c>
      <c r="X305" s="656" t="n"/>
      <c r="Y305" s="65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53" t="n"/>
      <c r="M306" s="654" t="inlineStr">
        <is>
          <t>Итого</t>
        </is>
      </c>
      <c r="N306" s="624" t="n"/>
      <c r="O306" s="624" t="n"/>
      <c r="P306" s="624" t="n"/>
      <c r="Q306" s="624" t="n"/>
      <c r="R306" s="624" t="n"/>
      <c r="S306" s="625" t="n"/>
      <c r="T306" s="43" t="inlineStr">
        <is>
          <t>кг</t>
        </is>
      </c>
      <c r="U306" s="655">
        <f>IFERROR(SUM(U303:U304),"0")</f>
        <v/>
      </c>
      <c r="V306" s="655">
        <f>IFERROR(SUM(V303:V304),"0")</f>
        <v/>
      </c>
      <c r="W306" s="43" t="n"/>
      <c r="X306" s="656" t="n"/>
      <c r="Y306" s="656" t="n"/>
    </row>
    <row r="307" ht="14.25" customHeight="1">
      <c r="A307" s="361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61" t="n"/>
      <c r="Y307" s="361" t="n"/>
    </row>
    <row r="308" ht="27" customHeight="1">
      <c r="A308" s="64" t="inlineStr">
        <is>
          <t>SU002074</t>
        </is>
      </c>
      <c r="B308" s="64" t="inlineStr">
        <is>
          <t>P002693</t>
        </is>
      </c>
      <c r="C308" s="37" t="n">
        <v>4301051303</v>
      </c>
      <c r="D308" s="362" t="n">
        <v>4607091384246</v>
      </c>
      <c r="E308" s="616" t="n"/>
      <c r="F308" s="648" t="n">
        <v>1.3</v>
      </c>
      <c r="G308" s="38" t="n">
        <v>6</v>
      </c>
      <c r="H308" s="648" t="n">
        <v>7.8</v>
      </c>
      <c r="I308" s="648" t="n">
        <v>8.364000000000001</v>
      </c>
      <c r="J308" s="38" t="n">
        <v>56</v>
      </c>
      <c r="K308" s="39" t="inlineStr">
        <is>
          <t>СК2</t>
        </is>
      </c>
      <c r="L308" s="38" t="n">
        <v>40</v>
      </c>
      <c r="M308" s="82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8" s="650" t="n"/>
      <c r="O308" s="650" t="n"/>
      <c r="P308" s="650" t="n"/>
      <c r="Q308" s="616" t="n"/>
      <c r="R308" s="40" t="inlineStr"/>
      <c r="S308" s="40" t="inlineStr"/>
      <c r="T308" s="41" t="inlineStr">
        <is>
          <t>кг</t>
        </is>
      </c>
      <c r="U308" s="651" t="n">
        <v>30</v>
      </c>
      <c r="V308" s="65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43" t="inlineStr">
        <is>
          <t>КИ</t>
        </is>
      </c>
    </row>
    <row r="309" ht="27" customHeight="1">
      <c r="A309" s="64" t="inlineStr">
        <is>
          <t>SU002896</t>
        </is>
      </c>
      <c r="B309" s="64" t="inlineStr">
        <is>
          <t>P003330</t>
        </is>
      </c>
      <c r="C309" s="37" t="n">
        <v>4301051445</v>
      </c>
      <c r="D309" s="362" t="n">
        <v>4680115881976</v>
      </c>
      <c r="E309" s="616" t="n"/>
      <c r="F309" s="648" t="n">
        <v>1.3</v>
      </c>
      <c r="G309" s="38" t="n">
        <v>6</v>
      </c>
      <c r="H309" s="648" t="n">
        <v>7.8</v>
      </c>
      <c r="I309" s="648" t="n">
        <v>8.279999999999999</v>
      </c>
      <c r="J309" s="38" t="n">
        <v>56</v>
      </c>
      <c r="K309" s="39" t="inlineStr">
        <is>
          <t>СК2</t>
        </is>
      </c>
      <c r="L309" s="38" t="n">
        <v>40</v>
      </c>
      <c r="M309" s="828" t="inlineStr">
        <is>
          <t>Сосиски "Сочные без свинины" Весовые ТМ "Особый рецепт" 1,3 кг</t>
        </is>
      </c>
      <c r="N309" s="650" t="n"/>
      <c r="O309" s="650" t="n"/>
      <c r="P309" s="650" t="n"/>
      <c r="Q309" s="616" t="n"/>
      <c r="R309" s="40" t="inlineStr"/>
      <c r="S309" s="40" t="inlineStr"/>
      <c r="T309" s="41" t="inlineStr">
        <is>
          <t>кг</t>
        </is>
      </c>
      <c r="U309" s="651" t="n">
        <v>0</v>
      </c>
      <c r="V309" s="652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SU002205</t>
        </is>
      </c>
      <c r="B310" s="64" t="inlineStr">
        <is>
          <t>P002694</t>
        </is>
      </c>
      <c r="C310" s="37" t="n">
        <v>4301051297</v>
      </c>
      <c r="D310" s="362" t="n">
        <v>4607091384253</v>
      </c>
      <c r="E310" s="616" t="n"/>
      <c r="F310" s="648" t="n">
        <v>0.4</v>
      </c>
      <c r="G310" s="38" t="n">
        <v>6</v>
      </c>
      <c r="H310" s="648" t="n">
        <v>2.4</v>
      </c>
      <c r="I310" s="648" t="n">
        <v>2.684</v>
      </c>
      <c r="J310" s="38" t="n">
        <v>156</v>
      </c>
      <c r="K310" s="39" t="inlineStr">
        <is>
          <t>СК2</t>
        </is>
      </c>
      <c r="L310" s="38" t="n">
        <v>40</v>
      </c>
      <c r="M310" s="82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0" s="650" t="n"/>
      <c r="O310" s="650" t="n"/>
      <c r="P310" s="650" t="n"/>
      <c r="Q310" s="616" t="n"/>
      <c r="R310" s="40" t="inlineStr"/>
      <c r="S310" s="40" t="inlineStr"/>
      <c r="T310" s="41" t="inlineStr">
        <is>
          <t>кг</t>
        </is>
      </c>
      <c r="U310" s="651" t="n">
        <v>0</v>
      </c>
      <c r="V310" s="652">
        <f>IFERROR(IF(U310="",0,CEILING((U310/$H310),1)*$H310),"")</f>
        <v/>
      </c>
      <c r="W310" s="42">
        <f>IFERROR(IF(V310=0,"",ROUNDUP(V310/H310,0)*0.00753),"")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62" t="n">
        <v>4680115881969</v>
      </c>
      <c r="E311" s="616" t="n"/>
      <c r="F311" s="648" t="n">
        <v>0.4</v>
      </c>
      <c r="G311" s="38" t="n">
        <v>6</v>
      </c>
      <c r="H311" s="648" t="n">
        <v>2.4</v>
      </c>
      <c r="I311" s="648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30" t="inlineStr">
        <is>
          <t>Сосиски "Сочные без свинины" ф/в 0,4 кг ТМ "Особый рецепт"</t>
        </is>
      </c>
      <c r="N311" s="650" t="n"/>
      <c r="O311" s="650" t="n"/>
      <c r="P311" s="650" t="n"/>
      <c r="Q311" s="616" t="n"/>
      <c r="R311" s="40" t="inlineStr"/>
      <c r="S311" s="40" t="inlineStr"/>
      <c r="T311" s="41" t="inlineStr">
        <is>
          <t>кг</t>
        </is>
      </c>
      <c r="U311" s="651" t="n">
        <v>0</v>
      </c>
      <c r="V311" s="652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>
      <c r="A312" s="370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53" t="n"/>
      <c r="M312" s="654" t="inlineStr">
        <is>
          <t>Итого</t>
        </is>
      </c>
      <c r="N312" s="624" t="n"/>
      <c r="O312" s="624" t="n"/>
      <c r="P312" s="624" t="n"/>
      <c r="Q312" s="624" t="n"/>
      <c r="R312" s="624" t="n"/>
      <c r="S312" s="625" t="n"/>
      <c r="T312" s="43" t="inlineStr">
        <is>
          <t>кор</t>
        </is>
      </c>
      <c r="U312" s="655">
        <f>IFERROR(U308/H308,"0")+IFERROR(U309/H309,"0")+IFERROR(U310/H310,"0")+IFERROR(U311/H311,"0")</f>
        <v/>
      </c>
      <c r="V312" s="655">
        <f>IFERROR(V308/H308,"0")+IFERROR(V309/H309,"0")+IFERROR(V310/H310,"0")+IFERROR(V311/H311,"0")</f>
        <v/>
      </c>
      <c r="W312" s="655">
        <f>IFERROR(IF(W308="",0,W308),"0")+IFERROR(IF(W309="",0,W309),"0")+IFERROR(IF(W310="",0,W310),"0")+IFERROR(IF(W311="",0,W311),"0")</f>
        <v/>
      </c>
      <c r="X312" s="656" t="n"/>
      <c r="Y312" s="656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53" t="n"/>
      <c r="M313" s="654" t="inlineStr">
        <is>
          <t>Итого</t>
        </is>
      </c>
      <c r="N313" s="624" t="n"/>
      <c r="O313" s="624" t="n"/>
      <c r="P313" s="624" t="n"/>
      <c r="Q313" s="624" t="n"/>
      <c r="R313" s="624" t="n"/>
      <c r="S313" s="625" t="n"/>
      <c r="T313" s="43" t="inlineStr">
        <is>
          <t>кг</t>
        </is>
      </c>
      <c r="U313" s="655">
        <f>IFERROR(SUM(U308:U311),"0")</f>
        <v/>
      </c>
      <c r="V313" s="655">
        <f>IFERROR(SUM(V308:V311),"0")</f>
        <v/>
      </c>
      <c r="W313" s="43" t="n"/>
      <c r="X313" s="656" t="n"/>
      <c r="Y313" s="656" t="n"/>
    </row>
    <row r="314" ht="14.25" customHeight="1">
      <c r="A314" s="361" t="inlineStr">
        <is>
          <t>Сардельки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61" t="n"/>
      <c r="Y314" s="361" t="n"/>
    </row>
    <row r="315" ht="27" customHeight="1">
      <c r="A315" s="64" t="inlineStr">
        <is>
          <t>SU002472</t>
        </is>
      </c>
      <c r="B315" s="64" t="inlineStr">
        <is>
          <t>P002973</t>
        </is>
      </c>
      <c r="C315" s="37" t="n">
        <v>4301060322</v>
      </c>
      <c r="D315" s="362" t="n">
        <v>4607091389357</v>
      </c>
      <c r="E315" s="616" t="n"/>
      <c r="F315" s="648" t="n">
        <v>1.3</v>
      </c>
      <c r="G315" s="38" t="n">
        <v>6</v>
      </c>
      <c r="H315" s="648" t="n">
        <v>7.8</v>
      </c>
      <c r="I315" s="648" t="n">
        <v>8.279999999999999</v>
      </c>
      <c r="J315" s="38" t="n">
        <v>56</v>
      </c>
      <c r="K315" s="39" t="inlineStr">
        <is>
          <t>СК2</t>
        </is>
      </c>
      <c r="L315" s="38" t="n">
        <v>40</v>
      </c>
      <c r="M315" s="831" t="inlineStr">
        <is>
          <t>Сардельки Левантские Особая Без свинины Весовые NDX мгс Особый рецепт</t>
        </is>
      </c>
      <c r="N315" s="650" t="n"/>
      <c r="O315" s="650" t="n"/>
      <c r="P315" s="650" t="n"/>
      <c r="Q315" s="616" t="n"/>
      <c r="R315" s="40" t="inlineStr"/>
      <c r="S315" s="40" t="inlineStr"/>
      <c r="T315" s="41" t="inlineStr">
        <is>
          <t>кг</t>
        </is>
      </c>
      <c r="U315" s="651" t="n">
        <v>0</v>
      </c>
      <c r="V315" s="65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247" t="inlineStr">
        <is>
          <t>КИ</t>
        </is>
      </c>
    </row>
    <row r="316">
      <c r="A316" s="370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653" t="n"/>
      <c r="M316" s="654" t="inlineStr">
        <is>
          <t>Итого</t>
        </is>
      </c>
      <c r="N316" s="624" t="n"/>
      <c r="O316" s="624" t="n"/>
      <c r="P316" s="624" t="n"/>
      <c r="Q316" s="624" t="n"/>
      <c r="R316" s="624" t="n"/>
      <c r="S316" s="625" t="n"/>
      <c r="T316" s="43" t="inlineStr">
        <is>
          <t>кор</t>
        </is>
      </c>
      <c r="U316" s="655">
        <f>IFERROR(U315/H315,"0")</f>
        <v/>
      </c>
      <c r="V316" s="655">
        <f>IFERROR(V315/H315,"0")</f>
        <v/>
      </c>
      <c r="W316" s="655">
        <f>IFERROR(IF(W315="",0,W315),"0")</f>
        <v/>
      </c>
      <c r="X316" s="656" t="n"/>
      <c r="Y316" s="656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53" t="n"/>
      <c r="M317" s="654" t="inlineStr">
        <is>
          <t>Итого</t>
        </is>
      </c>
      <c r="N317" s="624" t="n"/>
      <c r="O317" s="624" t="n"/>
      <c r="P317" s="624" t="n"/>
      <c r="Q317" s="624" t="n"/>
      <c r="R317" s="624" t="n"/>
      <c r="S317" s="625" t="n"/>
      <c r="T317" s="43" t="inlineStr">
        <is>
          <t>кг</t>
        </is>
      </c>
      <c r="U317" s="655">
        <f>IFERROR(SUM(U315:U315),"0")</f>
        <v/>
      </c>
      <c r="V317" s="655">
        <f>IFERROR(SUM(V315:V315),"0")</f>
        <v/>
      </c>
      <c r="W317" s="43" t="n"/>
      <c r="X317" s="656" t="n"/>
      <c r="Y317" s="656" t="n"/>
    </row>
    <row r="318" ht="27.75" customHeight="1">
      <c r="A318" s="359" t="inlineStr">
        <is>
          <t>Баварушка</t>
        </is>
      </c>
      <c r="B318" s="647" t="n"/>
      <c r="C318" s="647" t="n"/>
      <c r="D318" s="647" t="n"/>
      <c r="E318" s="647" t="n"/>
      <c r="F318" s="647" t="n"/>
      <c r="G318" s="647" t="n"/>
      <c r="H318" s="647" t="n"/>
      <c r="I318" s="647" t="n"/>
      <c r="J318" s="647" t="n"/>
      <c r="K318" s="647" t="n"/>
      <c r="L318" s="647" t="n"/>
      <c r="M318" s="647" t="n"/>
      <c r="N318" s="647" t="n"/>
      <c r="O318" s="647" t="n"/>
      <c r="P318" s="647" t="n"/>
      <c r="Q318" s="647" t="n"/>
      <c r="R318" s="647" t="n"/>
      <c r="S318" s="647" t="n"/>
      <c r="T318" s="647" t="n"/>
      <c r="U318" s="647" t="n"/>
      <c r="V318" s="647" t="n"/>
      <c r="W318" s="647" t="n"/>
      <c r="X318" s="55" t="n"/>
      <c r="Y318" s="55" t="n"/>
    </row>
    <row r="319" ht="16.5" customHeight="1">
      <c r="A319" s="360" t="inlineStr">
        <is>
          <t>Филейбургская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60" t="n"/>
      <c r="Y319" s="360" t="n"/>
    </row>
    <row r="320" ht="14.25" customHeight="1">
      <c r="A320" s="361" t="inlineStr">
        <is>
          <t>Вареные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61" t="n"/>
      <c r="Y320" s="361" t="n"/>
    </row>
    <row r="321" ht="27" customHeight="1">
      <c r="A321" s="64" t="inlineStr">
        <is>
          <t>SU002477</t>
        </is>
      </c>
      <c r="B321" s="64" t="inlineStr">
        <is>
          <t>P003148</t>
        </is>
      </c>
      <c r="C321" s="37" t="n">
        <v>4301011428</v>
      </c>
      <c r="D321" s="362" t="n">
        <v>4607091389708</v>
      </c>
      <c r="E321" s="616" t="n"/>
      <c r="F321" s="648" t="n">
        <v>0.45</v>
      </c>
      <c r="G321" s="38" t="n">
        <v>6</v>
      </c>
      <c r="H321" s="648" t="n">
        <v>2.7</v>
      </c>
      <c r="I321" s="648" t="n">
        <v>2.9</v>
      </c>
      <c r="J321" s="38" t="n">
        <v>156</v>
      </c>
      <c r="K321" s="39" t="inlineStr">
        <is>
          <t>СК1</t>
        </is>
      </c>
      <c r="L321" s="38" t="n">
        <v>50</v>
      </c>
      <c r="M321" s="83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1" s="650" t="n"/>
      <c r="O321" s="650" t="n"/>
      <c r="P321" s="650" t="n"/>
      <c r="Q321" s="616" t="n"/>
      <c r="R321" s="40" t="inlineStr"/>
      <c r="S321" s="40" t="inlineStr"/>
      <c r="T321" s="41" t="inlineStr">
        <is>
          <t>кг</t>
        </is>
      </c>
      <c r="U321" s="651" t="n">
        <v>0</v>
      </c>
      <c r="V321" s="652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248" t="inlineStr">
        <is>
          <t>КИ</t>
        </is>
      </c>
    </row>
    <row r="322" ht="27" customHeight="1">
      <c r="A322" s="64" t="inlineStr">
        <is>
          <t>SU002476</t>
        </is>
      </c>
      <c r="B322" s="64" t="inlineStr">
        <is>
          <t>P003147</t>
        </is>
      </c>
      <c r="C322" s="37" t="n">
        <v>4301011427</v>
      </c>
      <c r="D322" s="362" t="n">
        <v>4607091389692</v>
      </c>
      <c r="E322" s="616" t="n"/>
      <c r="F322" s="648" t="n">
        <v>0.45</v>
      </c>
      <c r="G322" s="38" t="n">
        <v>6</v>
      </c>
      <c r="H322" s="648" t="n">
        <v>2.7</v>
      </c>
      <c r="I322" s="648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33" t="inlineStr">
        <is>
          <t>Вареные колбасы Филейбургская Филейбургская Фикс.Вес 0,45 П/а Баварушка</t>
        </is>
      </c>
      <c r="N322" s="650" t="n"/>
      <c r="O322" s="650" t="n"/>
      <c r="P322" s="650" t="n"/>
      <c r="Q322" s="616" t="n"/>
      <c r="R322" s="40" t="inlineStr"/>
      <c r="S322" s="40" t="inlineStr"/>
      <c r="T322" s="41" t="inlineStr">
        <is>
          <t>кг</t>
        </is>
      </c>
      <c r="U322" s="651" t="n">
        <v>0</v>
      </c>
      <c r="V322" s="652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>
      <c r="A323" s="370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53" t="n"/>
      <c r="M323" s="654" t="inlineStr">
        <is>
          <t>Итого</t>
        </is>
      </c>
      <c r="N323" s="624" t="n"/>
      <c r="O323" s="624" t="n"/>
      <c r="P323" s="624" t="n"/>
      <c r="Q323" s="624" t="n"/>
      <c r="R323" s="624" t="n"/>
      <c r="S323" s="625" t="n"/>
      <c r="T323" s="43" t="inlineStr">
        <is>
          <t>кор</t>
        </is>
      </c>
      <c r="U323" s="655">
        <f>IFERROR(U321/H321,"0")+IFERROR(U322/H322,"0")</f>
        <v/>
      </c>
      <c r="V323" s="655">
        <f>IFERROR(V321/H321,"0")+IFERROR(V322/H322,"0")</f>
        <v/>
      </c>
      <c r="W323" s="655">
        <f>IFERROR(IF(W321="",0,W321),"0")+IFERROR(IF(W322="",0,W322),"0")</f>
        <v/>
      </c>
      <c r="X323" s="656" t="n"/>
      <c r="Y323" s="656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53" t="n"/>
      <c r="M324" s="654" t="inlineStr">
        <is>
          <t>Итого</t>
        </is>
      </c>
      <c r="N324" s="624" t="n"/>
      <c r="O324" s="624" t="n"/>
      <c r="P324" s="624" t="n"/>
      <c r="Q324" s="624" t="n"/>
      <c r="R324" s="624" t="n"/>
      <c r="S324" s="625" t="n"/>
      <c r="T324" s="43" t="inlineStr">
        <is>
          <t>кг</t>
        </is>
      </c>
      <c r="U324" s="655">
        <f>IFERROR(SUM(U321:U322),"0")</f>
        <v/>
      </c>
      <c r="V324" s="655">
        <f>IFERROR(SUM(V321:V322),"0")</f>
        <v/>
      </c>
      <c r="W324" s="43" t="n"/>
      <c r="X324" s="656" t="n"/>
      <c r="Y324" s="656" t="n"/>
    </row>
    <row r="325" ht="14.25" customHeight="1">
      <c r="A325" s="361" t="inlineStr">
        <is>
          <t>Копченые колбасы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61" t="n"/>
      <c r="Y325" s="361" t="n"/>
    </row>
    <row r="326" ht="27" customHeight="1">
      <c r="A326" s="64" t="inlineStr">
        <is>
          <t>SU003083</t>
        </is>
      </c>
      <c r="B326" s="64" t="inlineStr">
        <is>
          <t>P003646</t>
        </is>
      </c>
      <c r="C326" s="37" t="n">
        <v>4301031257</v>
      </c>
      <c r="D326" s="362" t="n">
        <v>4680115883147</v>
      </c>
      <c r="E326" s="616" t="n"/>
      <c r="F326" s="648" t="n">
        <v>0.28</v>
      </c>
      <c r="G326" s="38" t="n">
        <v>6</v>
      </c>
      <c r="H326" s="648" t="n">
        <v>1.68</v>
      </c>
      <c r="I326" s="648" t="n">
        <v>1.81</v>
      </c>
      <c r="J326" s="38" t="n">
        <v>234</v>
      </c>
      <c r="K326" s="39" t="inlineStr">
        <is>
          <t>СК2</t>
        </is>
      </c>
      <c r="L326" s="38" t="n">
        <v>45</v>
      </c>
      <c r="M326" s="834" t="inlineStr">
        <is>
          <t>В/к колбасы "Салями Филейбургская зернистая" срез Фикс.вес 0,28 фиброуз ТМ "Баварушка"</t>
        </is>
      </c>
      <c r="N326" s="650" t="n"/>
      <c r="O326" s="650" t="n"/>
      <c r="P326" s="650" t="n"/>
      <c r="Q326" s="616" t="n"/>
      <c r="R326" s="40" t="inlineStr">
        <is>
          <t>01.08.2023</t>
        </is>
      </c>
      <c r="S326" s="40" t="inlineStr"/>
      <c r="T326" s="41" t="inlineStr">
        <is>
          <t>кг</t>
        </is>
      </c>
      <c r="U326" s="651" t="n">
        <v>0</v>
      </c>
      <c r="V326" s="652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>
        <is>
          <t>Новинка</t>
        </is>
      </c>
      <c r="AC326" s="250" t="inlineStr">
        <is>
          <t>КИ</t>
        </is>
      </c>
    </row>
    <row r="327" ht="37.5" customHeight="1">
      <c r="A327" s="64" t="inlineStr">
        <is>
          <t>SU003079</t>
        </is>
      </c>
      <c r="B327" s="64" t="inlineStr">
        <is>
          <t>P003643</t>
        </is>
      </c>
      <c r="C327" s="37" t="n">
        <v>4301031254</v>
      </c>
      <c r="D327" s="362" t="n">
        <v>4680115883154</v>
      </c>
      <c r="E327" s="616" t="n"/>
      <c r="F327" s="648" t="n">
        <v>0.28</v>
      </c>
      <c r="G327" s="38" t="n">
        <v>6</v>
      </c>
      <c r="H327" s="648" t="n">
        <v>1.68</v>
      </c>
      <c r="I327" s="648" t="n">
        <v>1.81</v>
      </c>
      <c r="J327" s="38" t="n">
        <v>234</v>
      </c>
      <c r="K327" s="39" t="inlineStr">
        <is>
          <t>СК2</t>
        </is>
      </c>
      <c r="L327" s="38" t="n">
        <v>45</v>
      </c>
      <c r="M327" s="835" t="inlineStr">
        <is>
          <t>В/к колбасы "Сервелат Филейбургский с ароматными пряностями" срез Фикс.вес 0,28 фиброуз ТМ "Баварушка"</t>
        </is>
      </c>
      <c r="N327" s="650" t="n"/>
      <c r="O327" s="650" t="n"/>
      <c r="P327" s="650" t="n"/>
      <c r="Q327" s="616" t="n"/>
      <c r="R327" s="40" t="inlineStr">
        <is>
          <t>01.08.2023</t>
        </is>
      </c>
      <c r="S327" s="40" t="inlineStr"/>
      <c r="T327" s="41" t="inlineStr">
        <is>
          <t>кг</t>
        </is>
      </c>
      <c r="U327" s="651" t="n">
        <v>0</v>
      </c>
      <c r="V327" s="652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SU003080</t>
        </is>
      </c>
      <c r="B328" s="64" t="inlineStr">
        <is>
          <t>P003647</t>
        </is>
      </c>
      <c r="C328" s="37" t="n">
        <v>4301031258</v>
      </c>
      <c r="D328" s="362" t="n">
        <v>4680115883161</v>
      </c>
      <c r="E328" s="616" t="n"/>
      <c r="F328" s="648" t="n">
        <v>0.28</v>
      </c>
      <c r="G328" s="38" t="n">
        <v>6</v>
      </c>
      <c r="H328" s="648" t="n">
        <v>1.68</v>
      </c>
      <c r="I328" s="648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36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28" s="650" t="n"/>
      <c r="O328" s="650" t="n"/>
      <c r="P328" s="650" t="n"/>
      <c r="Q328" s="616" t="n"/>
      <c r="R328" s="40" t="inlineStr"/>
      <c r="S328" s="40" t="inlineStr"/>
      <c r="T328" s="41" t="inlineStr">
        <is>
          <t>кг</t>
        </is>
      </c>
      <c r="U328" s="651" t="n">
        <v>0</v>
      </c>
      <c r="V328" s="652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SU003082</t>
        </is>
      </c>
      <c r="B329" s="64" t="inlineStr">
        <is>
          <t>P003644</t>
        </is>
      </c>
      <c r="C329" s="37" t="n">
        <v>4301031255</v>
      </c>
      <c r="D329" s="362" t="n">
        <v>4680115883185</v>
      </c>
      <c r="E329" s="616" t="n"/>
      <c r="F329" s="648" t="n">
        <v>0.28</v>
      </c>
      <c r="G329" s="38" t="n">
        <v>6</v>
      </c>
      <c r="H329" s="648" t="n">
        <v>1.68</v>
      </c>
      <c r="I329" s="64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37" t="inlineStr">
        <is>
          <t>В/к колбасы "Филейбургская с душистым чесноком" срез Фикс.вес 0,28 фиброуз в/у Баварушка</t>
        </is>
      </c>
      <c r="N329" s="650" t="n"/>
      <c r="O329" s="650" t="n"/>
      <c r="P329" s="650" t="n"/>
      <c r="Q329" s="616" t="n"/>
      <c r="R329" s="40" t="inlineStr">
        <is>
          <t>01.08.2023</t>
        </is>
      </c>
      <c r="S329" s="40" t="inlineStr"/>
      <c r="T329" s="41" t="inlineStr">
        <is>
          <t>кг</t>
        </is>
      </c>
      <c r="U329" s="651" t="n">
        <v>0</v>
      </c>
      <c r="V329" s="65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27" customHeight="1">
      <c r="A330" s="64" t="inlineStr">
        <is>
          <t>SU002614</t>
        </is>
      </c>
      <c r="B330" s="64" t="inlineStr">
        <is>
          <t>P003138</t>
        </is>
      </c>
      <c r="C330" s="37" t="n">
        <v>4301031177</v>
      </c>
      <c r="D330" s="362" t="n">
        <v>4607091389753</v>
      </c>
      <c r="E330" s="616" t="n"/>
      <c r="F330" s="648" t="n">
        <v>0.7</v>
      </c>
      <c r="G330" s="38" t="n">
        <v>6</v>
      </c>
      <c r="H330" s="648" t="n">
        <v>4.2</v>
      </c>
      <c r="I330" s="648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0" s="650" t="n"/>
      <c r="O330" s="650" t="n"/>
      <c r="P330" s="650" t="n"/>
      <c r="Q330" s="616" t="n"/>
      <c r="R330" s="40" t="inlineStr"/>
      <c r="S330" s="40" t="inlineStr"/>
      <c r="T330" s="41" t="inlineStr">
        <is>
          <t>кг</t>
        </is>
      </c>
      <c r="U330" s="651" t="n">
        <v>0</v>
      </c>
      <c r="V330" s="652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SU002615</t>
        </is>
      </c>
      <c r="B331" s="64" t="inlineStr">
        <is>
          <t>P003136</t>
        </is>
      </c>
      <c r="C331" s="37" t="n">
        <v>4301031174</v>
      </c>
      <c r="D331" s="362" t="n">
        <v>4607091389760</v>
      </c>
      <c r="E331" s="616" t="n"/>
      <c r="F331" s="648" t="n">
        <v>0.7</v>
      </c>
      <c r="G331" s="38" t="n">
        <v>6</v>
      </c>
      <c r="H331" s="648" t="n">
        <v>4.2</v>
      </c>
      <c r="I331" s="648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1" s="650" t="n"/>
      <c r="O331" s="650" t="n"/>
      <c r="P331" s="650" t="n"/>
      <c r="Q331" s="616" t="n"/>
      <c r="R331" s="40" t="inlineStr"/>
      <c r="S331" s="40" t="inlineStr"/>
      <c r="T331" s="41" t="inlineStr">
        <is>
          <t>кг</t>
        </is>
      </c>
      <c r="U331" s="651" t="n">
        <v>0</v>
      </c>
      <c r="V331" s="652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SU002613</t>
        </is>
      </c>
      <c r="B332" s="64" t="inlineStr">
        <is>
          <t>P003133</t>
        </is>
      </c>
      <c r="C332" s="37" t="n">
        <v>4301031175</v>
      </c>
      <c r="D332" s="362" t="n">
        <v>4607091389746</v>
      </c>
      <c r="E332" s="616" t="n"/>
      <c r="F332" s="648" t="n">
        <v>0.7</v>
      </c>
      <c r="G332" s="38" t="n">
        <v>6</v>
      </c>
      <c r="H332" s="648" t="n">
        <v>4.2</v>
      </c>
      <c r="I332" s="648" t="n">
        <v>4.43</v>
      </c>
      <c r="J332" s="38" t="n">
        <v>156</v>
      </c>
      <c r="K332" s="39" t="inlineStr">
        <is>
          <t>СК2</t>
        </is>
      </c>
      <c r="L332" s="38" t="n">
        <v>45</v>
      </c>
      <c r="M332" s="8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2" s="650" t="n"/>
      <c r="O332" s="650" t="n"/>
      <c r="P332" s="650" t="n"/>
      <c r="Q332" s="616" t="n"/>
      <c r="R332" s="40" t="inlineStr"/>
      <c r="S332" s="40" t="inlineStr"/>
      <c r="T332" s="41" t="inlineStr">
        <is>
          <t>кг</t>
        </is>
      </c>
      <c r="U332" s="651" t="n">
        <v>50</v>
      </c>
      <c r="V332" s="652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62" t="n">
        <v>4607091384338</v>
      </c>
      <c r="E333" s="616" t="n"/>
      <c r="F333" s="648" t="n">
        <v>0.35</v>
      </c>
      <c r="G333" s="38" t="n">
        <v>6</v>
      </c>
      <c r="H333" s="648" t="n">
        <v>2.1</v>
      </c>
      <c r="I333" s="648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4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50" t="n"/>
      <c r="O333" s="650" t="n"/>
      <c r="P333" s="650" t="n"/>
      <c r="Q333" s="616" t="n"/>
      <c r="R333" s="40" t="inlineStr"/>
      <c r="S333" s="40" t="inlineStr"/>
      <c r="T333" s="41" t="inlineStr">
        <is>
          <t>кг</t>
        </is>
      </c>
      <c r="U333" s="651" t="n">
        <v>0</v>
      </c>
      <c r="V333" s="65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SU002602</t>
        </is>
      </c>
      <c r="B334" s="64" t="inlineStr">
        <is>
          <t>P003132</t>
        </is>
      </c>
      <c r="C334" s="37" t="n">
        <v>4301031171</v>
      </c>
      <c r="D334" s="362" t="n">
        <v>4607091389524</v>
      </c>
      <c r="E334" s="616" t="n"/>
      <c r="F334" s="648" t="n">
        <v>0.35</v>
      </c>
      <c r="G334" s="38" t="n">
        <v>6</v>
      </c>
      <c r="H334" s="648" t="n">
        <v>2.1</v>
      </c>
      <c r="I334" s="648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4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4" s="650" t="n"/>
      <c r="O334" s="650" t="n"/>
      <c r="P334" s="650" t="n"/>
      <c r="Q334" s="616" t="n"/>
      <c r="R334" s="40" t="inlineStr"/>
      <c r="S334" s="40" t="inlineStr"/>
      <c r="T334" s="41" t="inlineStr">
        <is>
          <t>кг</t>
        </is>
      </c>
      <c r="U334" s="651" t="n">
        <v>0</v>
      </c>
      <c r="V334" s="652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SU002603</t>
        </is>
      </c>
      <c r="B335" s="64" t="inlineStr">
        <is>
          <t>P003131</t>
        </is>
      </c>
      <c r="C335" s="37" t="n">
        <v>4301031170</v>
      </c>
      <c r="D335" s="362" t="n">
        <v>4607091384345</v>
      </c>
      <c r="E335" s="616" t="n"/>
      <c r="F335" s="648" t="n">
        <v>0.35</v>
      </c>
      <c r="G335" s="38" t="n">
        <v>6</v>
      </c>
      <c r="H335" s="648" t="n">
        <v>2.1</v>
      </c>
      <c r="I335" s="648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4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5" s="650" t="n"/>
      <c r="O335" s="650" t="n"/>
      <c r="P335" s="650" t="n"/>
      <c r="Q335" s="616" t="n"/>
      <c r="R335" s="40" t="inlineStr"/>
      <c r="S335" s="40" t="inlineStr"/>
      <c r="T335" s="41" t="inlineStr">
        <is>
          <t>кг</t>
        </is>
      </c>
      <c r="U335" s="651" t="n">
        <v>0</v>
      </c>
      <c r="V335" s="652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SU002606</t>
        </is>
      </c>
      <c r="B336" s="64" t="inlineStr">
        <is>
          <t>P003134</t>
        </is>
      </c>
      <c r="C336" s="37" t="n">
        <v>4301031172</v>
      </c>
      <c r="D336" s="362" t="n">
        <v>4607091389531</v>
      </c>
      <c r="E336" s="616" t="n"/>
      <c r="F336" s="648" t="n">
        <v>0.35</v>
      </c>
      <c r="G336" s="38" t="n">
        <v>6</v>
      </c>
      <c r="H336" s="648" t="n">
        <v>2.1</v>
      </c>
      <c r="I336" s="648" t="n">
        <v>2.23</v>
      </c>
      <c r="J336" s="38" t="n">
        <v>234</v>
      </c>
      <c r="K336" s="39" t="inlineStr">
        <is>
          <t>СК2</t>
        </is>
      </c>
      <c r="L336" s="38" t="n">
        <v>45</v>
      </c>
      <c r="M336" s="84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6" s="650" t="n"/>
      <c r="O336" s="650" t="n"/>
      <c r="P336" s="650" t="n"/>
      <c r="Q336" s="616" t="n"/>
      <c r="R336" s="40" t="inlineStr"/>
      <c r="S336" s="40" t="inlineStr"/>
      <c r="T336" s="41" t="inlineStr">
        <is>
          <t>кг</t>
        </is>
      </c>
      <c r="U336" s="651" t="n">
        <v>0</v>
      </c>
      <c r="V336" s="652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>
      <c r="A337" s="370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53" t="n"/>
      <c r="M337" s="654" t="inlineStr">
        <is>
          <t>Итого</t>
        </is>
      </c>
      <c r="N337" s="624" t="n"/>
      <c r="O337" s="624" t="n"/>
      <c r="P337" s="624" t="n"/>
      <c r="Q337" s="624" t="n"/>
      <c r="R337" s="624" t="n"/>
      <c r="S337" s="625" t="n"/>
      <c r="T337" s="43" t="inlineStr">
        <is>
          <t>кор</t>
        </is>
      </c>
      <c r="U337" s="655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/>
      </c>
      <c r="V337" s="655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/>
      </c>
      <c r="W337" s="655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/>
      </c>
      <c r="X337" s="656" t="n"/>
      <c r="Y337" s="65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53" t="n"/>
      <c r="M338" s="654" t="inlineStr">
        <is>
          <t>Итого</t>
        </is>
      </c>
      <c r="N338" s="624" t="n"/>
      <c r="O338" s="624" t="n"/>
      <c r="P338" s="624" t="n"/>
      <c r="Q338" s="624" t="n"/>
      <c r="R338" s="624" t="n"/>
      <c r="S338" s="625" t="n"/>
      <c r="T338" s="43" t="inlineStr">
        <is>
          <t>кг</t>
        </is>
      </c>
      <c r="U338" s="655">
        <f>IFERROR(SUM(U326:U336),"0")</f>
        <v/>
      </c>
      <c r="V338" s="655">
        <f>IFERROR(SUM(V326:V336),"0")</f>
        <v/>
      </c>
      <c r="W338" s="43" t="n"/>
      <c r="X338" s="656" t="n"/>
      <c r="Y338" s="656" t="n"/>
    </row>
    <row r="339" ht="14.25" customHeight="1">
      <c r="A339" s="361" t="inlineStr">
        <is>
          <t>Сосиски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61" t="n"/>
      <c r="Y339" s="361" t="n"/>
    </row>
    <row r="340" ht="27" customHeight="1">
      <c r="A340" s="64" t="inlineStr">
        <is>
          <t>SU002448</t>
        </is>
      </c>
      <c r="B340" s="64" t="inlineStr">
        <is>
          <t>P002914</t>
        </is>
      </c>
      <c r="C340" s="37" t="n">
        <v>4301051258</v>
      </c>
      <c r="D340" s="362" t="n">
        <v>4607091389685</v>
      </c>
      <c r="E340" s="616" t="n"/>
      <c r="F340" s="648" t="n">
        <v>1.3</v>
      </c>
      <c r="G340" s="38" t="n">
        <v>6</v>
      </c>
      <c r="H340" s="648" t="n">
        <v>7.8</v>
      </c>
      <c r="I340" s="648" t="n">
        <v>8.346</v>
      </c>
      <c r="J340" s="38" t="n">
        <v>56</v>
      </c>
      <c r="K340" s="39" t="inlineStr">
        <is>
          <t>СК3</t>
        </is>
      </c>
      <c r="L340" s="38" t="n">
        <v>45</v>
      </c>
      <c r="M340" s="84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0" s="650" t="n"/>
      <c r="O340" s="650" t="n"/>
      <c r="P340" s="650" t="n"/>
      <c r="Q340" s="616" t="n"/>
      <c r="R340" s="40" t="inlineStr"/>
      <c r="S340" s="40" t="inlineStr"/>
      <c r="T340" s="41" t="inlineStr">
        <is>
          <t>кг</t>
        </is>
      </c>
      <c r="U340" s="651" t="n">
        <v>0</v>
      </c>
      <c r="V340" s="652">
        <f>IFERROR(IF(U340="",0,CEILING((U340/$H340),1)*$H340),"")</f>
        <v/>
      </c>
      <c r="W340" s="42">
        <f>IFERROR(IF(V340=0,"",ROUNDUP(V340/H340,0)*0.02175),"")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SU002557</t>
        </is>
      </c>
      <c r="B341" s="64" t="inlineStr">
        <is>
          <t>P003318</t>
        </is>
      </c>
      <c r="C341" s="37" t="n">
        <v>4301051431</v>
      </c>
      <c r="D341" s="362" t="n">
        <v>4607091389654</v>
      </c>
      <c r="E341" s="616" t="n"/>
      <c r="F341" s="648" t="n">
        <v>0.33</v>
      </c>
      <c r="G341" s="38" t="n">
        <v>6</v>
      </c>
      <c r="H341" s="648" t="n">
        <v>1.98</v>
      </c>
      <c r="I341" s="648" t="n">
        <v>2.258</v>
      </c>
      <c r="J341" s="38" t="n">
        <v>156</v>
      </c>
      <c r="K341" s="39" t="inlineStr">
        <is>
          <t>СК3</t>
        </is>
      </c>
      <c r="L341" s="38" t="n">
        <v>45</v>
      </c>
      <c r="M341" s="846" t="inlineStr">
        <is>
          <t>Сосиски Баварушки (с грудкой ГОСТ 31962-2013) Филейбургская Фикс.вес 0,33 П/а мгс Баварушка</t>
        </is>
      </c>
      <c r="N341" s="650" t="n"/>
      <c r="O341" s="650" t="n"/>
      <c r="P341" s="650" t="n"/>
      <c r="Q341" s="616" t="n"/>
      <c r="R341" s="40" t="inlineStr"/>
      <c r="S341" s="40" t="inlineStr"/>
      <c r="T341" s="41" t="inlineStr">
        <is>
          <t>кг</t>
        </is>
      </c>
      <c r="U341" s="651" t="n">
        <v>0</v>
      </c>
      <c r="V341" s="65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262" t="inlineStr">
        <is>
          <t>КИ</t>
        </is>
      </c>
    </row>
    <row r="342" ht="27" customHeight="1">
      <c r="A342" s="64" t="inlineStr">
        <is>
          <t>SU002285</t>
        </is>
      </c>
      <c r="B342" s="64" t="inlineStr">
        <is>
          <t>P002969</t>
        </is>
      </c>
      <c r="C342" s="37" t="n">
        <v>4301051284</v>
      </c>
      <c r="D342" s="362" t="n">
        <v>4607091384352</v>
      </c>
      <c r="E342" s="616" t="n"/>
      <c r="F342" s="648" t="n">
        <v>0.6</v>
      </c>
      <c r="G342" s="38" t="n">
        <v>4</v>
      </c>
      <c r="H342" s="648" t="n">
        <v>2.4</v>
      </c>
      <c r="I342" s="648" t="n">
        <v>2.646</v>
      </c>
      <c r="J342" s="38" t="n">
        <v>120</v>
      </c>
      <c r="K342" s="39" t="inlineStr">
        <is>
          <t>СК3</t>
        </is>
      </c>
      <c r="L342" s="38" t="n">
        <v>45</v>
      </c>
      <c r="M342" s="84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2" s="650" t="n"/>
      <c r="O342" s="650" t="n"/>
      <c r="P342" s="650" t="n"/>
      <c r="Q342" s="616" t="n"/>
      <c r="R342" s="40" t="inlineStr"/>
      <c r="S342" s="40" t="inlineStr"/>
      <c r="T342" s="41" t="inlineStr">
        <is>
          <t>кг</t>
        </is>
      </c>
      <c r="U342" s="651" t="n">
        <v>0</v>
      </c>
      <c r="V342" s="652">
        <f>IFERROR(IF(U342="",0,CEILING((U342/$H342),1)*$H342),"")</f>
        <v/>
      </c>
      <c r="W342" s="42">
        <f>IFERROR(IF(V342=0,"",ROUNDUP(V342/H342,0)*0.00937),"")</f>
        <v/>
      </c>
      <c r="X342" s="69" t="inlineStr"/>
      <c r="Y342" s="70" t="inlineStr"/>
      <c r="AC342" s="263" t="inlineStr">
        <is>
          <t>КИ</t>
        </is>
      </c>
    </row>
    <row r="343" ht="27" customHeight="1">
      <c r="A343" s="64" t="inlineStr">
        <is>
          <t>SU002419</t>
        </is>
      </c>
      <c r="B343" s="64" t="inlineStr">
        <is>
          <t>P002913</t>
        </is>
      </c>
      <c r="C343" s="37" t="n">
        <v>4301051257</v>
      </c>
      <c r="D343" s="362" t="n">
        <v>4607091389661</v>
      </c>
      <c r="E343" s="616" t="n"/>
      <c r="F343" s="648" t="n">
        <v>0.55</v>
      </c>
      <c r="G343" s="38" t="n">
        <v>4</v>
      </c>
      <c r="H343" s="648" t="n">
        <v>2.2</v>
      </c>
      <c r="I343" s="648" t="n">
        <v>2.492</v>
      </c>
      <c r="J343" s="38" t="n">
        <v>120</v>
      </c>
      <c r="K343" s="39" t="inlineStr">
        <is>
          <t>СК3</t>
        </is>
      </c>
      <c r="L343" s="38" t="n">
        <v>45</v>
      </c>
      <c r="M343" s="84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3" s="650" t="n"/>
      <c r="O343" s="650" t="n"/>
      <c r="P343" s="650" t="n"/>
      <c r="Q343" s="616" t="n"/>
      <c r="R343" s="40" t="inlineStr"/>
      <c r="S343" s="40" t="inlineStr"/>
      <c r="T343" s="41" t="inlineStr">
        <is>
          <t>кг</t>
        </is>
      </c>
      <c r="U343" s="651" t="n">
        <v>0</v>
      </c>
      <c r="V343" s="652">
        <f>IFERROR(IF(U343="",0,CEILING((U343/$H343),1)*$H343),"")</f>
        <v/>
      </c>
      <c r="W343" s="42">
        <f>IFERROR(IF(V343=0,"",ROUNDUP(V343/H343,0)*0.00937),"")</f>
        <v/>
      </c>
      <c r="X343" s="69" t="inlineStr"/>
      <c r="Y343" s="70" t="inlineStr"/>
      <c r="AC343" s="264" t="inlineStr">
        <is>
          <t>КИ</t>
        </is>
      </c>
    </row>
    <row r="344">
      <c r="A344" s="370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53" t="n"/>
      <c r="M344" s="654" t="inlineStr">
        <is>
          <t>Итого</t>
        </is>
      </c>
      <c r="N344" s="624" t="n"/>
      <c r="O344" s="624" t="n"/>
      <c r="P344" s="624" t="n"/>
      <c r="Q344" s="624" t="n"/>
      <c r="R344" s="624" t="n"/>
      <c r="S344" s="625" t="n"/>
      <c r="T344" s="43" t="inlineStr">
        <is>
          <t>кор</t>
        </is>
      </c>
      <c r="U344" s="655">
        <f>IFERROR(U340/H340,"0")+IFERROR(U341/H341,"0")+IFERROR(U342/H342,"0")+IFERROR(U343/H343,"0")</f>
        <v/>
      </c>
      <c r="V344" s="655">
        <f>IFERROR(V340/H340,"0")+IFERROR(V341/H341,"0")+IFERROR(V342/H342,"0")+IFERROR(V343/H343,"0")</f>
        <v/>
      </c>
      <c r="W344" s="655">
        <f>IFERROR(IF(W340="",0,W340),"0")+IFERROR(IF(W341="",0,W341),"0")+IFERROR(IF(W342="",0,W342),"0")+IFERROR(IF(W343="",0,W343),"0")</f>
        <v/>
      </c>
      <c r="X344" s="656" t="n"/>
      <c r="Y344" s="656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53" t="n"/>
      <c r="M345" s="654" t="inlineStr">
        <is>
          <t>Итого</t>
        </is>
      </c>
      <c r="N345" s="624" t="n"/>
      <c r="O345" s="624" t="n"/>
      <c r="P345" s="624" t="n"/>
      <c r="Q345" s="624" t="n"/>
      <c r="R345" s="624" t="n"/>
      <c r="S345" s="625" t="n"/>
      <c r="T345" s="43" t="inlineStr">
        <is>
          <t>кг</t>
        </is>
      </c>
      <c r="U345" s="655">
        <f>IFERROR(SUM(U340:U343),"0")</f>
        <v/>
      </c>
      <c r="V345" s="655">
        <f>IFERROR(SUM(V340:V343),"0")</f>
        <v/>
      </c>
      <c r="W345" s="43" t="n"/>
      <c r="X345" s="656" t="n"/>
      <c r="Y345" s="656" t="n"/>
    </row>
    <row r="346" ht="14.25" customHeight="1">
      <c r="A346" s="361" t="inlineStr">
        <is>
          <t>Сардельки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61" t="n"/>
      <c r="Y346" s="361" t="n"/>
    </row>
    <row r="347" ht="27" customHeight="1">
      <c r="A347" s="64" t="inlineStr">
        <is>
          <t>SU002846</t>
        </is>
      </c>
      <c r="B347" s="64" t="inlineStr">
        <is>
          <t>P003254</t>
        </is>
      </c>
      <c r="C347" s="37" t="n">
        <v>4301060352</v>
      </c>
      <c r="D347" s="362" t="n">
        <v>4680115881648</v>
      </c>
      <c r="E347" s="616" t="n"/>
      <c r="F347" s="648" t="n">
        <v>1</v>
      </c>
      <c r="G347" s="38" t="n">
        <v>4</v>
      </c>
      <c r="H347" s="648" t="n">
        <v>4</v>
      </c>
      <c r="I347" s="648" t="n">
        <v>4.404</v>
      </c>
      <c r="J347" s="38" t="n">
        <v>104</v>
      </c>
      <c r="K347" s="39" t="inlineStr">
        <is>
          <t>СК2</t>
        </is>
      </c>
      <c r="L347" s="38" t="n">
        <v>35</v>
      </c>
      <c r="M347" s="849" t="inlineStr">
        <is>
          <t>Сардельки "Шпикачки Филейбургские" весовые н/о ТМ "Баварушка"</t>
        </is>
      </c>
      <c r="N347" s="650" t="n"/>
      <c r="O347" s="650" t="n"/>
      <c r="P347" s="650" t="n"/>
      <c r="Q347" s="616" t="n"/>
      <c r="R347" s="40" t="inlineStr"/>
      <c r="S347" s="40" t="inlineStr"/>
      <c r="T347" s="41" t="inlineStr">
        <is>
          <t>кг</t>
        </is>
      </c>
      <c r="U347" s="651" t="n">
        <v>0</v>
      </c>
      <c r="V347" s="652">
        <f>IFERROR(IF(U347="",0,CEILING((U347/$H347),1)*$H347),"")</f>
        <v/>
      </c>
      <c r="W347" s="42">
        <f>IFERROR(IF(V347=0,"",ROUNDUP(V347/H347,0)*0.01196),"")</f>
        <v/>
      </c>
      <c r="X347" s="69" t="inlineStr"/>
      <c r="Y347" s="70" t="inlineStr"/>
      <c r="AC347" s="265" t="inlineStr">
        <is>
          <t>КИ</t>
        </is>
      </c>
    </row>
    <row r="348">
      <c r="A348" s="370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53" t="n"/>
      <c r="M348" s="654" t="inlineStr">
        <is>
          <t>Итого</t>
        </is>
      </c>
      <c r="N348" s="624" t="n"/>
      <c r="O348" s="624" t="n"/>
      <c r="P348" s="624" t="n"/>
      <c r="Q348" s="624" t="n"/>
      <c r="R348" s="624" t="n"/>
      <c r="S348" s="625" t="n"/>
      <c r="T348" s="43" t="inlineStr">
        <is>
          <t>кор</t>
        </is>
      </c>
      <c r="U348" s="655">
        <f>IFERROR(U347/H347,"0")</f>
        <v/>
      </c>
      <c r="V348" s="655">
        <f>IFERROR(V347/H347,"0")</f>
        <v/>
      </c>
      <c r="W348" s="655">
        <f>IFERROR(IF(W347="",0,W347),"0")</f>
        <v/>
      </c>
      <c r="X348" s="656" t="n"/>
      <c r="Y348" s="65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53" t="n"/>
      <c r="M349" s="654" t="inlineStr">
        <is>
          <t>Итого</t>
        </is>
      </c>
      <c r="N349" s="624" t="n"/>
      <c r="O349" s="624" t="n"/>
      <c r="P349" s="624" t="n"/>
      <c r="Q349" s="624" t="n"/>
      <c r="R349" s="624" t="n"/>
      <c r="S349" s="625" t="n"/>
      <c r="T349" s="43" t="inlineStr">
        <is>
          <t>кг</t>
        </is>
      </c>
      <c r="U349" s="655">
        <f>IFERROR(SUM(U347:U347),"0")</f>
        <v/>
      </c>
      <c r="V349" s="655">
        <f>IFERROR(SUM(V347:V347),"0")</f>
        <v/>
      </c>
      <c r="W349" s="43" t="n"/>
      <c r="X349" s="656" t="n"/>
      <c r="Y349" s="656" t="n"/>
    </row>
    <row r="350" ht="16.5" customHeight="1">
      <c r="A350" s="360" t="inlineStr">
        <is>
          <t>Балыкбургская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60" t="n"/>
      <c r="Y350" s="360" t="n"/>
    </row>
    <row r="351" ht="14.25" customHeight="1">
      <c r="A351" s="361" t="inlineStr">
        <is>
          <t>Ветчины</t>
        </is>
      </c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361" t="n"/>
      <c r="Y351" s="361" t="n"/>
    </row>
    <row r="352" ht="27" customHeight="1">
      <c r="A352" s="64" t="inlineStr">
        <is>
          <t>SU002542</t>
        </is>
      </c>
      <c r="B352" s="64" t="inlineStr">
        <is>
          <t>P002847</t>
        </is>
      </c>
      <c r="C352" s="37" t="n">
        <v>4301020196</v>
      </c>
      <c r="D352" s="362" t="n">
        <v>4607091389388</v>
      </c>
      <c r="E352" s="616" t="n"/>
      <c r="F352" s="648" t="n">
        <v>1.3</v>
      </c>
      <c r="G352" s="38" t="n">
        <v>4</v>
      </c>
      <c r="H352" s="648" t="n">
        <v>5.2</v>
      </c>
      <c r="I352" s="648" t="n">
        <v>5.608</v>
      </c>
      <c r="J352" s="38" t="n">
        <v>104</v>
      </c>
      <c r="K352" s="39" t="inlineStr">
        <is>
          <t>СК3</t>
        </is>
      </c>
      <c r="L352" s="38" t="n">
        <v>35</v>
      </c>
      <c r="M352" s="85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2" s="650" t="n"/>
      <c r="O352" s="650" t="n"/>
      <c r="P352" s="650" t="n"/>
      <c r="Q352" s="616" t="n"/>
      <c r="R352" s="40" t="inlineStr"/>
      <c r="S352" s="40" t="inlineStr"/>
      <c r="T352" s="41" t="inlineStr">
        <is>
          <t>кг</t>
        </is>
      </c>
      <c r="U352" s="651" t="n">
        <v>0</v>
      </c>
      <c r="V352" s="652">
        <f>IFERROR(IF(U352="",0,CEILING((U352/$H352),1)*$H352),"")</f>
        <v/>
      </c>
      <c r="W352" s="42">
        <f>IFERROR(IF(V352=0,"",ROUNDUP(V352/H352,0)*0.01196),"")</f>
        <v/>
      </c>
      <c r="X352" s="69" t="inlineStr"/>
      <c r="Y352" s="70" t="inlineStr"/>
      <c r="AC352" s="266" t="inlineStr">
        <is>
          <t>КИ</t>
        </is>
      </c>
    </row>
    <row r="353" ht="27" customHeight="1">
      <c r="A353" s="64" t="inlineStr">
        <is>
          <t>SU002319</t>
        </is>
      </c>
      <c r="B353" s="64" t="inlineStr">
        <is>
          <t>P002597</t>
        </is>
      </c>
      <c r="C353" s="37" t="n">
        <v>4301020185</v>
      </c>
      <c r="D353" s="362" t="n">
        <v>4607091389364</v>
      </c>
      <c r="E353" s="616" t="n"/>
      <c r="F353" s="648" t="n">
        <v>0.42</v>
      </c>
      <c r="G353" s="38" t="n">
        <v>6</v>
      </c>
      <c r="H353" s="648" t="n">
        <v>2.52</v>
      </c>
      <c r="I353" s="648" t="n">
        <v>2.75</v>
      </c>
      <c r="J353" s="38" t="n">
        <v>156</v>
      </c>
      <c r="K353" s="39" t="inlineStr">
        <is>
          <t>СК3</t>
        </is>
      </c>
      <c r="L353" s="38" t="n">
        <v>35</v>
      </c>
      <c r="M353" s="85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3" s="650" t="n"/>
      <c r="O353" s="650" t="n"/>
      <c r="P353" s="650" t="n"/>
      <c r="Q353" s="616" t="n"/>
      <c r="R353" s="40" t="inlineStr"/>
      <c r="S353" s="40" t="inlineStr"/>
      <c r="T353" s="41" t="inlineStr">
        <is>
          <t>кг</t>
        </is>
      </c>
      <c r="U353" s="651" t="n">
        <v>0</v>
      </c>
      <c r="V353" s="652">
        <f>IFERROR(IF(U353="",0,CEILING((U353/$H353),1)*$H353),"")</f>
        <v/>
      </c>
      <c r="W353" s="42">
        <f>IFERROR(IF(V353=0,"",ROUNDUP(V353/H353,0)*0.00753),"")</f>
        <v/>
      </c>
      <c r="X353" s="69" t="inlineStr"/>
      <c r="Y353" s="70" t="inlineStr"/>
      <c r="AC353" s="267" t="inlineStr">
        <is>
          <t>КИ</t>
        </is>
      </c>
    </row>
    <row r="354">
      <c r="A354" s="370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53" t="n"/>
      <c r="M354" s="654" t="inlineStr">
        <is>
          <t>Итого</t>
        </is>
      </c>
      <c r="N354" s="624" t="n"/>
      <c r="O354" s="624" t="n"/>
      <c r="P354" s="624" t="n"/>
      <c r="Q354" s="624" t="n"/>
      <c r="R354" s="624" t="n"/>
      <c r="S354" s="625" t="n"/>
      <c r="T354" s="43" t="inlineStr">
        <is>
          <t>кор</t>
        </is>
      </c>
      <c r="U354" s="655">
        <f>IFERROR(U352/H352,"0")+IFERROR(U353/H353,"0")</f>
        <v/>
      </c>
      <c r="V354" s="655">
        <f>IFERROR(V352/H352,"0")+IFERROR(V353/H353,"0")</f>
        <v/>
      </c>
      <c r="W354" s="655">
        <f>IFERROR(IF(W352="",0,W352),"0")+IFERROR(IF(W353="",0,W353),"0")</f>
        <v/>
      </c>
      <c r="X354" s="656" t="n"/>
      <c r="Y354" s="656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53" t="n"/>
      <c r="M355" s="654" t="inlineStr">
        <is>
          <t>Итого</t>
        </is>
      </c>
      <c r="N355" s="624" t="n"/>
      <c r="O355" s="624" t="n"/>
      <c r="P355" s="624" t="n"/>
      <c r="Q355" s="624" t="n"/>
      <c r="R355" s="624" t="n"/>
      <c r="S355" s="625" t="n"/>
      <c r="T355" s="43" t="inlineStr">
        <is>
          <t>кг</t>
        </is>
      </c>
      <c r="U355" s="655">
        <f>IFERROR(SUM(U352:U353),"0")</f>
        <v/>
      </c>
      <c r="V355" s="655">
        <f>IFERROR(SUM(V352:V353),"0")</f>
        <v/>
      </c>
      <c r="W355" s="43" t="n"/>
      <c r="X355" s="656" t="n"/>
      <c r="Y355" s="656" t="n"/>
    </row>
    <row r="356" ht="14.25" customHeight="1">
      <c r="A356" s="361" t="inlineStr">
        <is>
          <t>Копченые колбасы</t>
        </is>
      </c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361" t="n"/>
      <c r="Y356" s="361" t="n"/>
    </row>
    <row r="357" ht="27" customHeight="1">
      <c r="A357" s="64" t="inlineStr">
        <is>
          <t>SU002612</t>
        </is>
      </c>
      <c r="B357" s="64" t="inlineStr">
        <is>
          <t>P003140</t>
        </is>
      </c>
      <c r="C357" s="37" t="n">
        <v>4301031179</v>
      </c>
      <c r="D357" s="362" t="n">
        <v>4607091389739</v>
      </c>
      <c r="E357" s="616" t="n"/>
      <c r="F357" s="648" t="n">
        <v>0.7</v>
      </c>
      <c r="G357" s="38" t="n">
        <v>6</v>
      </c>
      <c r="H357" s="648" t="n">
        <v>4.2</v>
      </c>
      <c r="I357" s="648" t="n">
        <v>4.43</v>
      </c>
      <c r="J357" s="38" t="n">
        <v>156</v>
      </c>
      <c r="K357" s="39" t="inlineStr">
        <is>
          <t>СК2</t>
        </is>
      </c>
      <c r="L357" s="38" t="n">
        <v>45</v>
      </c>
      <c r="M357" s="85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7" s="650" t="n"/>
      <c r="O357" s="650" t="n"/>
      <c r="P357" s="650" t="n"/>
      <c r="Q357" s="616" t="n"/>
      <c r="R357" s="40" t="inlineStr"/>
      <c r="S357" s="40" t="inlineStr"/>
      <c r="T357" s="41" t="inlineStr">
        <is>
          <t>кг</t>
        </is>
      </c>
      <c r="U357" s="651" t="n">
        <v>20</v>
      </c>
      <c r="V357" s="65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SU002545</t>
        </is>
      </c>
      <c r="B358" s="64" t="inlineStr">
        <is>
          <t>P003137</t>
        </is>
      </c>
      <c r="C358" s="37" t="n">
        <v>4301031176</v>
      </c>
      <c r="D358" s="362" t="n">
        <v>4607091389425</v>
      </c>
      <c r="E358" s="616" t="n"/>
      <c r="F358" s="648" t="n">
        <v>0.35</v>
      </c>
      <c r="G358" s="38" t="n">
        <v>6</v>
      </c>
      <c r="H358" s="648" t="n">
        <v>2.1</v>
      </c>
      <c r="I358" s="648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5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8" s="650" t="n"/>
      <c r="O358" s="650" t="n"/>
      <c r="P358" s="650" t="n"/>
      <c r="Q358" s="616" t="n"/>
      <c r="R358" s="40" t="inlineStr"/>
      <c r="S358" s="40" t="inlineStr"/>
      <c r="T358" s="41" t="inlineStr">
        <is>
          <t>кг</t>
        </is>
      </c>
      <c r="U358" s="651" t="n">
        <v>0</v>
      </c>
      <c r="V358" s="652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SU002726</t>
        </is>
      </c>
      <c r="B359" s="64" t="inlineStr">
        <is>
          <t>P003095</t>
        </is>
      </c>
      <c r="C359" s="37" t="n">
        <v>4301031167</v>
      </c>
      <c r="D359" s="362" t="n">
        <v>4680115880771</v>
      </c>
      <c r="E359" s="616" t="n"/>
      <c r="F359" s="648" t="n">
        <v>0.28</v>
      </c>
      <c r="G359" s="38" t="n">
        <v>6</v>
      </c>
      <c r="H359" s="648" t="n">
        <v>1.68</v>
      </c>
      <c r="I359" s="648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9" s="650" t="n"/>
      <c r="O359" s="650" t="n"/>
      <c r="P359" s="650" t="n"/>
      <c r="Q359" s="616" t="n"/>
      <c r="R359" s="40" t="inlineStr"/>
      <c r="S359" s="40" t="inlineStr"/>
      <c r="T359" s="41" t="inlineStr">
        <is>
          <t>кг</t>
        </is>
      </c>
      <c r="U359" s="651" t="n">
        <v>0</v>
      </c>
      <c r="V359" s="652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 ht="27" customHeight="1">
      <c r="A360" s="64" t="inlineStr">
        <is>
          <t>SU002604</t>
        </is>
      </c>
      <c r="B360" s="64" t="inlineStr">
        <is>
          <t>P003135</t>
        </is>
      </c>
      <c r="C360" s="37" t="n">
        <v>4301031173</v>
      </c>
      <c r="D360" s="362" t="n">
        <v>4607091389500</v>
      </c>
      <c r="E360" s="616" t="n"/>
      <c r="F360" s="648" t="n">
        <v>0.35</v>
      </c>
      <c r="G360" s="38" t="n">
        <v>6</v>
      </c>
      <c r="H360" s="648" t="n">
        <v>2.1</v>
      </c>
      <c r="I360" s="648" t="n">
        <v>2.23</v>
      </c>
      <c r="J360" s="38" t="n">
        <v>234</v>
      </c>
      <c r="K360" s="39" t="inlineStr">
        <is>
          <t>СК2</t>
        </is>
      </c>
      <c r="L360" s="38" t="n">
        <v>45</v>
      </c>
      <c r="M360" s="8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60" s="650" t="n"/>
      <c r="O360" s="650" t="n"/>
      <c r="P360" s="650" t="n"/>
      <c r="Q360" s="616" t="n"/>
      <c r="R360" s="40" t="inlineStr"/>
      <c r="S360" s="40" t="inlineStr"/>
      <c r="T360" s="41" t="inlineStr">
        <is>
          <t>кг</t>
        </is>
      </c>
      <c r="U360" s="651" t="n">
        <v>0</v>
      </c>
      <c r="V360" s="652">
        <f>IFERROR(IF(U360="",0,CEILING((U360/$H360),1)*$H360),"")</f>
        <v/>
      </c>
      <c r="W360" s="42">
        <f>IFERROR(IF(V360=0,"",ROUNDUP(V360/H360,0)*0.00502),"")</f>
        <v/>
      </c>
      <c r="X360" s="69" t="inlineStr"/>
      <c r="Y360" s="70" t="inlineStr"/>
      <c r="AC360" s="271" t="inlineStr">
        <is>
          <t>КИ</t>
        </is>
      </c>
    </row>
    <row r="361" ht="27" customHeight="1">
      <c r="A361" s="64" t="inlineStr">
        <is>
          <t>SU002358</t>
        </is>
      </c>
      <c r="B361" s="64" t="inlineStr">
        <is>
          <t>P002642</t>
        </is>
      </c>
      <c r="C361" s="37" t="n">
        <v>4301031103</v>
      </c>
      <c r="D361" s="362" t="n">
        <v>4680115881983</v>
      </c>
      <c r="E361" s="616" t="n"/>
      <c r="F361" s="648" t="n">
        <v>0.28</v>
      </c>
      <c r="G361" s="38" t="n">
        <v>4</v>
      </c>
      <c r="H361" s="648" t="n">
        <v>1.12</v>
      </c>
      <c r="I361" s="648" t="n">
        <v>1.252</v>
      </c>
      <c r="J361" s="38" t="n">
        <v>234</v>
      </c>
      <c r="K361" s="39" t="inlineStr">
        <is>
          <t>СК2</t>
        </is>
      </c>
      <c r="L361" s="38" t="n">
        <v>40</v>
      </c>
      <c r="M361" s="856" t="inlineStr">
        <is>
          <t>Колбаса Балыкбургская по-краковски с копченым балыком в натуральной оболочке 0,28 кг</t>
        </is>
      </c>
      <c r="N361" s="650" t="n"/>
      <c r="O361" s="650" t="n"/>
      <c r="P361" s="650" t="n"/>
      <c r="Q361" s="616" t="n"/>
      <c r="R361" s="40" t="inlineStr"/>
      <c r="S361" s="40" t="inlineStr"/>
      <c r="T361" s="41" t="inlineStr">
        <is>
          <t>кг</t>
        </is>
      </c>
      <c r="U361" s="651" t="n">
        <v>0</v>
      </c>
      <c r="V361" s="652">
        <f>IFERROR(IF(U361="",0,CEILING((U361/$H361),1)*$H361),"")</f>
        <v/>
      </c>
      <c r="W361" s="42">
        <f>IFERROR(IF(V361=0,"",ROUNDUP(V361/H361,0)*0.00502),"")</f>
        <v/>
      </c>
      <c r="X361" s="69" t="inlineStr"/>
      <c r="Y361" s="70" t="inlineStr"/>
      <c r="AC361" s="272" t="inlineStr">
        <is>
          <t>КИ</t>
        </is>
      </c>
    </row>
    <row r="362">
      <c r="A362" s="370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53" t="n"/>
      <c r="M362" s="654" t="inlineStr">
        <is>
          <t>Итого</t>
        </is>
      </c>
      <c r="N362" s="624" t="n"/>
      <c r="O362" s="624" t="n"/>
      <c r="P362" s="624" t="n"/>
      <c r="Q362" s="624" t="n"/>
      <c r="R362" s="624" t="n"/>
      <c r="S362" s="625" t="n"/>
      <c r="T362" s="43" t="inlineStr">
        <is>
          <t>кор</t>
        </is>
      </c>
      <c r="U362" s="655">
        <f>IFERROR(U357/H357,"0")+IFERROR(U358/H358,"0")+IFERROR(U359/H359,"0")+IFERROR(U360/H360,"0")+IFERROR(U361/H361,"0")</f>
        <v/>
      </c>
      <c r="V362" s="655">
        <f>IFERROR(V357/H357,"0")+IFERROR(V358/H358,"0")+IFERROR(V359/H359,"0")+IFERROR(V360/H360,"0")+IFERROR(V361/H361,"0")</f>
        <v/>
      </c>
      <c r="W362" s="655">
        <f>IFERROR(IF(W357="",0,W357),"0")+IFERROR(IF(W358="",0,W358),"0")+IFERROR(IF(W359="",0,W359),"0")+IFERROR(IF(W360="",0,W360),"0")+IFERROR(IF(W361="",0,W361),"0")</f>
        <v/>
      </c>
      <c r="X362" s="656" t="n"/>
      <c r="Y362" s="65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53" t="n"/>
      <c r="M363" s="654" t="inlineStr">
        <is>
          <t>Итого</t>
        </is>
      </c>
      <c r="N363" s="624" t="n"/>
      <c r="O363" s="624" t="n"/>
      <c r="P363" s="624" t="n"/>
      <c r="Q363" s="624" t="n"/>
      <c r="R363" s="624" t="n"/>
      <c r="S363" s="625" t="n"/>
      <c r="T363" s="43" t="inlineStr">
        <is>
          <t>кг</t>
        </is>
      </c>
      <c r="U363" s="655">
        <f>IFERROR(SUM(U357:U361),"0")</f>
        <v/>
      </c>
      <c r="V363" s="655">
        <f>IFERROR(SUM(V357:V361),"0")</f>
        <v/>
      </c>
      <c r="W363" s="43" t="n"/>
      <c r="X363" s="656" t="n"/>
      <c r="Y363" s="656" t="n"/>
    </row>
    <row r="364" ht="27.75" customHeight="1">
      <c r="A364" s="359" t="inlineStr">
        <is>
          <t>Дугушка</t>
        </is>
      </c>
      <c r="B364" s="647" t="n"/>
      <c r="C364" s="647" t="n"/>
      <c r="D364" s="647" t="n"/>
      <c r="E364" s="647" t="n"/>
      <c r="F364" s="647" t="n"/>
      <c r="G364" s="647" t="n"/>
      <c r="H364" s="647" t="n"/>
      <c r="I364" s="647" t="n"/>
      <c r="J364" s="647" t="n"/>
      <c r="K364" s="647" t="n"/>
      <c r="L364" s="647" t="n"/>
      <c r="M364" s="647" t="n"/>
      <c r="N364" s="647" t="n"/>
      <c r="O364" s="647" t="n"/>
      <c r="P364" s="647" t="n"/>
      <c r="Q364" s="647" t="n"/>
      <c r="R364" s="647" t="n"/>
      <c r="S364" s="647" t="n"/>
      <c r="T364" s="647" t="n"/>
      <c r="U364" s="647" t="n"/>
      <c r="V364" s="647" t="n"/>
      <c r="W364" s="647" t="n"/>
      <c r="X364" s="55" t="n"/>
      <c r="Y364" s="55" t="n"/>
    </row>
    <row r="365" ht="16.5" customHeight="1">
      <c r="A365" s="360" t="inlineStr">
        <is>
          <t>Дугушка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60" t="n"/>
      <c r="Y365" s="360" t="n"/>
    </row>
    <row r="366" ht="14.25" customHeight="1">
      <c r="A366" s="361" t="inlineStr">
        <is>
          <t>Вареные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61" t="n"/>
      <c r="Y366" s="361" t="n"/>
    </row>
    <row r="367" ht="27" customHeight="1">
      <c r="A367" s="64" t="inlineStr">
        <is>
          <t>SU002011</t>
        </is>
      </c>
      <c r="B367" s="64" t="inlineStr">
        <is>
          <t>P002991</t>
        </is>
      </c>
      <c r="C367" s="37" t="n">
        <v>4301011371</v>
      </c>
      <c r="D367" s="362" t="n">
        <v>4607091389067</v>
      </c>
      <c r="E367" s="616" t="n"/>
      <c r="F367" s="648" t="n">
        <v>0.88</v>
      </c>
      <c r="G367" s="38" t="n">
        <v>6</v>
      </c>
      <c r="H367" s="648" t="n">
        <v>5.28</v>
      </c>
      <c r="I367" s="648" t="n">
        <v>5.64</v>
      </c>
      <c r="J367" s="38" t="n">
        <v>104</v>
      </c>
      <c r="K367" s="39" t="inlineStr">
        <is>
          <t>СК3</t>
        </is>
      </c>
      <c r="L367" s="38" t="n">
        <v>55</v>
      </c>
      <c r="M367" s="85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7" s="650" t="n"/>
      <c r="O367" s="650" t="n"/>
      <c r="P367" s="650" t="n"/>
      <c r="Q367" s="616" t="n"/>
      <c r="R367" s="40" t="inlineStr"/>
      <c r="S367" s="40" t="inlineStr"/>
      <c r="T367" s="41" t="inlineStr">
        <is>
          <t>кг</t>
        </is>
      </c>
      <c r="U367" s="651" t="n">
        <v>20</v>
      </c>
      <c r="V367" s="652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SU002094</t>
        </is>
      </c>
      <c r="B368" s="64" t="inlineStr">
        <is>
          <t>P002975</t>
        </is>
      </c>
      <c r="C368" s="37" t="n">
        <v>4301011363</v>
      </c>
      <c r="D368" s="362" t="n">
        <v>4607091383522</v>
      </c>
      <c r="E368" s="616" t="n"/>
      <c r="F368" s="648" t="n">
        <v>0.88</v>
      </c>
      <c r="G368" s="38" t="n">
        <v>6</v>
      </c>
      <c r="H368" s="648" t="n">
        <v>5.28</v>
      </c>
      <c r="I368" s="648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5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8" s="650" t="n"/>
      <c r="O368" s="650" t="n"/>
      <c r="P368" s="650" t="n"/>
      <c r="Q368" s="616" t="n"/>
      <c r="R368" s="40" t="inlineStr"/>
      <c r="S368" s="40" t="inlineStr"/>
      <c r="T368" s="41" t="inlineStr">
        <is>
          <t>кг</t>
        </is>
      </c>
      <c r="U368" s="651" t="n">
        <v>0</v>
      </c>
      <c r="V368" s="652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SU002182</t>
        </is>
      </c>
      <c r="B369" s="64" t="inlineStr">
        <is>
          <t>P002990</t>
        </is>
      </c>
      <c r="C369" s="37" t="n">
        <v>4301011431</v>
      </c>
      <c r="D369" s="362" t="n">
        <v>4607091384437</v>
      </c>
      <c r="E369" s="616" t="n"/>
      <c r="F369" s="648" t="n">
        <v>0.88</v>
      </c>
      <c r="G369" s="38" t="n">
        <v>6</v>
      </c>
      <c r="H369" s="648" t="n">
        <v>5.28</v>
      </c>
      <c r="I369" s="648" t="n">
        <v>5.64</v>
      </c>
      <c r="J369" s="38" t="n">
        <v>104</v>
      </c>
      <c r="K369" s="39" t="inlineStr">
        <is>
          <t>СК1</t>
        </is>
      </c>
      <c r="L369" s="38" t="n">
        <v>50</v>
      </c>
      <c r="M369" s="859" t="inlineStr">
        <is>
          <t>Вареные колбасы Дугушка со шпиком Дугушка Весовые Вектор Дугушка</t>
        </is>
      </c>
      <c r="N369" s="650" t="n"/>
      <c r="O369" s="650" t="n"/>
      <c r="P369" s="650" t="n"/>
      <c r="Q369" s="616" t="n"/>
      <c r="R369" s="40" t="inlineStr"/>
      <c r="S369" s="40" t="inlineStr"/>
      <c r="T369" s="41" t="inlineStr">
        <is>
          <t>кг</t>
        </is>
      </c>
      <c r="U369" s="651" t="n">
        <v>0</v>
      </c>
      <c r="V369" s="652">
        <f>IFERROR(IF(U369="",0,CEILING((U369/$H369),1)*$H369),"")</f>
        <v/>
      </c>
      <c r="W369" s="42">
        <f>IFERROR(IF(V369=0,"",ROUNDUP(V369/H369,0)*0.01196),"")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SU002010</t>
        </is>
      </c>
      <c r="B370" s="64" t="inlineStr">
        <is>
          <t>P002979</t>
        </is>
      </c>
      <c r="C370" s="37" t="n">
        <v>4301011365</v>
      </c>
      <c r="D370" s="362" t="n">
        <v>4607091389104</v>
      </c>
      <c r="E370" s="616" t="n"/>
      <c r="F370" s="648" t="n">
        <v>0.88</v>
      </c>
      <c r="G370" s="38" t="n">
        <v>6</v>
      </c>
      <c r="H370" s="648" t="n">
        <v>5.28</v>
      </c>
      <c r="I370" s="648" t="n">
        <v>5.64</v>
      </c>
      <c r="J370" s="38" t="n">
        <v>104</v>
      </c>
      <c r="K370" s="39" t="inlineStr">
        <is>
          <t>СК1</t>
        </is>
      </c>
      <c r="L370" s="38" t="n">
        <v>55</v>
      </c>
      <c r="M370" s="86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70" s="650" t="n"/>
      <c r="O370" s="650" t="n"/>
      <c r="P370" s="650" t="n"/>
      <c r="Q370" s="616" t="n"/>
      <c r="R370" s="40" t="inlineStr"/>
      <c r="S370" s="40" t="inlineStr"/>
      <c r="T370" s="41" t="inlineStr">
        <is>
          <t>кг</t>
        </is>
      </c>
      <c r="U370" s="651" t="n">
        <v>0</v>
      </c>
      <c r="V370" s="652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SU002019</t>
        </is>
      </c>
      <c r="B371" s="64" t="inlineStr">
        <is>
          <t>P002306</t>
        </is>
      </c>
      <c r="C371" s="37" t="n">
        <v>4301011142</v>
      </c>
      <c r="D371" s="362" t="n">
        <v>4607091389036</v>
      </c>
      <c r="E371" s="616" t="n"/>
      <c r="F371" s="648" t="n">
        <v>0.4</v>
      </c>
      <c r="G371" s="38" t="n">
        <v>6</v>
      </c>
      <c r="H371" s="648" t="n">
        <v>2.4</v>
      </c>
      <c r="I371" s="648" t="n">
        <v>2.6</v>
      </c>
      <c r="J371" s="38" t="n">
        <v>156</v>
      </c>
      <c r="K371" s="39" t="inlineStr">
        <is>
          <t>СК3</t>
        </is>
      </c>
      <c r="L371" s="38" t="n">
        <v>50</v>
      </c>
      <c r="M371" s="86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71" s="650" t="n"/>
      <c r="O371" s="650" t="n"/>
      <c r="P371" s="650" t="n"/>
      <c r="Q371" s="616" t="n"/>
      <c r="R371" s="40" t="inlineStr"/>
      <c r="S371" s="40" t="inlineStr"/>
      <c r="T371" s="41" t="inlineStr">
        <is>
          <t>кг</t>
        </is>
      </c>
      <c r="U371" s="651" t="n">
        <v>0</v>
      </c>
      <c r="V371" s="65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SU002632</t>
        </is>
      </c>
      <c r="B372" s="64" t="inlineStr">
        <is>
          <t>P002982</t>
        </is>
      </c>
      <c r="C372" s="37" t="n">
        <v>4301011367</v>
      </c>
      <c r="D372" s="362" t="n">
        <v>4680115880603</v>
      </c>
      <c r="E372" s="616" t="n"/>
      <c r="F372" s="648" t="n">
        <v>0.6</v>
      </c>
      <c r="G372" s="38" t="n">
        <v>6</v>
      </c>
      <c r="H372" s="648" t="n">
        <v>3.6</v>
      </c>
      <c r="I372" s="648" t="n">
        <v>3.84</v>
      </c>
      <c r="J372" s="38" t="n">
        <v>120</v>
      </c>
      <c r="K372" s="39" t="inlineStr">
        <is>
          <t>СК1</t>
        </is>
      </c>
      <c r="L372" s="38" t="n">
        <v>55</v>
      </c>
      <c r="M372" s="862" t="inlineStr">
        <is>
          <t>Вареные колбасы "Докторская ГОСТ" Фикс.вес 0,6 Вектор ТМ "Дугушка"</t>
        </is>
      </c>
      <c r="N372" s="650" t="n"/>
      <c r="O372" s="650" t="n"/>
      <c r="P372" s="650" t="n"/>
      <c r="Q372" s="616" t="n"/>
      <c r="R372" s="40" t="inlineStr"/>
      <c r="S372" s="40" t="inlineStr"/>
      <c r="T372" s="41" t="inlineStr">
        <is>
          <t>кг</t>
        </is>
      </c>
      <c r="U372" s="651" t="n">
        <v>0</v>
      </c>
      <c r="V372" s="652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SU002220</t>
        </is>
      </c>
      <c r="B373" s="64" t="inlineStr">
        <is>
          <t>P002404</t>
        </is>
      </c>
      <c r="C373" s="37" t="n">
        <v>4301011168</v>
      </c>
      <c r="D373" s="362" t="n">
        <v>4607091389999</v>
      </c>
      <c r="E373" s="616" t="n"/>
      <c r="F373" s="648" t="n">
        <v>0.6</v>
      </c>
      <c r="G373" s="38" t="n">
        <v>6</v>
      </c>
      <c r="H373" s="648" t="n">
        <v>3.6</v>
      </c>
      <c r="I373" s="648" t="n">
        <v>3.84</v>
      </c>
      <c r="J373" s="38" t="n">
        <v>120</v>
      </c>
      <c r="K373" s="39" t="inlineStr">
        <is>
          <t>СК1</t>
        </is>
      </c>
      <c r="L373" s="38" t="n">
        <v>55</v>
      </c>
      <c r="M373" s="863" t="inlineStr">
        <is>
          <t>Вареные колбасы "Докторская Дугушка" Фикс.вес 0,6 П/а ТМ "Дугушка"</t>
        </is>
      </c>
      <c r="N373" s="650" t="n"/>
      <c r="O373" s="650" t="n"/>
      <c r="P373" s="650" t="n"/>
      <c r="Q373" s="616" t="n"/>
      <c r="R373" s="40" t="inlineStr"/>
      <c r="S373" s="40" t="inlineStr"/>
      <c r="T373" s="41" t="inlineStr">
        <is>
          <t>кг</t>
        </is>
      </c>
      <c r="U373" s="651" t="n">
        <v>0</v>
      </c>
      <c r="V373" s="652">
        <f>IFERROR(IF(U373="",0,CEILING((U373/$H373),1)*$H373),"")</f>
        <v/>
      </c>
      <c r="W373" s="42">
        <f>IFERROR(IF(V373=0,"",ROUNDUP(V373/H373,0)*0.00937),"")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SU002635</t>
        </is>
      </c>
      <c r="B374" s="64" t="inlineStr">
        <is>
          <t>P002992</t>
        </is>
      </c>
      <c r="C374" s="37" t="n">
        <v>4301011372</v>
      </c>
      <c r="D374" s="362" t="n">
        <v>4680115882782</v>
      </c>
      <c r="E374" s="616" t="n"/>
      <c r="F374" s="648" t="n">
        <v>0.6</v>
      </c>
      <c r="G374" s="38" t="n">
        <v>6</v>
      </c>
      <c r="H374" s="648" t="n">
        <v>3.6</v>
      </c>
      <c r="I374" s="648" t="n">
        <v>3.84</v>
      </c>
      <c r="J374" s="38" t="n">
        <v>120</v>
      </c>
      <c r="K374" s="39" t="inlineStr">
        <is>
          <t>СК1</t>
        </is>
      </c>
      <c r="L374" s="38" t="n">
        <v>50</v>
      </c>
      <c r="M374" s="864" t="inlineStr">
        <is>
          <t>Вареные колбасы "Дугушка со шпиком" Фикс.вес 0,6 П/а ТМ "Дугушка"</t>
        </is>
      </c>
      <c r="N374" s="650" t="n"/>
      <c r="O374" s="650" t="n"/>
      <c r="P374" s="650" t="n"/>
      <c r="Q374" s="616" t="n"/>
      <c r="R374" s="40" t="inlineStr"/>
      <c r="S374" s="40" t="inlineStr"/>
      <c r="T374" s="41" t="inlineStr">
        <is>
          <t>кг</t>
        </is>
      </c>
      <c r="U374" s="651" t="n">
        <v>0</v>
      </c>
      <c r="V374" s="652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 ht="27" customHeight="1">
      <c r="A375" s="64" t="inlineStr">
        <is>
          <t>SU002020</t>
        </is>
      </c>
      <c r="B375" s="64" t="inlineStr">
        <is>
          <t>P002308</t>
        </is>
      </c>
      <c r="C375" s="37" t="n">
        <v>4301011190</v>
      </c>
      <c r="D375" s="362" t="n">
        <v>4607091389098</v>
      </c>
      <c r="E375" s="616" t="n"/>
      <c r="F375" s="648" t="n">
        <v>0.4</v>
      </c>
      <c r="G375" s="38" t="n">
        <v>6</v>
      </c>
      <c r="H375" s="648" t="n">
        <v>2.4</v>
      </c>
      <c r="I375" s="648" t="n">
        <v>2.6</v>
      </c>
      <c r="J375" s="38" t="n">
        <v>156</v>
      </c>
      <c r="K375" s="39" t="inlineStr">
        <is>
          <t>СК3</t>
        </is>
      </c>
      <c r="L375" s="38" t="n">
        <v>50</v>
      </c>
      <c r="M375" s="86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5" s="650" t="n"/>
      <c r="O375" s="650" t="n"/>
      <c r="P375" s="650" t="n"/>
      <c r="Q375" s="616" t="n"/>
      <c r="R375" s="40" t="inlineStr"/>
      <c r="S375" s="40" t="inlineStr"/>
      <c r="T375" s="41" t="inlineStr">
        <is>
          <t>кг</t>
        </is>
      </c>
      <c r="U375" s="651" t="n">
        <v>0</v>
      </c>
      <c r="V375" s="652">
        <f>IFERROR(IF(U375="",0,CEILING((U375/$H375),1)*$H375),"")</f>
        <v/>
      </c>
      <c r="W375" s="42">
        <f>IFERROR(IF(V375=0,"",ROUNDUP(V375/H375,0)*0.00753),"")</f>
        <v/>
      </c>
      <c r="X375" s="69" t="inlineStr"/>
      <c r="Y375" s="70" t="inlineStr"/>
      <c r="AC375" s="281" t="inlineStr">
        <is>
          <t>КИ</t>
        </is>
      </c>
    </row>
    <row r="376" ht="27" customHeight="1">
      <c r="A376" s="64" t="inlineStr">
        <is>
          <t>SU002631</t>
        </is>
      </c>
      <c r="B376" s="64" t="inlineStr">
        <is>
          <t>P002981</t>
        </is>
      </c>
      <c r="C376" s="37" t="n">
        <v>4301011366</v>
      </c>
      <c r="D376" s="362" t="n">
        <v>4607091389982</v>
      </c>
      <c r="E376" s="616" t="n"/>
      <c r="F376" s="648" t="n">
        <v>0.6</v>
      </c>
      <c r="G376" s="38" t="n">
        <v>6</v>
      </c>
      <c r="H376" s="648" t="n">
        <v>3.6</v>
      </c>
      <c r="I376" s="648" t="n">
        <v>3.84</v>
      </c>
      <c r="J376" s="38" t="n">
        <v>120</v>
      </c>
      <c r="K376" s="39" t="inlineStr">
        <is>
          <t>СК1</t>
        </is>
      </c>
      <c r="L376" s="38" t="n">
        <v>55</v>
      </c>
      <c r="M376" s="866" t="inlineStr">
        <is>
          <t>Вареные колбасы "Молочная Дугушка" Фикс.вес 0,6 П/а ТМ "Дугушка"</t>
        </is>
      </c>
      <c r="N376" s="650" t="n"/>
      <c r="O376" s="650" t="n"/>
      <c r="P376" s="650" t="n"/>
      <c r="Q376" s="616" t="n"/>
      <c r="R376" s="40" t="inlineStr"/>
      <c r="S376" s="40" t="inlineStr"/>
      <c r="T376" s="41" t="inlineStr">
        <is>
          <t>кг</t>
        </is>
      </c>
      <c r="U376" s="651" t="n">
        <v>0</v>
      </c>
      <c r="V376" s="652">
        <f>IFERROR(IF(U376="",0,CEILING((U376/$H376),1)*$H376),"")</f>
        <v/>
      </c>
      <c r="W376" s="42">
        <f>IFERROR(IF(V376=0,"",ROUNDUP(V376/H376,0)*0.00937),"")</f>
        <v/>
      </c>
      <c r="X376" s="69" t="inlineStr"/>
      <c r="Y376" s="70" t="inlineStr"/>
      <c r="AC376" s="282" t="inlineStr">
        <is>
          <t>КИ</t>
        </is>
      </c>
    </row>
    <row r="377">
      <c r="A377" s="370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53" t="n"/>
      <c r="M377" s="654" t="inlineStr">
        <is>
          <t>Итого</t>
        </is>
      </c>
      <c r="N377" s="624" t="n"/>
      <c r="O377" s="624" t="n"/>
      <c r="P377" s="624" t="n"/>
      <c r="Q377" s="624" t="n"/>
      <c r="R377" s="624" t="n"/>
      <c r="S377" s="625" t="n"/>
      <c r="T377" s="43" t="inlineStr">
        <is>
          <t>кор</t>
        </is>
      </c>
      <c r="U377" s="655">
        <f>IFERROR(U367/H367,"0")+IFERROR(U368/H368,"0")+IFERROR(U369/H369,"0")+IFERROR(U370/H370,"0")+IFERROR(U371/H371,"0")+IFERROR(U372/H372,"0")+IFERROR(U373/H373,"0")+IFERROR(U374/H374,"0")+IFERROR(U375/H375,"0")+IFERROR(U376/H376,"0")</f>
        <v/>
      </c>
      <c r="V377" s="655">
        <f>IFERROR(V367/H367,"0")+IFERROR(V368/H368,"0")+IFERROR(V369/H369,"0")+IFERROR(V370/H370,"0")+IFERROR(V371/H371,"0")+IFERROR(V372/H372,"0")+IFERROR(V373/H373,"0")+IFERROR(V374/H374,"0")+IFERROR(V375/H375,"0")+IFERROR(V376/H376,"0")</f>
        <v/>
      </c>
      <c r="W377" s="655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/>
      </c>
      <c r="X377" s="656" t="n"/>
      <c r="Y377" s="65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53" t="n"/>
      <c r="M378" s="654" t="inlineStr">
        <is>
          <t>Итого</t>
        </is>
      </c>
      <c r="N378" s="624" t="n"/>
      <c r="O378" s="624" t="n"/>
      <c r="P378" s="624" t="n"/>
      <c r="Q378" s="624" t="n"/>
      <c r="R378" s="624" t="n"/>
      <c r="S378" s="625" t="n"/>
      <c r="T378" s="43" t="inlineStr">
        <is>
          <t>кг</t>
        </is>
      </c>
      <c r="U378" s="655">
        <f>IFERROR(SUM(U367:U376),"0")</f>
        <v/>
      </c>
      <c r="V378" s="655">
        <f>IFERROR(SUM(V367:V376),"0")</f>
        <v/>
      </c>
      <c r="W378" s="43" t="n"/>
      <c r="X378" s="656" t="n"/>
      <c r="Y378" s="656" t="n"/>
    </row>
    <row r="379" ht="14.25" customHeight="1">
      <c r="A379" s="361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61" t="n"/>
      <c r="Y379" s="361" t="n"/>
    </row>
    <row r="380" ht="16.5" customHeight="1">
      <c r="A380" s="64" t="inlineStr">
        <is>
          <t>SU002035</t>
        </is>
      </c>
      <c r="B380" s="64" t="inlineStr">
        <is>
          <t>P003146</t>
        </is>
      </c>
      <c r="C380" s="37" t="n">
        <v>4301020222</v>
      </c>
      <c r="D380" s="362" t="n">
        <v>4607091388930</v>
      </c>
      <c r="E380" s="616" t="n"/>
      <c r="F380" s="648" t="n">
        <v>0.88</v>
      </c>
      <c r="G380" s="38" t="n">
        <v>6</v>
      </c>
      <c r="H380" s="648" t="n">
        <v>5.28</v>
      </c>
      <c r="I380" s="648" t="n">
        <v>5.64</v>
      </c>
      <c r="J380" s="38" t="n">
        <v>104</v>
      </c>
      <c r="K380" s="39" t="inlineStr">
        <is>
          <t>СК1</t>
        </is>
      </c>
      <c r="L380" s="38" t="n">
        <v>55</v>
      </c>
      <c r="M380" s="867">
        <f>HYPERLINK("https://abi.ru/products/Охлажденные/Дугушка/Дугушка/Ветчины/P003146/","Ветчины Дугушка Дугушка Вес б/о Дугушка")</f>
        <v/>
      </c>
      <c r="N380" s="650" t="n"/>
      <c r="O380" s="650" t="n"/>
      <c r="P380" s="650" t="n"/>
      <c r="Q380" s="616" t="n"/>
      <c r="R380" s="40" t="inlineStr"/>
      <c r="S380" s="40" t="inlineStr"/>
      <c r="T380" s="41" t="inlineStr">
        <is>
          <t>кг</t>
        </is>
      </c>
      <c r="U380" s="651" t="n">
        <v>50</v>
      </c>
      <c r="V380" s="652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3" t="inlineStr">
        <is>
          <t>КИ</t>
        </is>
      </c>
    </row>
    <row r="381" ht="16.5" customHeight="1">
      <c r="A381" s="64" t="inlineStr">
        <is>
          <t>SU002643</t>
        </is>
      </c>
      <c r="B381" s="64" t="inlineStr">
        <is>
          <t>P002993</t>
        </is>
      </c>
      <c r="C381" s="37" t="n">
        <v>4301020206</v>
      </c>
      <c r="D381" s="362" t="n">
        <v>4680115880054</v>
      </c>
      <c r="E381" s="616" t="n"/>
      <c r="F381" s="648" t="n">
        <v>0.6</v>
      </c>
      <c r="G381" s="38" t="n">
        <v>6</v>
      </c>
      <c r="H381" s="648" t="n">
        <v>3.6</v>
      </c>
      <c r="I381" s="648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68" t="inlineStr">
        <is>
          <t>Ветчины "Дугушка" Фикс.вес 0,6 П/а ТМ "Дугушка"</t>
        </is>
      </c>
      <c r="N381" s="650" t="n"/>
      <c r="O381" s="650" t="n"/>
      <c r="P381" s="650" t="n"/>
      <c r="Q381" s="616" t="n"/>
      <c r="R381" s="40" t="inlineStr"/>
      <c r="S381" s="40" t="inlineStr"/>
      <c r="T381" s="41" t="inlineStr">
        <is>
          <t>кг</t>
        </is>
      </c>
      <c r="U381" s="651" t="n">
        <v>0</v>
      </c>
      <c r="V381" s="652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4" t="inlineStr">
        <is>
          <t>КИ</t>
        </is>
      </c>
    </row>
    <row r="382">
      <c r="A382" s="370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53" t="n"/>
      <c r="M382" s="654" t="inlineStr">
        <is>
          <t>Итого</t>
        </is>
      </c>
      <c r="N382" s="624" t="n"/>
      <c r="O382" s="624" t="n"/>
      <c r="P382" s="624" t="n"/>
      <c r="Q382" s="624" t="n"/>
      <c r="R382" s="624" t="n"/>
      <c r="S382" s="625" t="n"/>
      <c r="T382" s="43" t="inlineStr">
        <is>
          <t>кор</t>
        </is>
      </c>
      <c r="U382" s="655">
        <f>IFERROR(U380/H380,"0")+IFERROR(U381/H381,"0")</f>
        <v/>
      </c>
      <c r="V382" s="655">
        <f>IFERROR(V380/H380,"0")+IFERROR(V381/H381,"0")</f>
        <v/>
      </c>
      <c r="W382" s="655">
        <f>IFERROR(IF(W380="",0,W380),"0")+IFERROR(IF(W381="",0,W381),"0")</f>
        <v/>
      </c>
      <c r="X382" s="656" t="n"/>
      <c r="Y382" s="656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53" t="n"/>
      <c r="M383" s="654" t="inlineStr">
        <is>
          <t>Итого</t>
        </is>
      </c>
      <c r="N383" s="624" t="n"/>
      <c r="O383" s="624" t="n"/>
      <c r="P383" s="624" t="n"/>
      <c r="Q383" s="624" t="n"/>
      <c r="R383" s="624" t="n"/>
      <c r="S383" s="625" t="n"/>
      <c r="T383" s="43" t="inlineStr">
        <is>
          <t>кг</t>
        </is>
      </c>
      <c r="U383" s="655">
        <f>IFERROR(SUM(U380:U381),"0")</f>
        <v/>
      </c>
      <c r="V383" s="655">
        <f>IFERROR(SUM(V380:V381),"0")</f>
        <v/>
      </c>
      <c r="W383" s="43" t="n"/>
      <c r="X383" s="656" t="n"/>
      <c r="Y383" s="656" t="n"/>
    </row>
    <row r="384" ht="14.25" customHeight="1">
      <c r="A384" s="361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61" t="n"/>
      <c r="Y384" s="361" t="n"/>
    </row>
    <row r="385" ht="27" customHeight="1">
      <c r="A385" s="64" t="inlineStr">
        <is>
          <t>SU002150</t>
        </is>
      </c>
      <c r="B385" s="64" t="inlineStr">
        <is>
          <t>P003249</t>
        </is>
      </c>
      <c r="C385" s="37" t="n">
        <v>4301031198</v>
      </c>
      <c r="D385" s="362" t="n">
        <v>4607091383348</v>
      </c>
      <c r="E385" s="616" t="n"/>
      <c r="F385" s="648" t="n">
        <v>0.88</v>
      </c>
      <c r="G385" s="38" t="n">
        <v>6</v>
      </c>
      <c r="H385" s="648" t="n">
        <v>5.28</v>
      </c>
      <c r="I385" s="648" t="n">
        <v>5.64</v>
      </c>
      <c r="J385" s="38" t="n">
        <v>104</v>
      </c>
      <c r="K385" s="39" t="inlineStr">
        <is>
          <t>СК1</t>
        </is>
      </c>
      <c r="L385" s="38" t="n">
        <v>55</v>
      </c>
      <c r="M385" s="86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5" s="650" t="n"/>
      <c r="O385" s="650" t="n"/>
      <c r="P385" s="650" t="n"/>
      <c r="Q385" s="616" t="n"/>
      <c r="R385" s="40" t="inlineStr"/>
      <c r="S385" s="40" t="inlineStr"/>
      <c r="T385" s="41" t="inlineStr">
        <is>
          <t>кг</t>
        </is>
      </c>
      <c r="U385" s="651" t="n">
        <v>0</v>
      </c>
      <c r="V385" s="652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SU002158</t>
        </is>
      </c>
      <c r="B386" s="64" t="inlineStr">
        <is>
          <t>P003152</t>
        </is>
      </c>
      <c r="C386" s="37" t="n">
        <v>4301031188</v>
      </c>
      <c r="D386" s="362" t="n">
        <v>4607091383386</v>
      </c>
      <c r="E386" s="616" t="n"/>
      <c r="F386" s="648" t="n">
        <v>0.88</v>
      </c>
      <c r="G386" s="38" t="n">
        <v>6</v>
      </c>
      <c r="H386" s="648" t="n">
        <v>5.28</v>
      </c>
      <c r="I386" s="648" t="n">
        <v>5.64</v>
      </c>
      <c r="J386" s="38" t="n">
        <v>104</v>
      </c>
      <c r="K386" s="39" t="inlineStr">
        <is>
          <t>СК2</t>
        </is>
      </c>
      <c r="L386" s="38" t="n">
        <v>55</v>
      </c>
      <c r="M386" s="87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6" s="650" t="n"/>
      <c r="O386" s="650" t="n"/>
      <c r="P386" s="650" t="n"/>
      <c r="Q386" s="616" t="n"/>
      <c r="R386" s="40" t="inlineStr"/>
      <c r="S386" s="40" t="inlineStr"/>
      <c r="T386" s="41" t="inlineStr">
        <is>
          <t>кг</t>
        </is>
      </c>
      <c r="U386" s="651" t="n">
        <v>30</v>
      </c>
      <c r="V386" s="652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SU002151</t>
        </is>
      </c>
      <c r="B387" s="64" t="inlineStr">
        <is>
          <t>P003153</t>
        </is>
      </c>
      <c r="C387" s="37" t="n">
        <v>4301031189</v>
      </c>
      <c r="D387" s="362" t="n">
        <v>4607091383355</v>
      </c>
      <c r="E387" s="616" t="n"/>
      <c r="F387" s="648" t="n">
        <v>0.88</v>
      </c>
      <c r="G387" s="38" t="n">
        <v>6</v>
      </c>
      <c r="H387" s="648" t="n">
        <v>5.28</v>
      </c>
      <c r="I387" s="648" t="n">
        <v>5.64</v>
      </c>
      <c r="J387" s="38" t="n">
        <v>104</v>
      </c>
      <c r="K387" s="39" t="inlineStr">
        <is>
          <t>СК2</t>
        </is>
      </c>
      <c r="L387" s="38" t="n">
        <v>55</v>
      </c>
      <c r="M387" s="87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7" s="650" t="n"/>
      <c r="O387" s="650" t="n"/>
      <c r="P387" s="650" t="n"/>
      <c r="Q387" s="616" t="n"/>
      <c r="R387" s="40" t="inlineStr"/>
      <c r="S387" s="40" t="inlineStr"/>
      <c r="T387" s="41" t="inlineStr">
        <is>
          <t>кг</t>
        </is>
      </c>
      <c r="U387" s="651" t="n">
        <v>0</v>
      </c>
      <c r="V387" s="652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SU002916</t>
        </is>
      </c>
      <c r="B388" s="64" t="inlineStr">
        <is>
          <t>P003342</t>
        </is>
      </c>
      <c r="C388" s="37" t="n">
        <v>4301031214</v>
      </c>
      <c r="D388" s="362" t="n">
        <v>4680115882072</v>
      </c>
      <c r="E388" s="616" t="n"/>
      <c r="F388" s="648" t="n">
        <v>0.6</v>
      </c>
      <c r="G388" s="38" t="n">
        <v>6</v>
      </c>
      <c r="H388" s="648" t="n">
        <v>3.6</v>
      </c>
      <c r="I388" s="648" t="n">
        <v>3.84</v>
      </c>
      <c r="J388" s="38" t="n">
        <v>120</v>
      </c>
      <c r="K388" s="39" t="inlineStr">
        <is>
          <t>СК1</t>
        </is>
      </c>
      <c r="L388" s="38" t="n">
        <v>55</v>
      </c>
      <c r="M388" s="872" t="inlineStr">
        <is>
          <t>В/к колбасы "Рубленая Запеченная" Фикс.вес 0,6 Вектор ТМ "Дугушка"</t>
        </is>
      </c>
      <c r="N388" s="650" t="n"/>
      <c r="O388" s="650" t="n"/>
      <c r="P388" s="650" t="n"/>
      <c r="Q388" s="616" t="n"/>
      <c r="R388" s="40" t="inlineStr"/>
      <c r="S388" s="40" t="inlineStr"/>
      <c r="T388" s="41" t="inlineStr">
        <is>
          <t>кг</t>
        </is>
      </c>
      <c r="U388" s="651" t="n">
        <v>0</v>
      </c>
      <c r="V388" s="652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 ht="27" customHeight="1">
      <c r="A389" s="64" t="inlineStr">
        <is>
          <t>SU002919</t>
        </is>
      </c>
      <c r="B389" s="64" t="inlineStr">
        <is>
          <t>P003345</t>
        </is>
      </c>
      <c r="C389" s="37" t="n">
        <v>4301031217</v>
      </c>
      <c r="D389" s="362" t="n">
        <v>4680115882102</v>
      </c>
      <c r="E389" s="616" t="n"/>
      <c r="F389" s="648" t="n">
        <v>0.6</v>
      </c>
      <c r="G389" s="38" t="n">
        <v>6</v>
      </c>
      <c r="H389" s="648" t="n">
        <v>3.6</v>
      </c>
      <c r="I389" s="648" t="n">
        <v>3.81</v>
      </c>
      <c r="J389" s="38" t="n">
        <v>120</v>
      </c>
      <c r="K389" s="39" t="inlineStr">
        <is>
          <t>СК2</t>
        </is>
      </c>
      <c r="L389" s="38" t="n">
        <v>55</v>
      </c>
      <c r="M389" s="873" t="inlineStr">
        <is>
          <t>В/к колбасы "Салями Запеченая" Фикс.вес 0,6 Вектор ТМ "Дугушка"</t>
        </is>
      </c>
      <c r="N389" s="650" t="n"/>
      <c r="O389" s="650" t="n"/>
      <c r="P389" s="650" t="n"/>
      <c r="Q389" s="616" t="n"/>
      <c r="R389" s="40" t="inlineStr"/>
      <c r="S389" s="40" t="inlineStr"/>
      <c r="T389" s="41" t="inlineStr">
        <is>
          <t>кг</t>
        </is>
      </c>
      <c r="U389" s="651" t="n">
        <v>0</v>
      </c>
      <c r="V389" s="652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289" t="inlineStr">
        <is>
          <t>КИ</t>
        </is>
      </c>
    </row>
    <row r="390" ht="27" customHeight="1">
      <c r="A390" s="64" t="inlineStr">
        <is>
          <t>SU002918</t>
        </is>
      </c>
      <c r="B390" s="64" t="inlineStr">
        <is>
          <t>P003344</t>
        </is>
      </c>
      <c r="C390" s="37" t="n">
        <v>4301031216</v>
      </c>
      <c r="D390" s="362" t="n">
        <v>4680115882096</v>
      </c>
      <c r="E390" s="616" t="n"/>
      <c r="F390" s="648" t="n">
        <v>0.6</v>
      </c>
      <c r="G390" s="38" t="n">
        <v>6</v>
      </c>
      <c r="H390" s="648" t="n">
        <v>3.6</v>
      </c>
      <c r="I390" s="648" t="n">
        <v>3.81</v>
      </c>
      <c r="J390" s="38" t="n">
        <v>120</v>
      </c>
      <c r="K390" s="39" t="inlineStr">
        <is>
          <t>СК2</t>
        </is>
      </c>
      <c r="L390" s="38" t="n">
        <v>55</v>
      </c>
      <c r="M390" s="874" t="inlineStr">
        <is>
          <t>В/к колбасы "Сервелат Запеченный" Фикс.вес 0,6 Вектор ТМ "Дугушка"</t>
        </is>
      </c>
      <c r="N390" s="650" t="n"/>
      <c r="O390" s="650" t="n"/>
      <c r="P390" s="650" t="n"/>
      <c r="Q390" s="616" t="n"/>
      <c r="R390" s="40" t="inlineStr"/>
      <c r="S390" s="40" t="inlineStr"/>
      <c r="T390" s="41" t="inlineStr">
        <is>
          <t>кг</t>
        </is>
      </c>
      <c r="U390" s="651" t="n">
        <v>0</v>
      </c>
      <c r="V390" s="652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90" t="inlineStr">
        <is>
          <t>КИ</t>
        </is>
      </c>
    </row>
    <row r="391">
      <c r="A391" s="370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53" t="n"/>
      <c r="M391" s="654" t="inlineStr">
        <is>
          <t>Итого</t>
        </is>
      </c>
      <c r="N391" s="624" t="n"/>
      <c r="O391" s="624" t="n"/>
      <c r="P391" s="624" t="n"/>
      <c r="Q391" s="624" t="n"/>
      <c r="R391" s="624" t="n"/>
      <c r="S391" s="625" t="n"/>
      <c r="T391" s="43" t="inlineStr">
        <is>
          <t>кор</t>
        </is>
      </c>
      <c r="U391" s="655">
        <f>IFERROR(U385/H385,"0")+IFERROR(U386/H386,"0")+IFERROR(U387/H387,"0")+IFERROR(U388/H388,"0")+IFERROR(U389/H389,"0")+IFERROR(U390/H390,"0")</f>
        <v/>
      </c>
      <c r="V391" s="655">
        <f>IFERROR(V385/H385,"0")+IFERROR(V386/H386,"0")+IFERROR(V387/H387,"0")+IFERROR(V388/H388,"0")+IFERROR(V389/H389,"0")+IFERROR(V390/H390,"0")</f>
        <v/>
      </c>
      <c r="W391" s="655">
        <f>IFERROR(IF(W385="",0,W385),"0")+IFERROR(IF(W386="",0,W386),"0")+IFERROR(IF(W387="",0,W387),"0")+IFERROR(IF(W388="",0,W388),"0")+IFERROR(IF(W389="",0,W389),"0")+IFERROR(IF(W390="",0,W390),"0")</f>
        <v/>
      </c>
      <c r="X391" s="656" t="n"/>
      <c r="Y391" s="656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53" t="n"/>
      <c r="M392" s="654" t="inlineStr">
        <is>
          <t>Итого</t>
        </is>
      </c>
      <c r="N392" s="624" t="n"/>
      <c r="O392" s="624" t="n"/>
      <c r="P392" s="624" t="n"/>
      <c r="Q392" s="624" t="n"/>
      <c r="R392" s="624" t="n"/>
      <c r="S392" s="625" t="n"/>
      <c r="T392" s="43" t="inlineStr">
        <is>
          <t>кг</t>
        </is>
      </c>
      <c r="U392" s="655">
        <f>IFERROR(SUM(U385:U390),"0")</f>
        <v/>
      </c>
      <c r="V392" s="655">
        <f>IFERROR(SUM(V385:V390),"0")</f>
        <v/>
      </c>
      <c r="W392" s="43" t="n"/>
      <c r="X392" s="656" t="n"/>
      <c r="Y392" s="656" t="n"/>
    </row>
    <row r="393" ht="14.25" customHeight="1">
      <c r="A393" s="361" t="inlineStr">
        <is>
          <t>Сосиски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61" t="n"/>
      <c r="Y393" s="361" t="n"/>
    </row>
    <row r="394" ht="16.5" customHeight="1">
      <c r="A394" s="64" t="inlineStr">
        <is>
          <t>SU002218</t>
        </is>
      </c>
      <c r="B394" s="64" t="inlineStr">
        <is>
          <t>P002854</t>
        </is>
      </c>
      <c r="C394" s="37" t="n">
        <v>4301051230</v>
      </c>
      <c r="D394" s="362" t="n">
        <v>4607091383409</v>
      </c>
      <c r="E394" s="616" t="n"/>
      <c r="F394" s="648" t="n">
        <v>1.3</v>
      </c>
      <c r="G394" s="38" t="n">
        <v>6</v>
      </c>
      <c r="H394" s="648" t="n">
        <v>7.8</v>
      </c>
      <c r="I394" s="648" t="n">
        <v>8.346</v>
      </c>
      <c r="J394" s="38" t="n">
        <v>56</v>
      </c>
      <c r="K394" s="39" t="inlineStr">
        <is>
          <t>СК2</t>
        </is>
      </c>
      <c r="L394" s="38" t="n">
        <v>45</v>
      </c>
      <c r="M394" s="875">
        <f>HYPERLINK("https://abi.ru/products/Охлажденные/Дугушка/Дугушка/Сосиски/P002854/","Сосиски Молочные Дугушки Дугушка Весовые П/а мгс Дугушка")</f>
        <v/>
      </c>
      <c r="N394" s="650" t="n"/>
      <c r="O394" s="650" t="n"/>
      <c r="P394" s="650" t="n"/>
      <c r="Q394" s="616" t="n"/>
      <c r="R394" s="40" t="inlineStr"/>
      <c r="S394" s="40" t="inlineStr"/>
      <c r="T394" s="41" t="inlineStr">
        <is>
          <t>кг</t>
        </is>
      </c>
      <c r="U394" s="651" t="n">
        <v>0</v>
      </c>
      <c r="V394" s="652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91" t="inlineStr">
        <is>
          <t>КИ</t>
        </is>
      </c>
    </row>
    <row r="395" ht="16.5" customHeight="1">
      <c r="A395" s="64" t="inlineStr">
        <is>
          <t>SU002219</t>
        </is>
      </c>
      <c r="B395" s="64" t="inlineStr">
        <is>
          <t>P002855</t>
        </is>
      </c>
      <c r="C395" s="37" t="n">
        <v>4301051231</v>
      </c>
      <c r="D395" s="362" t="n">
        <v>4607091383416</v>
      </c>
      <c r="E395" s="616" t="n"/>
      <c r="F395" s="648" t="n">
        <v>1.3</v>
      </c>
      <c r="G395" s="38" t="n">
        <v>6</v>
      </c>
      <c r="H395" s="648" t="n">
        <v>7.8</v>
      </c>
      <c r="I395" s="648" t="n">
        <v>8.346</v>
      </c>
      <c r="J395" s="38" t="n">
        <v>56</v>
      </c>
      <c r="K395" s="39" t="inlineStr">
        <is>
          <t>СК2</t>
        </is>
      </c>
      <c r="L395" s="38" t="n">
        <v>45</v>
      </c>
      <c r="M395" s="876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5" s="650" t="n"/>
      <c r="O395" s="650" t="n"/>
      <c r="P395" s="650" t="n"/>
      <c r="Q395" s="616" t="n"/>
      <c r="R395" s="40" t="inlineStr"/>
      <c r="S395" s="40" t="inlineStr"/>
      <c r="T395" s="41" t="inlineStr">
        <is>
          <t>кг</t>
        </is>
      </c>
      <c r="U395" s="651" t="n">
        <v>0</v>
      </c>
      <c r="V395" s="652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92" t="inlineStr">
        <is>
          <t>КИ</t>
        </is>
      </c>
    </row>
    <row r="396">
      <c r="A396" s="370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53" t="n"/>
      <c r="M396" s="654" t="inlineStr">
        <is>
          <t>Итого</t>
        </is>
      </c>
      <c r="N396" s="624" t="n"/>
      <c r="O396" s="624" t="n"/>
      <c r="P396" s="624" t="n"/>
      <c r="Q396" s="624" t="n"/>
      <c r="R396" s="624" t="n"/>
      <c r="S396" s="625" t="n"/>
      <c r="T396" s="43" t="inlineStr">
        <is>
          <t>кор</t>
        </is>
      </c>
      <c r="U396" s="655">
        <f>IFERROR(U394/H394,"0")+IFERROR(U395/H395,"0")</f>
        <v/>
      </c>
      <c r="V396" s="655">
        <f>IFERROR(V394/H394,"0")+IFERROR(V395/H395,"0")</f>
        <v/>
      </c>
      <c r="W396" s="655">
        <f>IFERROR(IF(W394="",0,W394),"0")+IFERROR(IF(W395="",0,W395),"0")</f>
        <v/>
      </c>
      <c r="X396" s="656" t="n"/>
      <c r="Y396" s="656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53" t="n"/>
      <c r="M397" s="654" t="inlineStr">
        <is>
          <t>Итого</t>
        </is>
      </c>
      <c r="N397" s="624" t="n"/>
      <c r="O397" s="624" t="n"/>
      <c r="P397" s="624" t="n"/>
      <c r="Q397" s="624" t="n"/>
      <c r="R397" s="624" t="n"/>
      <c r="S397" s="625" t="n"/>
      <c r="T397" s="43" t="inlineStr">
        <is>
          <t>кг</t>
        </is>
      </c>
      <c r="U397" s="655">
        <f>IFERROR(SUM(U394:U395),"0")</f>
        <v/>
      </c>
      <c r="V397" s="655">
        <f>IFERROR(SUM(V394:V395),"0")</f>
        <v/>
      </c>
      <c r="W397" s="43" t="n"/>
      <c r="X397" s="656" t="n"/>
      <c r="Y397" s="656" t="n"/>
    </row>
    <row r="398" ht="27.75" customHeight="1">
      <c r="A398" s="359" t="inlineStr">
        <is>
          <t>Зареченские</t>
        </is>
      </c>
      <c r="B398" s="647" t="n"/>
      <c r="C398" s="647" t="n"/>
      <c r="D398" s="647" t="n"/>
      <c r="E398" s="647" t="n"/>
      <c r="F398" s="647" t="n"/>
      <c r="G398" s="647" t="n"/>
      <c r="H398" s="647" t="n"/>
      <c r="I398" s="647" t="n"/>
      <c r="J398" s="647" t="n"/>
      <c r="K398" s="647" t="n"/>
      <c r="L398" s="647" t="n"/>
      <c r="M398" s="647" t="n"/>
      <c r="N398" s="647" t="n"/>
      <c r="O398" s="647" t="n"/>
      <c r="P398" s="647" t="n"/>
      <c r="Q398" s="647" t="n"/>
      <c r="R398" s="647" t="n"/>
      <c r="S398" s="647" t="n"/>
      <c r="T398" s="647" t="n"/>
      <c r="U398" s="647" t="n"/>
      <c r="V398" s="647" t="n"/>
      <c r="W398" s="647" t="n"/>
      <c r="X398" s="55" t="n"/>
      <c r="Y398" s="55" t="n"/>
    </row>
    <row r="399" ht="16.5" customHeight="1">
      <c r="A399" s="360" t="inlineStr">
        <is>
          <t>Зареченские продукты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60" t="n"/>
      <c r="Y399" s="360" t="n"/>
    </row>
    <row r="400" ht="14.25" customHeight="1">
      <c r="A400" s="361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61" t="n"/>
      <c r="Y400" s="361" t="n"/>
    </row>
    <row r="401" ht="27" customHeight="1">
      <c r="A401" s="64" t="inlineStr">
        <is>
          <t>SU002807</t>
        </is>
      </c>
      <c r="B401" s="64" t="inlineStr">
        <is>
          <t>P003210</t>
        </is>
      </c>
      <c r="C401" s="37" t="n">
        <v>4301011434</v>
      </c>
      <c r="D401" s="362" t="n">
        <v>4680115881099</v>
      </c>
      <c r="E401" s="616" t="n"/>
      <c r="F401" s="648" t="n">
        <v>1.5</v>
      </c>
      <c r="G401" s="38" t="n">
        <v>8</v>
      </c>
      <c r="H401" s="648" t="n">
        <v>12</v>
      </c>
      <c r="I401" s="648" t="n">
        <v>12.48</v>
      </c>
      <c r="J401" s="38" t="n">
        <v>56</v>
      </c>
      <c r="K401" s="39" t="inlineStr">
        <is>
          <t>СК1</t>
        </is>
      </c>
      <c r="L401" s="38" t="n">
        <v>50</v>
      </c>
      <c r="M401" s="877" t="inlineStr">
        <is>
          <t>Вареные колбасы "Муромская" Весовой п/а ТМ "Зареченские"</t>
        </is>
      </c>
      <c r="N401" s="650" t="n"/>
      <c r="O401" s="650" t="n"/>
      <c r="P401" s="650" t="n"/>
      <c r="Q401" s="616" t="n"/>
      <c r="R401" s="40" t="inlineStr"/>
      <c r="S401" s="40" t="inlineStr"/>
      <c r="T401" s="41" t="inlineStr">
        <is>
          <t>кг</t>
        </is>
      </c>
      <c r="U401" s="651" t="n">
        <v>0</v>
      </c>
      <c r="V401" s="652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  <c r="AC401" s="293" t="inlineStr">
        <is>
          <t>КИ</t>
        </is>
      </c>
    </row>
    <row r="402" ht="27" customHeight="1">
      <c r="A402" s="64" t="inlineStr">
        <is>
          <t>SU002808</t>
        </is>
      </c>
      <c r="B402" s="64" t="inlineStr">
        <is>
          <t>P003214</t>
        </is>
      </c>
      <c r="C402" s="37" t="n">
        <v>4301011435</v>
      </c>
      <c r="D402" s="362" t="n">
        <v>4680115881150</v>
      </c>
      <c r="E402" s="616" t="n"/>
      <c r="F402" s="648" t="n">
        <v>1.5</v>
      </c>
      <c r="G402" s="38" t="n">
        <v>8</v>
      </c>
      <c r="H402" s="648" t="n">
        <v>12</v>
      </c>
      <c r="I402" s="648" t="n">
        <v>12.48</v>
      </c>
      <c r="J402" s="38" t="n">
        <v>56</v>
      </c>
      <c r="K402" s="39" t="inlineStr">
        <is>
          <t>СК1</t>
        </is>
      </c>
      <c r="L402" s="38" t="n">
        <v>50</v>
      </c>
      <c r="M402" s="878" t="inlineStr">
        <is>
          <t>Вареные колбасы "Нежная" НТУ Весовые П/а ТМ "Зареченские"</t>
        </is>
      </c>
      <c r="N402" s="650" t="n"/>
      <c r="O402" s="650" t="n"/>
      <c r="P402" s="650" t="n"/>
      <c r="Q402" s="616" t="n"/>
      <c r="R402" s="40" t="inlineStr"/>
      <c r="S402" s="40" t="inlineStr"/>
      <c r="T402" s="41" t="inlineStr">
        <is>
          <t>кг</t>
        </is>
      </c>
      <c r="U402" s="651" t="n">
        <v>0</v>
      </c>
      <c r="V402" s="652">
        <f>IFERROR(IF(U402="",0,CEILING((U402/$H402),1)*$H402),"")</f>
        <v/>
      </c>
      <c r="W402" s="42">
        <f>IFERROR(IF(V402=0,"",ROUNDUP(V402/H402,0)*0.02175),"")</f>
        <v/>
      </c>
      <c r="X402" s="69" t="inlineStr"/>
      <c r="Y402" s="70" t="inlineStr"/>
      <c r="AC402" s="294" t="inlineStr">
        <is>
          <t>КИ</t>
        </is>
      </c>
    </row>
    <row r="403">
      <c r="A403" s="370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53" t="n"/>
      <c r="M403" s="654" t="inlineStr">
        <is>
          <t>Итого</t>
        </is>
      </c>
      <c r="N403" s="624" t="n"/>
      <c r="O403" s="624" t="n"/>
      <c r="P403" s="624" t="n"/>
      <c r="Q403" s="624" t="n"/>
      <c r="R403" s="624" t="n"/>
      <c r="S403" s="625" t="n"/>
      <c r="T403" s="43" t="inlineStr">
        <is>
          <t>кор</t>
        </is>
      </c>
      <c r="U403" s="655">
        <f>IFERROR(U401/H401,"0")+IFERROR(U402/H402,"0")</f>
        <v/>
      </c>
      <c r="V403" s="655">
        <f>IFERROR(V401/H401,"0")+IFERROR(V402/H402,"0")</f>
        <v/>
      </c>
      <c r="W403" s="655">
        <f>IFERROR(IF(W401="",0,W401),"0")+IFERROR(IF(W402="",0,W402),"0")</f>
        <v/>
      </c>
      <c r="X403" s="656" t="n"/>
      <c r="Y403" s="656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53" t="n"/>
      <c r="M404" s="654" t="inlineStr">
        <is>
          <t>Итого</t>
        </is>
      </c>
      <c r="N404" s="624" t="n"/>
      <c r="O404" s="624" t="n"/>
      <c r="P404" s="624" t="n"/>
      <c r="Q404" s="624" t="n"/>
      <c r="R404" s="624" t="n"/>
      <c r="S404" s="625" t="n"/>
      <c r="T404" s="43" t="inlineStr">
        <is>
          <t>кг</t>
        </is>
      </c>
      <c r="U404" s="655">
        <f>IFERROR(SUM(U401:U402),"0")</f>
        <v/>
      </c>
      <c r="V404" s="655">
        <f>IFERROR(SUM(V401:V402),"0")</f>
        <v/>
      </c>
      <c r="W404" s="43" t="n"/>
      <c r="X404" s="656" t="n"/>
      <c r="Y404" s="656" t="n"/>
    </row>
    <row r="405" ht="14.25" customHeight="1">
      <c r="A405" s="361" t="inlineStr">
        <is>
          <t>Ветчины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61" t="n"/>
      <c r="Y405" s="361" t="n"/>
    </row>
    <row r="406" ht="16.5" customHeight="1">
      <c r="A406" s="64" t="inlineStr">
        <is>
          <t>SU002806</t>
        </is>
      </c>
      <c r="B406" s="64" t="inlineStr">
        <is>
          <t>P003207</t>
        </is>
      </c>
      <c r="C406" s="37" t="n">
        <v>4301020230</v>
      </c>
      <c r="D406" s="362" t="n">
        <v>4680115881112</v>
      </c>
      <c r="E406" s="616" t="n"/>
      <c r="F406" s="648" t="n">
        <v>1.35</v>
      </c>
      <c r="G406" s="38" t="n">
        <v>8</v>
      </c>
      <c r="H406" s="648" t="n">
        <v>10.8</v>
      </c>
      <c r="I406" s="648" t="n">
        <v>11.28</v>
      </c>
      <c r="J406" s="38" t="n">
        <v>56</v>
      </c>
      <c r="K406" s="39" t="inlineStr">
        <is>
          <t>СК1</t>
        </is>
      </c>
      <c r="L406" s="38" t="n">
        <v>50</v>
      </c>
      <c r="M406" s="879" t="inlineStr">
        <is>
          <t>Ветчины "Нежная" Весовой п/а ТМ "Зареченские"</t>
        </is>
      </c>
      <c r="N406" s="650" t="n"/>
      <c r="O406" s="650" t="n"/>
      <c r="P406" s="650" t="n"/>
      <c r="Q406" s="616" t="n"/>
      <c r="R406" s="40" t="inlineStr"/>
      <c r="S406" s="40" t="inlineStr"/>
      <c r="T406" s="41" t="inlineStr">
        <is>
          <t>кг</t>
        </is>
      </c>
      <c r="U406" s="651" t="n">
        <v>0</v>
      </c>
      <c r="V406" s="652">
        <f>IFERROR(IF(U406="",0,CEILING((U406/$H406),1)*$H406),"")</f>
        <v/>
      </c>
      <c r="W406" s="42">
        <f>IFERROR(IF(V406=0,"",ROUNDUP(V406/H406,0)*0.02175),"")</f>
        <v/>
      </c>
      <c r="X406" s="69" t="inlineStr"/>
      <c r="Y406" s="70" t="inlineStr"/>
      <c r="AC406" s="295" t="inlineStr">
        <is>
          <t>КИ</t>
        </is>
      </c>
    </row>
    <row r="407" ht="27" customHeight="1">
      <c r="A407" s="64" t="inlineStr">
        <is>
          <t>SU002811</t>
        </is>
      </c>
      <c r="B407" s="64" t="inlineStr">
        <is>
          <t>P003208</t>
        </is>
      </c>
      <c r="C407" s="37" t="n">
        <v>4301020231</v>
      </c>
      <c r="D407" s="362" t="n">
        <v>4680115881129</v>
      </c>
      <c r="E407" s="616" t="n"/>
      <c r="F407" s="648" t="n">
        <v>1.8</v>
      </c>
      <c r="G407" s="38" t="n">
        <v>6</v>
      </c>
      <c r="H407" s="648" t="n">
        <v>10.8</v>
      </c>
      <c r="I407" s="648" t="n">
        <v>11.28</v>
      </c>
      <c r="J407" s="38" t="n">
        <v>56</v>
      </c>
      <c r="K407" s="39" t="inlineStr">
        <is>
          <t>СК1</t>
        </is>
      </c>
      <c r="L407" s="38" t="n">
        <v>50</v>
      </c>
      <c r="M407" s="880" t="inlineStr">
        <is>
          <t>Ветчины "Нежная" Весовой п/а ТМ "Зареченские" большой батон</t>
        </is>
      </c>
      <c r="N407" s="650" t="n"/>
      <c r="O407" s="650" t="n"/>
      <c r="P407" s="650" t="n"/>
      <c r="Q407" s="616" t="n"/>
      <c r="R407" s="40" t="inlineStr"/>
      <c r="S407" s="40" t="inlineStr"/>
      <c r="T407" s="41" t="inlineStr">
        <is>
          <t>кг</t>
        </is>
      </c>
      <c r="U407" s="651" t="n">
        <v>500</v>
      </c>
      <c r="V407" s="652">
        <f>IFERROR(IF(U407="",0,CEILING((U407/$H407),1)*$H407),"")</f>
        <v/>
      </c>
      <c r="W407" s="42">
        <f>IFERROR(IF(V407=0,"",ROUNDUP(V407/H407,0)*0.02175),"")</f>
        <v/>
      </c>
      <c r="X407" s="69" t="inlineStr"/>
      <c r="Y407" s="70" t="inlineStr"/>
      <c r="AC407" s="296" t="inlineStr">
        <is>
          <t>КИ</t>
        </is>
      </c>
    </row>
    <row r="408">
      <c r="A408" s="370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653" t="n"/>
      <c r="M408" s="654" t="inlineStr">
        <is>
          <t>Итого</t>
        </is>
      </c>
      <c r="N408" s="624" t="n"/>
      <c r="O408" s="624" t="n"/>
      <c r="P408" s="624" t="n"/>
      <c r="Q408" s="624" t="n"/>
      <c r="R408" s="624" t="n"/>
      <c r="S408" s="625" t="n"/>
      <c r="T408" s="43" t="inlineStr">
        <is>
          <t>кор</t>
        </is>
      </c>
      <c r="U408" s="655">
        <f>IFERROR(U406/H406,"0")+IFERROR(U407/H407,"0")</f>
        <v/>
      </c>
      <c r="V408" s="655">
        <f>IFERROR(V406/H406,"0")+IFERROR(V407/H407,"0")</f>
        <v/>
      </c>
      <c r="W408" s="655">
        <f>IFERROR(IF(W406="",0,W406),"0")+IFERROR(IF(W407="",0,W407),"0")</f>
        <v/>
      </c>
      <c r="X408" s="656" t="n"/>
      <c r="Y408" s="656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653" t="n"/>
      <c r="M409" s="654" t="inlineStr">
        <is>
          <t>Итого</t>
        </is>
      </c>
      <c r="N409" s="624" t="n"/>
      <c r="O409" s="624" t="n"/>
      <c r="P409" s="624" t="n"/>
      <c r="Q409" s="624" t="n"/>
      <c r="R409" s="624" t="n"/>
      <c r="S409" s="625" t="n"/>
      <c r="T409" s="43" t="inlineStr">
        <is>
          <t>кг</t>
        </is>
      </c>
      <c r="U409" s="655">
        <f>IFERROR(SUM(U406:U407),"0")</f>
        <v/>
      </c>
      <c r="V409" s="655">
        <f>IFERROR(SUM(V406:V407),"0")</f>
        <v/>
      </c>
      <c r="W409" s="43" t="n"/>
      <c r="X409" s="656" t="n"/>
      <c r="Y409" s="656" t="n"/>
    </row>
    <row r="410" ht="14.25" customHeight="1">
      <c r="A410" s="361" t="inlineStr">
        <is>
          <t>Копченые колбасы</t>
        </is>
      </c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361" t="n"/>
      <c r="Y410" s="361" t="n"/>
    </row>
    <row r="411" ht="27" customHeight="1">
      <c r="A411" s="64" t="inlineStr">
        <is>
          <t>SU002805</t>
        </is>
      </c>
      <c r="B411" s="64" t="inlineStr">
        <is>
          <t>P003206</t>
        </is>
      </c>
      <c r="C411" s="37" t="n">
        <v>4301031192</v>
      </c>
      <c r="D411" s="362" t="n">
        <v>4680115881167</v>
      </c>
      <c r="E411" s="616" t="n"/>
      <c r="F411" s="648" t="n">
        <v>0.63</v>
      </c>
      <c r="G411" s="38" t="n">
        <v>6</v>
      </c>
      <c r="H411" s="648" t="n">
        <v>3.78</v>
      </c>
      <c r="I411" s="648" t="n">
        <v>4.04</v>
      </c>
      <c r="J411" s="38" t="n">
        <v>156</v>
      </c>
      <c r="K411" s="39" t="inlineStr">
        <is>
          <t>СК2</t>
        </is>
      </c>
      <c r="L411" s="38" t="n">
        <v>40</v>
      </c>
      <c r="M411" s="881" t="inlineStr">
        <is>
          <t>Копченые колбасы Пражский Зареченские продукты Весовой фиброуз Зареченские</t>
        </is>
      </c>
      <c r="N411" s="650" t="n"/>
      <c r="O411" s="650" t="n"/>
      <c r="P411" s="650" t="n"/>
      <c r="Q411" s="616" t="n"/>
      <c r="R411" s="40" t="inlineStr"/>
      <c r="S411" s="40" t="inlineStr"/>
      <c r="T411" s="41" t="inlineStr">
        <is>
          <t>кг</t>
        </is>
      </c>
      <c r="U411" s="651" t="n">
        <v>0</v>
      </c>
      <c r="V411" s="652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7" t="inlineStr">
        <is>
          <t>КИ</t>
        </is>
      </c>
    </row>
    <row r="412" ht="16.5" customHeight="1">
      <c r="A412" s="64" t="inlineStr">
        <is>
          <t>SU002809</t>
        </is>
      </c>
      <c r="B412" s="64" t="inlineStr">
        <is>
          <t>P003216</t>
        </is>
      </c>
      <c r="C412" s="37" t="n">
        <v>4301031193</v>
      </c>
      <c r="D412" s="362" t="n">
        <v>4680115881136</v>
      </c>
      <c r="E412" s="616" t="n"/>
      <c r="F412" s="648" t="n">
        <v>0.63</v>
      </c>
      <c r="G412" s="38" t="n">
        <v>6</v>
      </c>
      <c r="H412" s="648" t="n">
        <v>3.78</v>
      </c>
      <c r="I412" s="648" t="n">
        <v>4.04</v>
      </c>
      <c r="J412" s="38" t="n">
        <v>156</v>
      </c>
      <c r="K412" s="39" t="inlineStr">
        <is>
          <t>СК2</t>
        </is>
      </c>
      <c r="L412" s="38" t="n">
        <v>40</v>
      </c>
      <c r="M412" s="882" t="inlineStr">
        <is>
          <t>В/к колбасы "Рижский" НТУ Весовые Фиброуз в/у ТМ "Зареченские"</t>
        </is>
      </c>
      <c r="N412" s="650" t="n"/>
      <c r="O412" s="650" t="n"/>
      <c r="P412" s="650" t="n"/>
      <c r="Q412" s="616" t="n"/>
      <c r="R412" s="40" t="inlineStr"/>
      <c r="S412" s="40" t="inlineStr"/>
      <c r="T412" s="41" t="inlineStr">
        <is>
          <t>кг</t>
        </is>
      </c>
      <c r="U412" s="651" t="n">
        <v>600</v>
      </c>
      <c r="V412" s="652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298" t="inlineStr">
        <is>
          <t>КИ</t>
        </is>
      </c>
    </row>
    <row r="413">
      <c r="A413" s="370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53" t="n"/>
      <c r="M413" s="654" t="inlineStr">
        <is>
          <t>Итого</t>
        </is>
      </c>
      <c r="N413" s="624" t="n"/>
      <c r="O413" s="624" t="n"/>
      <c r="P413" s="624" t="n"/>
      <c r="Q413" s="624" t="n"/>
      <c r="R413" s="624" t="n"/>
      <c r="S413" s="625" t="n"/>
      <c r="T413" s="43" t="inlineStr">
        <is>
          <t>кор</t>
        </is>
      </c>
      <c r="U413" s="655">
        <f>IFERROR(U411/H411,"0")+IFERROR(U412/H412,"0")</f>
        <v/>
      </c>
      <c r="V413" s="655">
        <f>IFERROR(V411/H411,"0")+IFERROR(V412/H412,"0")</f>
        <v/>
      </c>
      <c r="W413" s="655">
        <f>IFERROR(IF(W411="",0,W411),"0")+IFERROR(IF(W412="",0,W412),"0")</f>
        <v/>
      </c>
      <c r="X413" s="656" t="n"/>
      <c r="Y413" s="65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53" t="n"/>
      <c r="M414" s="654" t="inlineStr">
        <is>
          <t>Итого</t>
        </is>
      </c>
      <c r="N414" s="624" t="n"/>
      <c r="O414" s="624" t="n"/>
      <c r="P414" s="624" t="n"/>
      <c r="Q414" s="624" t="n"/>
      <c r="R414" s="624" t="n"/>
      <c r="S414" s="625" t="n"/>
      <c r="T414" s="43" t="inlineStr">
        <is>
          <t>кг</t>
        </is>
      </c>
      <c r="U414" s="655">
        <f>IFERROR(SUM(U411:U412),"0")</f>
        <v/>
      </c>
      <c r="V414" s="655">
        <f>IFERROR(SUM(V411:V412),"0")</f>
        <v/>
      </c>
      <c r="W414" s="43" t="n"/>
      <c r="X414" s="656" t="n"/>
      <c r="Y414" s="656" t="n"/>
    </row>
    <row r="415" ht="14.25" customHeight="1">
      <c r="A415" s="36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61" t="n"/>
      <c r="Y415" s="361" t="n"/>
    </row>
    <row r="416" ht="27" customHeight="1">
      <c r="A416" s="64" t="inlineStr">
        <is>
          <t>SU002810</t>
        </is>
      </c>
      <c r="B416" s="64" t="inlineStr">
        <is>
          <t>P003215</t>
        </is>
      </c>
      <c r="C416" s="37" t="n">
        <v>4301051383</v>
      </c>
      <c r="D416" s="362" t="n">
        <v>4680115881143</v>
      </c>
      <c r="E416" s="616" t="n"/>
      <c r="F416" s="648" t="n">
        <v>1.3</v>
      </c>
      <c r="G416" s="38" t="n">
        <v>6</v>
      </c>
      <c r="H416" s="648" t="n">
        <v>7.8</v>
      </c>
      <c r="I416" s="648" t="n">
        <v>8.364000000000001</v>
      </c>
      <c r="J416" s="38" t="n">
        <v>56</v>
      </c>
      <c r="K416" s="39" t="inlineStr">
        <is>
          <t>СК2</t>
        </is>
      </c>
      <c r="L416" s="38" t="n">
        <v>40</v>
      </c>
      <c r="M416" s="883" t="inlineStr">
        <is>
          <t>Сосиски "Датские" НТУ Весовые П/а мгс ТМ "Зареченские"</t>
        </is>
      </c>
      <c r="N416" s="650" t="n"/>
      <c r="O416" s="650" t="n"/>
      <c r="P416" s="650" t="n"/>
      <c r="Q416" s="616" t="n"/>
      <c r="R416" s="40" t="inlineStr"/>
      <c r="S416" s="40" t="inlineStr"/>
      <c r="T416" s="41" t="inlineStr">
        <is>
          <t>кг</t>
        </is>
      </c>
      <c r="U416" s="651" t="n">
        <v>0</v>
      </c>
      <c r="V416" s="65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299" t="inlineStr">
        <is>
          <t>КИ</t>
        </is>
      </c>
    </row>
    <row r="417" ht="27" customHeight="1">
      <c r="A417" s="64" t="inlineStr">
        <is>
          <t>SU002803</t>
        </is>
      </c>
      <c r="B417" s="64" t="inlineStr">
        <is>
          <t>P003204</t>
        </is>
      </c>
      <c r="C417" s="37" t="n">
        <v>4301051381</v>
      </c>
      <c r="D417" s="362" t="n">
        <v>4680115881068</v>
      </c>
      <c r="E417" s="616" t="n"/>
      <c r="F417" s="648" t="n">
        <v>1.3</v>
      </c>
      <c r="G417" s="38" t="n">
        <v>6</v>
      </c>
      <c r="H417" s="648" t="n">
        <v>7.8</v>
      </c>
      <c r="I417" s="648" t="n">
        <v>8.279999999999999</v>
      </c>
      <c r="J417" s="38" t="n">
        <v>56</v>
      </c>
      <c r="K417" s="39" t="inlineStr">
        <is>
          <t>СК2</t>
        </is>
      </c>
      <c r="L417" s="38" t="n">
        <v>30</v>
      </c>
      <c r="M417" s="884" t="inlineStr">
        <is>
          <t>Сосиски "Сочные" Весовой п/а ТМ "Зареченские"</t>
        </is>
      </c>
      <c r="N417" s="650" t="n"/>
      <c r="O417" s="650" t="n"/>
      <c r="P417" s="650" t="n"/>
      <c r="Q417" s="616" t="n"/>
      <c r="R417" s="40" t="inlineStr"/>
      <c r="S417" s="40" t="inlineStr"/>
      <c r="T417" s="41" t="inlineStr">
        <is>
          <t>кг</t>
        </is>
      </c>
      <c r="U417" s="651" t="n">
        <v>0</v>
      </c>
      <c r="V417" s="65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0" t="inlineStr">
        <is>
          <t>КИ</t>
        </is>
      </c>
    </row>
    <row r="418" ht="27" customHeight="1">
      <c r="A418" s="64" t="inlineStr">
        <is>
          <t>SU002804</t>
        </is>
      </c>
      <c r="B418" s="64" t="inlineStr">
        <is>
          <t>P003205</t>
        </is>
      </c>
      <c r="C418" s="37" t="n">
        <v>4301051382</v>
      </c>
      <c r="D418" s="362" t="n">
        <v>4680115881075</v>
      </c>
      <c r="E418" s="616" t="n"/>
      <c r="F418" s="648" t="n">
        <v>0.5</v>
      </c>
      <c r="G418" s="38" t="n">
        <v>6</v>
      </c>
      <c r="H418" s="648" t="n">
        <v>3</v>
      </c>
      <c r="I418" s="648" t="n">
        <v>3.2</v>
      </c>
      <c r="J418" s="38" t="n">
        <v>156</v>
      </c>
      <c r="K418" s="39" t="inlineStr">
        <is>
          <t>СК2</t>
        </is>
      </c>
      <c r="L418" s="38" t="n">
        <v>30</v>
      </c>
      <c r="M418" s="885" t="inlineStr">
        <is>
          <t>Сосиски "Сочные" Фикс.вес 0,5 п/а ТМ "Зареченские"</t>
        </is>
      </c>
      <c r="N418" s="650" t="n"/>
      <c r="O418" s="650" t="n"/>
      <c r="P418" s="650" t="n"/>
      <c r="Q418" s="616" t="n"/>
      <c r="R418" s="40" t="inlineStr"/>
      <c r="S418" s="40" t="inlineStr"/>
      <c r="T418" s="41" t="inlineStr">
        <is>
          <t>кг</t>
        </is>
      </c>
      <c r="U418" s="651" t="n">
        <v>0</v>
      </c>
      <c r="V418" s="652">
        <f>IFERROR(IF(U418="",0,CEILING((U418/$H418),1)*$H418),"")</f>
        <v/>
      </c>
      <c r="W418" s="42">
        <f>IFERROR(IF(V418=0,"",ROUNDUP(V418/H418,0)*0.00753),"")</f>
        <v/>
      </c>
      <c r="X418" s="69" t="inlineStr"/>
      <c r="Y418" s="70" t="inlineStr"/>
      <c r="AC418" s="301" t="inlineStr">
        <is>
          <t>КИ</t>
        </is>
      </c>
    </row>
    <row r="419">
      <c r="A419" s="370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53" t="n"/>
      <c r="M419" s="654" t="inlineStr">
        <is>
          <t>Итого</t>
        </is>
      </c>
      <c r="N419" s="624" t="n"/>
      <c r="O419" s="624" t="n"/>
      <c r="P419" s="624" t="n"/>
      <c r="Q419" s="624" t="n"/>
      <c r="R419" s="624" t="n"/>
      <c r="S419" s="625" t="n"/>
      <c r="T419" s="43" t="inlineStr">
        <is>
          <t>кор</t>
        </is>
      </c>
      <c r="U419" s="655">
        <f>IFERROR(U416/H416,"0")+IFERROR(U417/H417,"0")+IFERROR(U418/H418,"0")</f>
        <v/>
      </c>
      <c r="V419" s="655">
        <f>IFERROR(V416/H416,"0")+IFERROR(V417/H417,"0")+IFERROR(V418/H418,"0")</f>
        <v/>
      </c>
      <c r="W419" s="655">
        <f>IFERROR(IF(W416="",0,W416),"0")+IFERROR(IF(W417="",0,W417),"0")+IFERROR(IF(W418="",0,W418),"0")</f>
        <v/>
      </c>
      <c r="X419" s="656" t="n"/>
      <c r="Y419" s="656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53" t="n"/>
      <c r="M420" s="654" t="inlineStr">
        <is>
          <t>Итого</t>
        </is>
      </c>
      <c r="N420" s="624" t="n"/>
      <c r="O420" s="624" t="n"/>
      <c r="P420" s="624" t="n"/>
      <c r="Q420" s="624" t="n"/>
      <c r="R420" s="624" t="n"/>
      <c r="S420" s="625" t="n"/>
      <c r="T420" s="43" t="inlineStr">
        <is>
          <t>кг</t>
        </is>
      </c>
      <c r="U420" s="655">
        <f>IFERROR(SUM(U416:U418),"0")</f>
        <v/>
      </c>
      <c r="V420" s="655">
        <f>IFERROR(SUM(V416:V418),"0")</f>
        <v/>
      </c>
      <c r="W420" s="43" t="n"/>
      <c r="X420" s="656" t="n"/>
      <c r="Y420" s="656" t="n"/>
    </row>
    <row r="421" ht="15" customHeight="1">
      <c r="A421" s="603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13" t="n"/>
      <c r="M421" s="886" t="inlineStr">
        <is>
          <t>ИТОГО НЕТТО</t>
        </is>
      </c>
      <c r="N421" s="607" t="n"/>
      <c r="O421" s="607" t="n"/>
      <c r="P421" s="607" t="n"/>
      <c r="Q421" s="607" t="n"/>
      <c r="R421" s="607" t="n"/>
      <c r="S421" s="608" t="n"/>
      <c r="T421" s="43" t="inlineStr">
        <is>
          <t>кг</t>
        </is>
      </c>
      <c r="U421" s="655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/>
      </c>
      <c r="V421" s="655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/>
      </c>
      <c r="W421" s="43" t="n"/>
      <c r="X421" s="656" t="n"/>
      <c r="Y421" s="656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13" t="n"/>
      <c r="M422" s="886" t="inlineStr">
        <is>
          <t>ИТОГО БРУТТО</t>
        </is>
      </c>
      <c r="N422" s="607" t="n"/>
      <c r="O422" s="607" t="n"/>
      <c r="P422" s="607" t="n"/>
      <c r="Q422" s="607" t="n"/>
      <c r="R422" s="607" t="n"/>
      <c r="S422" s="608" t="n"/>
      <c r="T422" s="43" t="inlineStr">
        <is>
          <t>кг</t>
        </is>
      </c>
      <c r="U422" s="65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/>
      </c>
      <c r="V422" s="65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/>
      </c>
      <c r="W422" s="43" t="n"/>
      <c r="X422" s="656" t="n"/>
      <c r="Y422" s="656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13" t="n"/>
      <c r="M423" s="886" t="inlineStr">
        <is>
          <t>Кол-во паллет</t>
        </is>
      </c>
      <c r="N423" s="607" t="n"/>
      <c r="O423" s="607" t="n"/>
      <c r="P423" s="607" t="n"/>
      <c r="Q423" s="607" t="n"/>
      <c r="R423" s="607" t="n"/>
      <c r="S423" s="608" t="n"/>
      <c r="T423" s="43" t="inlineStr">
        <is>
          <t>шт</t>
        </is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/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/>
      </c>
      <c r="W423" s="43" t="n"/>
      <c r="X423" s="656" t="n"/>
      <c r="Y423" s="656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13" t="n"/>
      <c r="M424" s="886" t="inlineStr">
        <is>
          <t>Вес брутто  с паллетами</t>
        </is>
      </c>
      <c r="N424" s="607" t="n"/>
      <c r="O424" s="607" t="n"/>
      <c r="P424" s="607" t="n"/>
      <c r="Q424" s="607" t="n"/>
      <c r="R424" s="607" t="n"/>
      <c r="S424" s="608" t="n"/>
      <c r="T424" s="43" t="inlineStr">
        <is>
          <t>кг</t>
        </is>
      </c>
      <c r="U424" s="655">
        <f>GrossWeightTotal+PalletQtyTotal*25</f>
        <v/>
      </c>
      <c r="V424" s="655">
        <f>GrossWeightTotalR+PalletQtyTotalR*25</f>
        <v/>
      </c>
      <c r="W424" s="43" t="n"/>
      <c r="X424" s="656" t="n"/>
      <c r="Y424" s="656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13" t="n"/>
      <c r="M425" s="886" t="inlineStr">
        <is>
          <t>Кол-во коробок</t>
        </is>
      </c>
      <c r="N425" s="607" t="n"/>
      <c r="O425" s="607" t="n"/>
      <c r="P425" s="607" t="n"/>
      <c r="Q425" s="607" t="n"/>
      <c r="R425" s="607" t="n"/>
      <c r="S425" s="608" t="n"/>
      <c r="T425" s="43" t="inlineStr">
        <is>
          <t>шт</t>
        </is>
      </c>
      <c r="U425" s="655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/>
      </c>
      <c r="V425" s="655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/>
      </c>
      <c r="W425" s="43" t="n"/>
      <c r="X425" s="656" t="n"/>
      <c r="Y425" s="656" t="n"/>
    </row>
    <row r="426" ht="14.2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13" t="n"/>
      <c r="M426" s="886" t="inlineStr">
        <is>
          <t>Объем заказа</t>
        </is>
      </c>
      <c r="N426" s="607" t="n"/>
      <c r="O426" s="607" t="n"/>
      <c r="P426" s="607" t="n"/>
      <c r="Q426" s="607" t="n"/>
      <c r="R426" s="607" t="n"/>
      <c r="S426" s="608" t="n"/>
      <c r="T426" s="46" t="inlineStr">
        <is>
          <t>м3</t>
        </is>
      </c>
      <c r="U426" s="43" t="n"/>
      <c r="V426" s="43" t="n"/>
      <c r="W426" s="43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/>
      </c>
      <c r="X426" s="656" t="n"/>
      <c r="Y426" s="656" t="n"/>
    </row>
    <row r="427" ht="13.5" customHeight="1" thickBot="1"/>
    <row r="428" ht="27" customHeight="1" thickBot="1" thickTop="1">
      <c r="A428" s="47" t="inlineStr">
        <is>
          <t>ТОРГОВАЯ МАРКА</t>
        </is>
      </c>
      <c r="B428" s="604" t="inlineStr">
        <is>
          <t>Ядрена копоть</t>
        </is>
      </c>
      <c r="C428" s="604" t="inlineStr">
        <is>
          <t>Вязанка</t>
        </is>
      </c>
      <c r="D428" s="887" t="n"/>
      <c r="E428" s="887" t="n"/>
      <c r="F428" s="888" t="n"/>
      <c r="G428" s="604" t="inlineStr">
        <is>
          <t>Стародворье</t>
        </is>
      </c>
      <c r="H428" s="887" t="n"/>
      <c r="I428" s="887" t="n"/>
      <c r="J428" s="888" t="n"/>
      <c r="K428" s="604" t="inlineStr">
        <is>
          <t>Особый рецепт</t>
        </is>
      </c>
      <c r="L428" s="888" t="n"/>
      <c r="M428" s="604" t="inlineStr">
        <is>
          <t>Баварушка</t>
        </is>
      </c>
      <c r="N428" s="888" t="n"/>
      <c r="O428" s="604" t="inlineStr">
        <is>
          <t>Дугушка</t>
        </is>
      </c>
      <c r="P428" s="604" t="inlineStr">
        <is>
          <t>Зареченские</t>
        </is>
      </c>
      <c r="Q428" s="1" t="n"/>
      <c r="R428" s="1" t="n"/>
      <c r="S428" s="1" t="n"/>
      <c r="T428" s="1" t="n"/>
      <c r="Y428" s="61" t="n"/>
      <c r="AB428" s="1" t="n"/>
    </row>
    <row r="429" ht="14.25" customHeight="1" thickTop="1">
      <c r="A429" s="605" t="inlineStr">
        <is>
          <t>СЕРИЯ</t>
        </is>
      </c>
      <c r="B429" s="604" t="inlineStr">
        <is>
          <t>Ядрена копоть</t>
        </is>
      </c>
      <c r="C429" s="604" t="inlineStr">
        <is>
          <t>Столичная</t>
        </is>
      </c>
      <c r="D429" s="604" t="inlineStr">
        <is>
          <t>Классическая</t>
        </is>
      </c>
      <c r="E429" s="604" t="inlineStr">
        <is>
          <t>Вязанка</t>
        </is>
      </c>
      <c r="F429" s="604" t="inlineStr">
        <is>
          <t>Сливушки</t>
        </is>
      </c>
      <c r="G429" s="604" t="inlineStr">
        <is>
          <t>Золоченная в печи</t>
        </is>
      </c>
      <c r="H429" s="604" t="inlineStr">
        <is>
          <t>Бордо</t>
        </is>
      </c>
      <c r="I429" s="604" t="inlineStr">
        <is>
          <t>Фирменная</t>
        </is>
      </c>
      <c r="J429" s="604" t="inlineStr">
        <is>
          <t>Бавария</t>
        </is>
      </c>
      <c r="K429" s="604" t="inlineStr">
        <is>
          <t>Особая</t>
        </is>
      </c>
      <c r="L429" s="604" t="inlineStr">
        <is>
          <t>Особая Без свинины</t>
        </is>
      </c>
      <c r="M429" s="604" t="inlineStr">
        <is>
          <t>Филейбургская</t>
        </is>
      </c>
      <c r="N429" s="604" t="inlineStr">
        <is>
          <t>Балыкбургская</t>
        </is>
      </c>
      <c r="O429" s="604" t="inlineStr">
        <is>
          <t>Дугушка</t>
        </is>
      </c>
      <c r="P429" s="604" t="inlineStr">
        <is>
          <t>Зареченские продукты</t>
        </is>
      </c>
      <c r="Q429" s="1" t="n"/>
      <c r="R429" s="1" t="n"/>
      <c r="S429" s="1" t="n"/>
      <c r="T429" s="1" t="n"/>
      <c r="Y429" s="61" t="n"/>
      <c r="AB429" s="1" t="n"/>
    </row>
    <row r="430" ht="13.5" customHeight="1" thickBot="1">
      <c r="A430" s="889" t="n"/>
      <c r="B430" s="890" t="n"/>
      <c r="C430" s="890" t="n"/>
      <c r="D430" s="890" t="n"/>
      <c r="E430" s="890" t="n"/>
      <c r="F430" s="890" t="n"/>
      <c r="G430" s="890" t="n"/>
      <c r="H430" s="890" t="n"/>
      <c r="I430" s="890" t="n"/>
      <c r="J430" s="890" t="n"/>
      <c r="K430" s="890" t="n"/>
      <c r="L430" s="890" t="n"/>
      <c r="M430" s="890" t="n"/>
      <c r="N430" s="890" t="n"/>
      <c r="O430" s="890" t="n"/>
      <c r="P430" s="890" t="n"/>
      <c r="Q430" s="1" t="n"/>
      <c r="R430" s="1" t="n"/>
      <c r="S430" s="1" t="n"/>
      <c r="T430" s="1" t="n"/>
      <c r="Y430" s="61" t="n"/>
      <c r="AB430" s="1" t="n"/>
    </row>
    <row r="431" ht="18" customHeight="1" thickBot="1" thickTop="1">
      <c r="A431" s="47" t="inlineStr">
        <is>
          <t>ИТОГО, кг</t>
        </is>
      </c>
      <c r="B431" s="53">
        <f>IFERROR(V22*1,"0")+IFERROR(V26*1,"0")+IFERROR(V27*1,"0")+IFERROR(V28*1,"0")+IFERROR(V29*1,"0")+IFERROR(V30*1,"0")+IFERROR(V31*1,"0")+IFERROR(V35*1,"0")+IFERROR(V36*1,"0")+IFERROR(V40*1,"0")+IFERROR(V44*1,"0")</f>
        <v/>
      </c>
      <c r="C431" s="53">
        <f>IFERROR(V50*1,"0")+IFERROR(V51*1,"0")</f>
        <v/>
      </c>
      <c r="D431" s="53">
        <f>IFERROR(V56*1,"0")+IFERROR(V57*1,"0")+IFERROR(V58*1,"0")</f>
        <v/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31" s="53">
        <f>IFERROR(V121*1,"0")+IFERROR(V122*1,"0")+IFERROR(V123*1,"0")+IFERROR(V124*1,"0")</f>
        <v/>
      </c>
      <c r="G431" s="53">
        <f>IFERROR(V130*1,"0")+IFERROR(V131*1,"0")+IFERROR(V132*1,"0")</f>
        <v/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/>
      </c>
      <c r="I431" s="53">
        <f>IFERROR(V230*1,"0")+IFERROR(V231*1,"0")+IFERROR(V232*1,"0")+IFERROR(V233*1,"0")+IFERROR(V234*1,"0")+IFERROR(V235*1,"0")+IFERROR(V236*1,"0")+IFERROR(V240*1,"0")+IFERROR(V241*1,"0")</f>
        <v/>
      </c>
      <c r="J431" s="53">
        <f>IFERROR(V246*1,"0")+IFERROR(V247*1,"0")+IFERROR(V251*1,"0")+IFERROR(V252*1,"0")+IFERROR(V253*1,"0")+IFERROR(V257*1,"0")+IFERROR(V261*1,"0")</f>
        <v/>
      </c>
      <c r="K431" s="53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/>
      </c>
      <c r="L431" s="53">
        <f>IFERROR(V296*1,"0")+IFERROR(V297*1,"0")+IFERROR(V298*1,"0")+IFERROR(V299*1,"0")+IFERROR(V303*1,"0")+IFERROR(V304*1,"0")+IFERROR(V308*1,"0")+IFERROR(V309*1,"0")+IFERROR(V310*1,"0")+IFERROR(V311*1,"0")+IFERROR(V315*1,"0")</f>
        <v/>
      </c>
      <c r="M431" s="53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/>
      </c>
      <c r="N431" s="53">
        <f>IFERROR(V352*1,"0")+IFERROR(V353*1,"0")+IFERROR(V357*1,"0")+IFERROR(V358*1,"0")+IFERROR(V359*1,"0")+IFERROR(V360*1,"0")+IFERROR(V361*1,"0")</f>
        <v/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/>
      </c>
      <c r="P431" s="53">
        <f>IFERROR(V401*1,"0")+IFERROR(V402*1,"0")+IFERROR(V406*1,"0")+IFERROR(V407*1,"0")+IFERROR(V411*1,"0")+IFERROR(V412*1,"0")+IFERROR(V416*1,"0")+IFERROR(V417*1,"0")+IFERROR(V418*1,"0")</f>
        <v/>
      </c>
      <c r="Q431" s="1" t="n"/>
      <c r="R431" s="1" t="n"/>
      <c r="S431" s="1" t="n"/>
      <c r="T431" s="1" t="n"/>
      <c r="Y431" s="61" t="n"/>
      <c r="AB431" s="1" t="n"/>
    </row>
    <row r="4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FqPYBBTC+x8fAQgszbcXg==" formatRows="1" sort="0" spinCount="100000" hashValue="6M9fcsy7iRa6renMFmpx2JuBs3KX4RmOz6ObKP0HKGpdsD1NMZ2pa7o+s2ga8mJqVRiqNbPfchhy7zDDlC5Q4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Bb6IDQFDzlgAgpOyH9c1g==" formatRows="1" sort="0" spinCount="100000" hashValue="GZLqGyLRewSr3RilfHhNqcmP5jQCtnIuQ7+Vq2jaBY3xueq323f2UmaAIcuYAm/E+hiF9zzeeXkv1Q1mAFBg/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2023-07-28T06:58:00Z</dcterms:modified>
  <cp:lastModifiedBy>s-dax.aos.wrk</cp:lastModifiedBy>
</cp:coreProperties>
</file>