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8,23 Пушкарный\"/>
    </mc:Choice>
  </mc:AlternateContent>
  <xr:revisionPtr revIDLastSave="0" documentId="13_ncr:1_{5785A0C1-21BA-4B88-B89A-3F9674BD3B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заказа'!$U$440:$U$440</definedName>
    <definedName name="GrossWeightTotalR">'Бланк заказа'!$V$440:$V$440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заказа'!$U$441:$U$441</definedName>
    <definedName name="PalletQtyTotalR">'Бланк заказа'!$V$441:$V$441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заказа'!$B$55:$B$55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заказа'!$B$62:$B$62</definedName>
    <definedName name="ProductId160">'Бланк заказа'!$B$277:$B$277</definedName>
    <definedName name="ProductId161">'Бланк заказа'!$B$281:$B$281</definedName>
    <definedName name="ProductId162">'Бланк заказа'!$B$285:$B$285</definedName>
    <definedName name="ProductId163">'Бланк заказа'!$B$289:$B$289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заказа'!$B$297:$B$297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заказа'!$B$309:$B$309</definedName>
    <definedName name="ProductId174">'Бланк заказа'!$B$313:$B$313</definedName>
    <definedName name="ProductId175">'Бланк заказа'!$B$319:$B$319</definedName>
    <definedName name="ProductId176">'Бланк заказа'!$B$320:$B$320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заказа'!$B$351:$B$351</definedName>
    <definedName name="ProductId196">'Бланк заказа'!$B$352:$B$352</definedName>
    <definedName name="ProductId197">'Бланк заказа'!$B$353:$B$353</definedName>
    <definedName name="ProductId198">'Бланк заказа'!$B$357:$B$357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заказа'!$B$369:$B$369</definedName>
    <definedName name="ProductId204">'Бланк заказа'!$B$370:$B$370</definedName>
    <definedName name="ProductId205">'Бланк заказа'!$B$371:$B$371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заказа'!$B$412:$B$412</definedName>
    <definedName name="ProductId227">'Бланк заказа'!$B$413:$B$413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заказа'!$B$436:$B$436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заказа'!$B$114:$B$114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заказа'!$B$128:$B$128</definedName>
    <definedName name="ProductId62">'Бланк заказа'!$B$129:$B$129</definedName>
    <definedName name="ProductId63">'Бланк заказа'!$B$130:$B$130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заказа'!$B$155:$B$155</definedName>
    <definedName name="ProductId82">'Бланк заказа'!$B$156:$B$156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заказа'!$B$179:$B$179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заказа'!$U$55:$U$55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заказа'!$U$276:$U$276</definedName>
    <definedName name="SalesQty16">'Бланк заказа'!$U$62:$U$62</definedName>
    <definedName name="SalesQty160">'Бланк заказа'!$U$277:$U$277</definedName>
    <definedName name="SalesQty161">'Бланк заказа'!$U$281:$U$281</definedName>
    <definedName name="SalesQty162">'Бланк заказа'!$U$285:$U$285</definedName>
    <definedName name="SalesQty163">'Бланк заказа'!$U$289:$U$289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заказа'!$U$297:$U$297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заказа'!$U$309:$U$309</definedName>
    <definedName name="SalesQty174">'Бланк заказа'!$U$313:$U$313</definedName>
    <definedName name="SalesQty175">'Бланк заказа'!$U$319:$U$319</definedName>
    <definedName name="SalesQty176">'Бланк заказа'!$U$320:$U$320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заказа'!$U$351:$U$351</definedName>
    <definedName name="SalesQty196">'Бланк заказа'!$U$352:$U$352</definedName>
    <definedName name="SalesQty197">'Бланк заказа'!$U$353:$U$353</definedName>
    <definedName name="SalesQty198">'Бланк заказа'!$U$357:$U$357</definedName>
    <definedName name="SalesQty199">'Бланк заказа'!$U$362:$U$362</definedName>
    <definedName name="SalesQty2">'Бланк заказа'!$U$26:$U$26</definedName>
    <definedName name="SalesQty20">'Бланк заказа'!$U$66:$U$66</definedName>
    <definedName name="SalesQty200">'Бланк заказа'!$U$363:$U$363</definedName>
    <definedName name="SalesQty201">'Бланк заказа'!$U$367:$U$367</definedName>
    <definedName name="SalesQty202">'Бланк заказа'!$U$368:$U$368</definedName>
    <definedName name="SalesQty203">'Бланк заказа'!$U$369:$U$369</definedName>
    <definedName name="SalesQty204">'Бланк заказа'!$U$370:$U$370</definedName>
    <definedName name="SalesQty205">'Бланк заказа'!$U$371:$U$371</definedName>
    <definedName name="SalesQty206">'Бланк заказа'!$U$375:$U$375</definedName>
    <definedName name="SalesQty207">'Бланк заказа'!$U$379:$U$379</definedName>
    <definedName name="SalesQty208">'Бланк заказа'!$U$385:$U$385</definedName>
    <definedName name="SalesQty209">'Бланк заказа'!$U$386:$U$386</definedName>
    <definedName name="SalesQty21">'Бланк заказа'!$U$67:$U$67</definedName>
    <definedName name="SalesQty210">'Бланк заказа'!$U$387:$U$387</definedName>
    <definedName name="SalesQty211">'Бланк заказа'!$U$388:$U$388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заказа'!$U$398:$U$398</definedName>
    <definedName name="SalesQty219">'Бланк заказа'!$U$399:$U$399</definedName>
    <definedName name="SalesQty22">'Бланк заказа'!$U$68:$U$68</definedName>
    <definedName name="SalesQty220">'Бланк заказа'!$U$403:$U$403</definedName>
    <definedName name="SalesQty221">'Бланк заказа'!$U$404:$U$404</definedName>
    <definedName name="SalesQty222">'Бланк заказа'!$U$405:$U$405</definedName>
    <definedName name="SalesQty223">'Бланк заказа'!$U$406:$U$406</definedName>
    <definedName name="SalesQty224">'Бланк заказа'!$U$407:$U$407</definedName>
    <definedName name="SalesQty225">'Бланк заказа'!$U$408:$U$408</definedName>
    <definedName name="SalesQty226">'Бланк заказа'!$U$412:$U$412</definedName>
    <definedName name="SalesQty227">'Бланк заказа'!$U$413:$U$413</definedName>
    <definedName name="SalesQty228">'Бланк заказа'!$U$419:$U$419</definedName>
    <definedName name="SalesQty229">'Бланк заказа'!$U$420:$U$420</definedName>
    <definedName name="SalesQty23">'Бланк заказа'!$U$69:$U$69</definedName>
    <definedName name="SalesQty230">'Бланк заказа'!$U$424:$U$424</definedName>
    <definedName name="SalesQty231">'Бланк заказа'!$U$425:$U$425</definedName>
    <definedName name="SalesQty232">'Бланк заказа'!$U$429:$U$429</definedName>
    <definedName name="SalesQty233">'Бланк заказа'!$U$430:$U$430</definedName>
    <definedName name="SalesQty234">'Бланк заказа'!$U$434:$U$434</definedName>
    <definedName name="SalesQty235">'Бланк заказа'!$U$435:$U$435</definedName>
    <definedName name="SalesQty236">'Бланк заказа'!$U$436:$U$436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заказа'!$U$114:$U$114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заказа'!$U$128:$U$128</definedName>
    <definedName name="SalesQty62">'Бланк заказа'!$U$129:$U$129</definedName>
    <definedName name="SalesQty63">'Бланк заказа'!$U$130:$U$130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заказа'!$U$155:$U$155</definedName>
    <definedName name="SalesQty82">'Бланк заказа'!$U$156:$U$156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заказа'!$V$55:$V$55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заказа'!$V$276:$V$276</definedName>
    <definedName name="SalesRoundBox16">'Бланк заказа'!$V$62:$V$62</definedName>
    <definedName name="SalesRoundBox160">'Бланк заказа'!$V$277:$V$277</definedName>
    <definedName name="SalesRoundBox161">'Бланк заказа'!$V$281:$V$281</definedName>
    <definedName name="SalesRoundBox162">'Бланк заказа'!$V$285:$V$285</definedName>
    <definedName name="SalesRoundBox163">'Бланк заказа'!$V$289:$V$289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заказа'!$V$297:$V$297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заказа'!$V$309:$V$309</definedName>
    <definedName name="SalesRoundBox174">'Бланк заказа'!$V$313:$V$313</definedName>
    <definedName name="SalesRoundBox175">'Бланк заказа'!$V$319:$V$319</definedName>
    <definedName name="SalesRoundBox176">'Бланк заказа'!$V$320:$V$320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заказа'!$V$351:$V$351</definedName>
    <definedName name="SalesRoundBox196">'Бланк заказа'!$V$352:$V$352</definedName>
    <definedName name="SalesRoundBox197">'Бланк заказа'!$V$353:$V$353</definedName>
    <definedName name="SalesRoundBox198">'Бланк заказа'!$V$357:$V$357</definedName>
    <definedName name="SalesRoundBox199">'Бланк заказа'!$V$362:$V$362</definedName>
    <definedName name="SalesRoundBox2">'Бланк заказа'!$V$26:$V$26</definedName>
    <definedName name="SalesRoundBox20">'Бланк заказа'!$V$66:$V$66</definedName>
    <definedName name="SalesRoundBox200">'Бланк заказа'!$V$363:$V$363</definedName>
    <definedName name="SalesRoundBox201">'Бланк заказа'!$V$367:$V$367</definedName>
    <definedName name="SalesRoundBox202">'Бланк заказа'!$V$368:$V$368</definedName>
    <definedName name="SalesRoundBox203">'Бланк заказа'!$V$369:$V$369</definedName>
    <definedName name="SalesRoundBox204">'Бланк заказа'!$V$370:$V$370</definedName>
    <definedName name="SalesRoundBox205">'Бланк заказа'!$V$371:$V$371</definedName>
    <definedName name="SalesRoundBox206">'Бланк заказа'!$V$375:$V$375</definedName>
    <definedName name="SalesRoundBox207">'Бланк заказа'!$V$379:$V$379</definedName>
    <definedName name="SalesRoundBox208">'Бланк заказа'!$V$385:$V$385</definedName>
    <definedName name="SalesRoundBox209">'Бланк заказа'!$V$386:$V$386</definedName>
    <definedName name="SalesRoundBox21">'Бланк заказа'!$V$67:$V$67</definedName>
    <definedName name="SalesRoundBox210">'Бланк заказа'!$V$387:$V$387</definedName>
    <definedName name="SalesRoundBox211">'Бланк заказа'!$V$388:$V$388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заказа'!$V$398:$V$398</definedName>
    <definedName name="SalesRoundBox219">'Бланк заказа'!$V$399:$V$399</definedName>
    <definedName name="SalesRoundBox22">'Бланк заказа'!$V$68:$V$68</definedName>
    <definedName name="SalesRoundBox220">'Бланк заказа'!$V$403:$V$403</definedName>
    <definedName name="SalesRoundBox221">'Бланк заказа'!$V$404:$V$404</definedName>
    <definedName name="SalesRoundBox222">'Бланк заказа'!$V$405:$V$405</definedName>
    <definedName name="SalesRoundBox223">'Бланк заказа'!$V$406:$V$406</definedName>
    <definedName name="SalesRoundBox224">'Бланк заказа'!$V$407:$V$407</definedName>
    <definedName name="SalesRoundBox225">'Бланк заказа'!$V$408:$V$408</definedName>
    <definedName name="SalesRoundBox226">'Бланк заказа'!$V$412:$V$412</definedName>
    <definedName name="SalesRoundBox227">'Бланк заказа'!$V$413:$V$413</definedName>
    <definedName name="SalesRoundBox228">'Бланк заказа'!$V$419:$V$419</definedName>
    <definedName name="SalesRoundBox229">'Бланк заказа'!$V$420:$V$420</definedName>
    <definedName name="SalesRoundBox23">'Бланк заказа'!$V$69:$V$69</definedName>
    <definedName name="SalesRoundBox230">'Бланк заказа'!$V$424:$V$424</definedName>
    <definedName name="SalesRoundBox231">'Бланк заказа'!$V$425:$V$425</definedName>
    <definedName name="SalesRoundBox232">'Бланк заказа'!$V$429:$V$429</definedName>
    <definedName name="SalesRoundBox233">'Бланк заказа'!$V$430:$V$430</definedName>
    <definedName name="SalesRoundBox234">'Бланк заказа'!$V$434:$V$434</definedName>
    <definedName name="SalesRoundBox235">'Бланк заказа'!$V$435:$V$435</definedName>
    <definedName name="SalesRoundBox236">'Бланк заказа'!$V$436:$V$436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заказа'!$V$114:$V$114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заказа'!$V$128:$V$128</definedName>
    <definedName name="SalesRoundBox62">'Бланк заказа'!$V$129:$V$129</definedName>
    <definedName name="SalesRoundBox63">'Бланк заказа'!$V$130:$V$130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заказа'!$V$155:$V$155</definedName>
    <definedName name="SalesRoundBox82">'Бланк заказа'!$V$156:$V$156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заказа'!$V$179:$V$179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заказа'!$T$55:$T$55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заказа'!$T$276:$T$276</definedName>
    <definedName name="UnitOfMeasure16">'Бланк заказа'!$T$62:$T$62</definedName>
    <definedName name="UnitOfMeasure160">'Бланк заказа'!$T$277:$T$277</definedName>
    <definedName name="UnitOfMeasure161">'Бланк заказа'!$T$281:$T$281</definedName>
    <definedName name="UnitOfMeasure162">'Бланк заказа'!$T$285:$T$285</definedName>
    <definedName name="UnitOfMeasure163">'Бланк заказа'!$T$289:$T$289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заказа'!$T$297:$T$297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заказа'!$T$309:$T$309</definedName>
    <definedName name="UnitOfMeasure174">'Бланк заказа'!$T$313:$T$313</definedName>
    <definedName name="UnitOfMeasure175">'Бланк заказа'!$T$319:$T$319</definedName>
    <definedName name="UnitOfMeasure176">'Бланк заказа'!$T$320:$T$320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заказа'!$T$351:$T$351</definedName>
    <definedName name="UnitOfMeasure196">'Бланк заказа'!$T$352:$T$352</definedName>
    <definedName name="UnitOfMeasure197">'Бланк заказа'!$T$353:$T$353</definedName>
    <definedName name="UnitOfMeasure198">'Бланк заказа'!$T$357:$T$357</definedName>
    <definedName name="UnitOfMeasure199">'Бланк заказа'!$T$362:$T$362</definedName>
    <definedName name="UnitOfMeasure2">'Бланк заказа'!$T$26:$T$26</definedName>
    <definedName name="UnitOfMeasure20">'Бланк заказа'!$T$66:$T$66</definedName>
    <definedName name="UnitOfMeasure200">'Бланк заказа'!$T$363:$T$363</definedName>
    <definedName name="UnitOfMeasure201">'Бланк заказа'!$T$367:$T$367</definedName>
    <definedName name="UnitOfMeasure202">'Бланк заказа'!$T$368:$T$368</definedName>
    <definedName name="UnitOfMeasure203">'Бланк заказа'!$T$369:$T$369</definedName>
    <definedName name="UnitOfMeasure204">'Бланк заказа'!$T$370:$T$370</definedName>
    <definedName name="UnitOfMeasure205">'Бланк заказа'!$T$371:$T$371</definedName>
    <definedName name="UnitOfMeasure206">'Бланк заказа'!$T$375:$T$375</definedName>
    <definedName name="UnitOfMeasure207">'Бланк заказа'!$T$379:$T$379</definedName>
    <definedName name="UnitOfMeasure208">'Бланк заказа'!$T$385:$T$385</definedName>
    <definedName name="UnitOfMeasure209">'Бланк заказа'!$T$386:$T$386</definedName>
    <definedName name="UnitOfMeasure21">'Бланк заказа'!$T$67:$T$67</definedName>
    <definedName name="UnitOfMeasure210">'Бланк заказа'!$T$387:$T$387</definedName>
    <definedName name="UnitOfMeasure211">'Бланк заказа'!$T$388:$T$388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заказа'!$T$398:$T$398</definedName>
    <definedName name="UnitOfMeasure219">'Бланк заказа'!$T$399:$T$399</definedName>
    <definedName name="UnitOfMeasure22">'Бланк заказа'!$T$68:$T$68</definedName>
    <definedName name="UnitOfMeasure220">'Бланк заказа'!$T$403:$T$403</definedName>
    <definedName name="UnitOfMeasure221">'Бланк заказа'!$T$404:$T$404</definedName>
    <definedName name="UnitOfMeasure222">'Бланк заказа'!$T$405:$T$405</definedName>
    <definedName name="UnitOfMeasure223">'Бланк заказа'!$T$406:$T$406</definedName>
    <definedName name="UnitOfMeasure224">'Бланк заказа'!$T$407:$T$407</definedName>
    <definedName name="UnitOfMeasure225">'Бланк заказа'!$T$408:$T$408</definedName>
    <definedName name="UnitOfMeasure226">'Бланк заказа'!$T$412:$T$412</definedName>
    <definedName name="UnitOfMeasure227">'Бланк заказа'!$T$413:$T$413</definedName>
    <definedName name="UnitOfMeasure228">'Бланк заказа'!$T$419:$T$419</definedName>
    <definedName name="UnitOfMeasure229">'Бланк заказа'!$T$420:$T$420</definedName>
    <definedName name="UnitOfMeasure23">'Бланк заказа'!$T$69:$T$69</definedName>
    <definedName name="UnitOfMeasure230">'Бланк заказа'!$T$424:$T$424</definedName>
    <definedName name="UnitOfMeasure231">'Бланк заказа'!$T$425:$T$425</definedName>
    <definedName name="UnitOfMeasure232">'Бланк заказа'!$T$429:$T$429</definedName>
    <definedName name="UnitOfMeasure233">'Бланк заказа'!$T$430:$T$430</definedName>
    <definedName name="UnitOfMeasure234">'Бланк заказа'!$T$434:$T$434</definedName>
    <definedName name="UnitOfMeasure235">'Бланк заказа'!$T$435:$T$435</definedName>
    <definedName name="UnitOfMeasure236">'Бланк заказа'!$T$436:$T$436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заказа'!$T$114:$T$114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заказа'!$T$128:$T$128</definedName>
    <definedName name="UnitOfMeasure62">'Бланк заказа'!$T$129:$T$129</definedName>
    <definedName name="UnitOfMeasure63">'Бланк заказа'!$T$130:$T$130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заказа'!$T$155:$T$155</definedName>
    <definedName name="UnitOfMeasure82">'Бланк заказа'!$T$156:$T$156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заказа'!$T$179:$T$179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1" i="2" l="1"/>
  <c r="U440" i="2"/>
  <c r="U438" i="2"/>
  <c r="U437" i="2"/>
  <c r="V436" i="2"/>
  <c r="W436" i="2" s="1"/>
  <c r="W435" i="2"/>
  <c r="V435" i="2"/>
  <c r="W434" i="2"/>
  <c r="W437" i="2" s="1"/>
  <c r="V434" i="2"/>
  <c r="V438" i="2" s="1"/>
  <c r="U432" i="2"/>
  <c r="U431" i="2"/>
  <c r="V430" i="2"/>
  <c r="W430" i="2" s="1"/>
  <c r="V429" i="2"/>
  <c r="U427" i="2"/>
  <c r="U426" i="2"/>
  <c r="V425" i="2"/>
  <c r="W425" i="2" s="1"/>
  <c r="V424" i="2"/>
  <c r="U422" i="2"/>
  <c r="U421" i="2"/>
  <c r="W420" i="2"/>
  <c r="V420" i="2"/>
  <c r="V419" i="2"/>
  <c r="P449" i="2" s="1"/>
  <c r="U415" i="2"/>
  <c r="U414" i="2"/>
  <c r="V413" i="2"/>
  <c r="M413" i="2"/>
  <c r="V412" i="2"/>
  <c r="W412" i="2" s="1"/>
  <c r="M412" i="2"/>
  <c r="U410" i="2"/>
  <c r="U409" i="2"/>
  <c r="V408" i="2"/>
  <c r="W408" i="2" s="1"/>
  <c r="V407" i="2"/>
  <c r="W407" i="2" s="1"/>
  <c r="V406" i="2"/>
  <c r="W406" i="2" s="1"/>
  <c r="V405" i="2"/>
  <c r="W405" i="2" s="1"/>
  <c r="M405" i="2"/>
  <c r="V404" i="2"/>
  <c r="W404" i="2" s="1"/>
  <c r="M404" i="2"/>
  <c r="V403" i="2"/>
  <c r="M403" i="2"/>
  <c r="U401" i="2"/>
  <c r="U400" i="2"/>
  <c r="V399" i="2"/>
  <c r="V398" i="2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M386" i="2"/>
  <c r="V385" i="2"/>
  <c r="W385" i="2" s="1"/>
  <c r="M385" i="2"/>
  <c r="U381" i="2"/>
  <c r="U380" i="2"/>
  <c r="V379" i="2"/>
  <c r="V381" i="2" s="1"/>
  <c r="U377" i="2"/>
  <c r="U376" i="2"/>
  <c r="V375" i="2"/>
  <c r="V376" i="2" s="1"/>
  <c r="U373" i="2"/>
  <c r="U372" i="2"/>
  <c r="V371" i="2"/>
  <c r="V370" i="2"/>
  <c r="W370" i="2" s="1"/>
  <c r="M370" i="2"/>
  <c r="V369" i="2"/>
  <c r="W369" i="2" s="1"/>
  <c r="M369" i="2"/>
  <c r="V368" i="2"/>
  <c r="W368" i="2" s="1"/>
  <c r="M368" i="2"/>
  <c r="V367" i="2"/>
  <c r="M367" i="2"/>
  <c r="U365" i="2"/>
  <c r="U364" i="2"/>
  <c r="V363" i="2"/>
  <c r="W363" i="2" s="1"/>
  <c r="M363" i="2"/>
  <c r="V362" i="2"/>
  <c r="V365" i="2" s="1"/>
  <c r="M362" i="2"/>
  <c r="U359" i="2"/>
  <c r="U358" i="2"/>
  <c r="V357" i="2"/>
  <c r="V358" i="2" s="1"/>
  <c r="U355" i="2"/>
  <c r="U354" i="2"/>
  <c r="V353" i="2"/>
  <c r="W353" i="2" s="1"/>
  <c r="V352" i="2"/>
  <c r="W352" i="2" s="1"/>
  <c r="V351" i="2"/>
  <c r="W351" i="2" s="1"/>
  <c r="U349" i="2"/>
  <c r="U348" i="2"/>
  <c r="V347" i="2"/>
  <c r="V348" i="2" s="1"/>
  <c r="U345" i="2"/>
  <c r="U344" i="2"/>
  <c r="V343" i="2"/>
  <c r="W343" i="2" s="1"/>
  <c r="M343" i="2"/>
  <c r="V342" i="2"/>
  <c r="W342" i="2" s="1"/>
  <c r="M342" i="2"/>
  <c r="V341" i="2"/>
  <c r="W341" i="2" s="1"/>
  <c r="V340" i="2"/>
  <c r="M340" i="2"/>
  <c r="U338" i="2"/>
  <c r="U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M333" i="2"/>
  <c r="V332" i="2"/>
  <c r="W332" i="2" s="1"/>
  <c r="M332" i="2"/>
  <c r="V331" i="2"/>
  <c r="W331" i="2" s="1"/>
  <c r="M331" i="2"/>
  <c r="V330" i="2"/>
  <c r="W330" i="2" s="1"/>
  <c r="M330" i="2"/>
  <c r="W329" i="2"/>
  <c r="V329" i="2"/>
  <c r="V328" i="2"/>
  <c r="W328" i="2" s="1"/>
  <c r="V327" i="2"/>
  <c r="W327" i="2" s="1"/>
  <c r="W326" i="2"/>
  <c r="V326" i="2"/>
  <c r="W325" i="2"/>
  <c r="V325" i="2"/>
  <c r="V324" i="2"/>
  <c r="U322" i="2"/>
  <c r="U321" i="2"/>
  <c r="V320" i="2"/>
  <c r="W320" i="2" s="1"/>
  <c r="V319" i="2"/>
  <c r="W319" i="2" s="1"/>
  <c r="M319" i="2"/>
  <c r="U315" i="2"/>
  <c r="U314" i="2"/>
  <c r="V313" i="2"/>
  <c r="V315" i="2" s="1"/>
  <c r="U311" i="2"/>
  <c r="U310" i="2"/>
  <c r="V309" i="2"/>
  <c r="W309" i="2" s="1"/>
  <c r="V308" i="2"/>
  <c r="W308" i="2" s="1"/>
  <c r="M308" i="2"/>
  <c r="W307" i="2"/>
  <c r="V307" i="2"/>
  <c r="W306" i="2"/>
  <c r="V306" i="2"/>
  <c r="M306" i="2"/>
  <c r="U304" i="2"/>
  <c r="U303" i="2"/>
  <c r="V302" i="2"/>
  <c r="W302" i="2" s="1"/>
  <c r="M302" i="2"/>
  <c r="V301" i="2"/>
  <c r="V304" i="2" s="1"/>
  <c r="M301" i="2"/>
  <c r="U299" i="2"/>
  <c r="U298" i="2"/>
  <c r="V297" i="2"/>
  <c r="W297" i="2" s="1"/>
  <c r="M297" i="2"/>
  <c r="V296" i="2"/>
  <c r="W296" i="2" s="1"/>
  <c r="V295" i="2"/>
  <c r="W295" i="2" s="1"/>
  <c r="M295" i="2"/>
  <c r="V294" i="2"/>
  <c r="W294" i="2" s="1"/>
  <c r="M294" i="2"/>
  <c r="U291" i="2"/>
  <c r="U290" i="2"/>
  <c r="V289" i="2"/>
  <c r="V290" i="2" s="1"/>
  <c r="M289" i="2"/>
  <c r="U287" i="2"/>
  <c r="U286" i="2"/>
  <c r="V285" i="2"/>
  <c r="V287" i="2" s="1"/>
  <c r="M285" i="2"/>
  <c r="U283" i="2"/>
  <c r="U282" i="2"/>
  <c r="V281" i="2"/>
  <c r="V282" i="2" s="1"/>
  <c r="M281" i="2"/>
  <c r="U279" i="2"/>
  <c r="U278" i="2"/>
  <c r="V277" i="2"/>
  <c r="M277" i="2"/>
  <c r="V276" i="2"/>
  <c r="W276" i="2" s="1"/>
  <c r="M276" i="2"/>
  <c r="U274" i="2"/>
  <c r="U273" i="2"/>
  <c r="V272" i="2"/>
  <c r="W272" i="2" s="1"/>
  <c r="M272" i="2"/>
  <c r="V271" i="2"/>
  <c r="W271" i="2" s="1"/>
  <c r="M271" i="2"/>
  <c r="V270" i="2"/>
  <c r="W270" i="2" s="1"/>
  <c r="V269" i="2"/>
  <c r="W269" i="2" s="1"/>
  <c r="M269" i="2"/>
  <c r="V268" i="2"/>
  <c r="W268" i="2" s="1"/>
  <c r="M268" i="2"/>
  <c r="V267" i="2"/>
  <c r="W267" i="2" s="1"/>
  <c r="M267" i="2"/>
  <c r="V266" i="2"/>
  <c r="W266" i="2" s="1"/>
  <c r="M266" i="2"/>
  <c r="V265" i="2"/>
  <c r="M265" i="2"/>
  <c r="U261" i="2"/>
  <c r="U260" i="2"/>
  <c r="V259" i="2"/>
  <c r="W259" i="2" s="1"/>
  <c r="W260" i="2" s="1"/>
  <c r="M259" i="2"/>
  <c r="U257" i="2"/>
  <c r="U256" i="2"/>
  <c r="V255" i="2"/>
  <c r="V257" i="2" s="1"/>
  <c r="M255" i="2"/>
  <c r="U253" i="2"/>
  <c r="U252" i="2"/>
  <c r="V251" i="2"/>
  <c r="W251" i="2" s="1"/>
  <c r="M251" i="2"/>
  <c r="V250" i="2"/>
  <c r="M250" i="2"/>
  <c r="V249" i="2"/>
  <c r="W249" i="2" s="1"/>
  <c r="M249" i="2"/>
  <c r="U247" i="2"/>
  <c r="U246" i="2"/>
  <c r="V245" i="2"/>
  <c r="W245" i="2" s="1"/>
  <c r="M245" i="2"/>
  <c r="V244" i="2"/>
  <c r="V247" i="2" s="1"/>
  <c r="M244" i="2"/>
  <c r="U241" i="2"/>
  <c r="U240" i="2"/>
  <c r="V239" i="2"/>
  <c r="W239" i="2" s="1"/>
  <c r="M239" i="2"/>
  <c r="V238" i="2"/>
  <c r="V240" i="2" s="1"/>
  <c r="M238" i="2"/>
  <c r="U236" i="2"/>
  <c r="U235" i="2"/>
  <c r="V234" i="2"/>
  <c r="W234" i="2" s="1"/>
  <c r="M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M228" i="2"/>
  <c r="U225" i="2"/>
  <c r="U224" i="2"/>
  <c r="V223" i="2"/>
  <c r="W223" i="2" s="1"/>
  <c r="M223" i="2"/>
  <c r="V222" i="2"/>
  <c r="W222" i="2" s="1"/>
  <c r="V221" i="2"/>
  <c r="W221" i="2" s="1"/>
  <c r="V220" i="2"/>
  <c r="W220" i="2" s="1"/>
  <c r="M220" i="2"/>
  <c r="U218" i="2"/>
  <c r="U217" i="2"/>
  <c r="V216" i="2"/>
  <c r="M216" i="2"/>
  <c r="V215" i="2"/>
  <c r="W215" i="2" s="1"/>
  <c r="V214" i="2"/>
  <c r="W214" i="2" s="1"/>
  <c r="U212" i="2"/>
  <c r="U211" i="2"/>
  <c r="V210" i="2"/>
  <c r="W210" i="2" s="1"/>
  <c r="V209" i="2"/>
  <c r="W209" i="2" s="1"/>
  <c r="V208" i="2"/>
  <c r="W208" i="2" s="1"/>
  <c r="V207" i="2"/>
  <c r="W207" i="2" s="1"/>
  <c r="M207" i="2"/>
  <c r="V206" i="2"/>
  <c r="W206" i="2" s="1"/>
  <c r="M206" i="2"/>
  <c r="V205" i="2"/>
  <c r="M205" i="2"/>
  <c r="U203" i="2"/>
  <c r="U202" i="2"/>
  <c r="V201" i="2"/>
  <c r="W201" i="2" s="1"/>
  <c r="V200" i="2"/>
  <c r="W200" i="2" s="1"/>
  <c r="M200" i="2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M194" i="2"/>
  <c r="V193" i="2"/>
  <c r="W193" i="2" s="1"/>
  <c r="M193" i="2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M188" i="2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M182" i="2"/>
  <c r="V181" i="2"/>
  <c r="W181" i="2" s="1"/>
  <c r="M181" i="2"/>
  <c r="V180" i="2"/>
  <c r="W180" i="2" s="1"/>
  <c r="M180" i="2"/>
  <c r="V179" i="2"/>
  <c r="U177" i="2"/>
  <c r="U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V166" i="2"/>
  <c r="W166" i="2" s="1"/>
  <c r="V165" i="2"/>
  <c r="W165" i="2" s="1"/>
  <c r="V164" i="2"/>
  <c r="W164" i="2" s="1"/>
  <c r="M164" i="2"/>
  <c r="V163" i="2"/>
  <c r="W163" i="2" s="1"/>
  <c r="V162" i="2"/>
  <c r="W162" i="2" s="1"/>
  <c r="M162" i="2"/>
  <c r="V161" i="2"/>
  <c r="W161" i="2" s="1"/>
  <c r="M161" i="2"/>
  <c r="V160" i="2"/>
  <c r="M160" i="2"/>
  <c r="U158" i="2"/>
  <c r="U157" i="2"/>
  <c r="V156" i="2"/>
  <c r="W156" i="2" s="1"/>
  <c r="V155" i="2"/>
  <c r="W155" i="2" s="1"/>
  <c r="V154" i="2"/>
  <c r="W154" i="2" s="1"/>
  <c r="U152" i="2"/>
  <c r="U151" i="2"/>
  <c r="V150" i="2"/>
  <c r="W150" i="2" s="1"/>
  <c r="M150" i="2"/>
  <c r="V149" i="2"/>
  <c r="W149" i="2" s="1"/>
  <c r="V148" i="2"/>
  <c r="W148" i="2" s="1"/>
  <c r="V147" i="2"/>
  <c r="W147" i="2" s="1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M135" i="2"/>
  <c r="U132" i="2"/>
  <c r="U131" i="2"/>
  <c r="V130" i="2"/>
  <c r="W130" i="2" s="1"/>
  <c r="M130" i="2"/>
  <c r="V129" i="2"/>
  <c r="W129" i="2" s="1"/>
  <c r="M129" i="2"/>
  <c r="V128" i="2"/>
  <c r="G449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W119" i="2" s="1"/>
  <c r="M119" i="2"/>
  <c r="U116" i="2"/>
  <c r="U115" i="2"/>
  <c r="V114" i="2"/>
  <c r="W114" i="2" s="1"/>
  <c r="V113" i="2"/>
  <c r="W113" i="2" s="1"/>
  <c r="V112" i="2"/>
  <c r="W112" i="2" s="1"/>
  <c r="M112" i="2"/>
  <c r="V111" i="2"/>
  <c r="W111" i="2" s="1"/>
  <c r="W115" i="2" s="1"/>
  <c r="M111" i="2"/>
  <c r="U109" i="2"/>
  <c r="U108" i="2"/>
  <c r="W107" i="2"/>
  <c r="V107" i="2"/>
  <c r="M107" i="2"/>
  <c r="V106" i="2"/>
  <c r="W106" i="2" s="1"/>
  <c r="V105" i="2"/>
  <c r="W105" i="2" s="1"/>
  <c r="V104" i="2"/>
  <c r="W104" i="2" s="1"/>
  <c r="V103" i="2"/>
  <c r="V109" i="2" s="1"/>
  <c r="M103" i="2"/>
  <c r="W102" i="2"/>
  <c r="V102" i="2"/>
  <c r="M102" i="2"/>
  <c r="V101" i="2"/>
  <c r="W101" i="2" s="1"/>
  <c r="U99" i="2"/>
  <c r="U98" i="2"/>
  <c r="W97" i="2"/>
  <c r="V97" i="2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U87" i="2"/>
  <c r="U86" i="2"/>
  <c r="V85" i="2"/>
  <c r="W85" i="2" s="1"/>
  <c r="M85" i="2"/>
  <c r="V84" i="2"/>
  <c r="W84" i="2" s="1"/>
  <c r="M84" i="2"/>
  <c r="V83" i="2"/>
  <c r="W83" i="2" s="1"/>
  <c r="V82" i="2"/>
  <c r="W82" i="2" s="1"/>
  <c r="M82" i="2"/>
  <c r="V81" i="2"/>
  <c r="W81" i="2" s="1"/>
  <c r="V80" i="2"/>
  <c r="W80" i="2" s="1"/>
  <c r="M80" i="2"/>
  <c r="U78" i="2"/>
  <c r="U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M70" i="2"/>
  <c r="W69" i="2"/>
  <c r="V69" i="2"/>
  <c r="V68" i="2"/>
  <c r="W68" i="2" s="1"/>
  <c r="M68" i="2"/>
  <c r="V67" i="2"/>
  <c r="W67" i="2" s="1"/>
  <c r="M67" i="2"/>
  <c r="V66" i="2"/>
  <c r="W66" i="2" s="1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U59" i="2"/>
  <c r="U58" i="2"/>
  <c r="V57" i="2"/>
  <c r="W57" i="2" s="1"/>
  <c r="V56" i="2"/>
  <c r="W56" i="2" s="1"/>
  <c r="M56" i="2"/>
  <c r="V55" i="2"/>
  <c r="M55" i="2"/>
  <c r="U52" i="2"/>
  <c r="U51" i="2"/>
  <c r="V50" i="2"/>
  <c r="C449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V33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A10" i="2" s="1"/>
  <c r="D7" i="2"/>
  <c r="N6" i="2"/>
  <c r="M2" i="2"/>
  <c r="V212" i="2" l="1"/>
  <c r="V377" i="2"/>
  <c r="V395" i="2"/>
  <c r="V401" i="2"/>
  <c r="V283" i="2"/>
  <c r="V52" i="2"/>
  <c r="D449" i="2"/>
  <c r="W281" i="2"/>
  <c r="W282" i="2" s="1"/>
  <c r="V311" i="2"/>
  <c r="V345" i="2"/>
  <c r="V415" i="2"/>
  <c r="V426" i="2"/>
  <c r="V38" i="2"/>
  <c r="V131" i="2"/>
  <c r="V241" i="2"/>
  <c r="V286" i="2"/>
  <c r="W310" i="2"/>
  <c r="W354" i="2"/>
  <c r="V372" i="2"/>
  <c r="V421" i="2"/>
  <c r="V427" i="2"/>
  <c r="B449" i="2"/>
  <c r="V23" i="2"/>
  <c r="V24" i="2"/>
  <c r="V32" i="2"/>
  <c r="W35" i="2"/>
  <c r="W37" i="2" s="1"/>
  <c r="W44" i="2"/>
  <c r="W45" i="2" s="1"/>
  <c r="V45" i="2"/>
  <c r="V99" i="2"/>
  <c r="V151" i="2"/>
  <c r="W157" i="2"/>
  <c r="V157" i="2"/>
  <c r="V225" i="2"/>
  <c r="V235" i="2"/>
  <c r="W238" i="2"/>
  <c r="V252" i="2"/>
  <c r="V260" i="2"/>
  <c r="V261" i="2"/>
  <c r="V278" i="2"/>
  <c r="V310" i="2"/>
  <c r="W313" i="2"/>
  <c r="W314" i="2" s="1"/>
  <c r="W321" i="2"/>
  <c r="V321" i="2"/>
  <c r="V322" i="2"/>
  <c r="V354" i="2"/>
  <c r="V355" i="2"/>
  <c r="V359" i="2"/>
  <c r="V373" i="2"/>
  <c r="V400" i="2"/>
  <c r="V414" i="2"/>
  <c r="W413" i="2"/>
  <c r="W414" i="2" s="1"/>
  <c r="V437" i="2"/>
  <c r="V432" i="2"/>
  <c r="V410" i="2"/>
  <c r="W398" i="2"/>
  <c r="O449" i="2"/>
  <c r="W386" i="2"/>
  <c r="V396" i="2"/>
  <c r="W367" i="2"/>
  <c r="V338" i="2"/>
  <c r="V299" i="2"/>
  <c r="W298" i="2"/>
  <c r="V298" i="2"/>
  <c r="W285" i="2"/>
  <c r="W286" i="2" s="1"/>
  <c r="V274" i="2"/>
  <c r="W255" i="2"/>
  <c r="W256" i="2" s="1"/>
  <c r="V256" i="2"/>
  <c r="V253" i="2"/>
  <c r="V217" i="2"/>
  <c r="V203" i="2"/>
  <c r="V176" i="2"/>
  <c r="V124" i="2"/>
  <c r="V87" i="2"/>
  <c r="V77" i="2"/>
  <c r="V78" i="2"/>
  <c r="U439" i="2"/>
  <c r="E449" i="2"/>
  <c r="U442" i="2"/>
  <c r="U443" i="2"/>
  <c r="V59" i="2"/>
  <c r="W395" i="2"/>
  <c r="W224" i="2"/>
  <c r="W123" i="2"/>
  <c r="W240" i="2"/>
  <c r="W86" i="2"/>
  <c r="W98" i="2"/>
  <c r="V177" i="2"/>
  <c r="V236" i="2"/>
  <c r="V132" i="2"/>
  <c r="W29" i="2"/>
  <c r="W70" i="2"/>
  <c r="W77" i="2" s="1"/>
  <c r="W103" i="2"/>
  <c r="W108" i="2" s="1"/>
  <c r="V158" i="2"/>
  <c r="W228" i="2"/>
  <c r="W235" i="2" s="1"/>
  <c r="F9" i="2"/>
  <c r="W40" i="2"/>
  <c r="W41" i="2" s="1"/>
  <c r="W55" i="2"/>
  <c r="W58" i="2" s="1"/>
  <c r="V98" i="2"/>
  <c r="W128" i="2"/>
  <c r="W131" i="2" s="1"/>
  <c r="V152" i="2"/>
  <c r="W179" i="2"/>
  <c r="W202" i="2" s="1"/>
  <c r="W205" i="2"/>
  <c r="W211" i="2" s="1"/>
  <c r="W216" i="2"/>
  <c r="W217" i="2" s="1"/>
  <c r="W244" i="2"/>
  <c r="W246" i="2" s="1"/>
  <c r="W277" i="2"/>
  <c r="W278" i="2" s="1"/>
  <c r="W289" i="2"/>
  <c r="W290" i="2" s="1"/>
  <c r="W301" i="2"/>
  <c r="W303" i="2" s="1"/>
  <c r="W347" i="2"/>
  <c r="W348" i="2" s="1"/>
  <c r="W371" i="2"/>
  <c r="W372" i="2" s="1"/>
  <c r="V440" i="2"/>
  <c r="F449" i="2"/>
  <c r="V115" i="2"/>
  <c r="H449" i="2"/>
  <c r="V273" i="2"/>
  <c r="V314" i="2"/>
  <c r="V337" i="2"/>
  <c r="V422" i="2"/>
  <c r="I449" i="2"/>
  <c r="V108" i="2"/>
  <c r="H9" i="2"/>
  <c r="J9" i="2"/>
  <c r="W135" i="2"/>
  <c r="W151" i="2" s="1"/>
  <c r="W160" i="2"/>
  <c r="W176" i="2" s="1"/>
  <c r="V211" i="2"/>
  <c r="W362" i="2"/>
  <c r="W364" i="2" s="1"/>
  <c r="W379" i="2"/>
  <c r="W380" i="2" s="1"/>
  <c r="W403" i="2"/>
  <c r="W409" i="2" s="1"/>
  <c r="W26" i="2"/>
  <c r="W32" i="2" s="1"/>
  <c r="F10" i="2"/>
  <c r="V409" i="2"/>
  <c r="J449" i="2"/>
  <c r="V441" i="2"/>
  <c r="W50" i="2"/>
  <c r="W51" i="2" s="1"/>
  <c r="V116" i="2"/>
  <c r="V380" i="2"/>
  <c r="V42" i="2"/>
  <c r="V218" i="2"/>
  <c r="V224" i="2"/>
  <c r="V246" i="2"/>
  <c r="W265" i="2"/>
  <c r="W273" i="2" s="1"/>
  <c r="V279" i="2"/>
  <c r="V291" i="2"/>
  <c r="V303" i="2"/>
  <c r="V349" i="2"/>
  <c r="W424" i="2"/>
  <c r="W426" i="2" s="1"/>
  <c r="K449" i="2"/>
  <c r="W250" i="2"/>
  <c r="W252" i="2" s="1"/>
  <c r="W429" i="2"/>
  <c r="W431" i="2" s="1"/>
  <c r="V86" i="2"/>
  <c r="V51" i="2"/>
  <c r="L449" i="2"/>
  <c r="V123" i="2"/>
  <c r="V202" i="2"/>
  <c r="W324" i="2"/>
  <c r="W337" i="2" s="1"/>
  <c r="W357" i="2"/>
  <c r="W358" i="2" s="1"/>
  <c r="W399" i="2"/>
  <c r="W400" i="2" s="1"/>
  <c r="V431" i="2"/>
  <c r="W22" i="2"/>
  <c r="W23" i="2" s="1"/>
  <c r="V58" i="2"/>
  <c r="V344" i="2"/>
  <c r="V364" i="2"/>
  <c r="W375" i="2"/>
  <c r="W376" i="2" s="1"/>
  <c r="M449" i="2"/>
  <c r="W419" i="2"/>
  <c r="W421" i="2" s="1"/>
  <c r="N449" i="2"/>
  <c r="W340" i="2"/>
  <c r="W344" i="2" s="1"/>
  <c r="V439" i="2" l="1"/>
  <c r="V443" i="2"/>
  <c r="W444" i="2"/>
  <c r="V442" i="2"/>
</calcChain>
</file>

<file path=xl/sharedStrings.xml><?xml version="1.0" encoding="utf-8"?>
<sst xmlns="http://schemas.openxmlformats.org/spreadsheetml/2006/main" count="2673" uniqueCount="684">
  <si>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</si>
  <si>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</si>
  <si>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</si>
  <si>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</si>
  <si>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</si>
  <si>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</si>
  <si>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</si>
  <si>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</si>
  <si>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</si>
  <si>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</si>
  <si>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</si>
  <si>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</si>
  <si>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</si>
  <si>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</si>
  <si>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</si>
  <si>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</si>
  <si>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</si>
  <si>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</si>
  <si>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</si>
  <si>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</si>
  <si>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</si>
  <si>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</si>
  <si>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</si>
  <si>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</si>
  <si>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</si>
  <si>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</si>
  <si>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</si>
  <si>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</si>
  <si>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</si>
  <si>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</si>
  <si>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</si>
  <si>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</si>
  <si>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</si>
  <si>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</si>
  <si>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</si>
  <si>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</si>
  <si>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</si>
  <si>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</si>
  <si>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</si>
  <si>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</si>
  <si>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</si>
  <si>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</si>
  <si>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</si>
  <si>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</si>
  <si>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</si>
  <si>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</si>
  <si>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</si>
  <si>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</si>
  <si>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</si>
  <si>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</si>
  <si>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</si>
  <si>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</si>
  <si>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</si>
  <si>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</si>
  <si>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</si>
  <si>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</si>
  <si>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</si>
  <si>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</si>
  <si>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</si>
  <si>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</si>
  <si>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</si>
  <si>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</si>
  <si>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</si>
  <si>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</si>
  <si>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</si>
  <si>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</si>
  <si>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</si>
  <si>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</si>
  <si>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Индивидуальный предприниматель ПУШКАРНЫЙ ВИТАЛИЙ ВЛАДИМИРОВИЧ</t>
  </si>
  <si>
    <t>592445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</si>
  <si>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</si>
  <si>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</si>
  <si>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</si>
  <si>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</si>
  <si>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ПУШКАРНЫЙ В.В., ИП, Краснодарский край, Краснодар г, Уральская ул, д. 116,</t>
  </si>
  <si>
    <t>350080Российская Федерация, Краснодарский край, Краснодар г, Уральская ул, д. 116,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</si>
  <si>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</si>
  <si>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</si>
  <si>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</si>
  <si>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</si>
  <si>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</si>
  <si>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</si>
  <si>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</si>
  <si>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</si>
  <si>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</si>
  <si>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</si>
  <si>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</si>
  <si>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</si>
  <si>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</si>
  <si>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</si>
  <si>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</si>
  <si>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</si>
  <si>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</si>
  <si>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</si>
  <si>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</si>
  <si>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</si>
  <si>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</si>
  <si>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</si>
  <si>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</si>
  <si>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</si>
  <si>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</si>
  <si>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</si>
  <si>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</si>
  <si>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</si>
  <si>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</si>
  <si>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</si>
  <si>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</si>
  <si>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</si>
  <si>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</si>
  <si>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</si>
  <si>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</si>
  <si>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</si>
  <si>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</si>
  <si>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</si>
  <si>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</si>
  <si>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</si>
  <si>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</si>
  <si>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</si>
  <si>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</si>
  <si>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</si>
  <si>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</si>
  <si>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</si>
  <si>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</si>
  <si>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</si>
  <si>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</si>
  <si>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</si>
  <si>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</si>
  <si>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</si>
  <si>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</si>
  <si>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</si>
  <si>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</si>
  <si>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</si>
  <si>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</si>
  <si>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</si>
  <si>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</si>
  <si>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</si>
  <si>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</si>
  <si>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</si>
  <si>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</si>
  <si>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</si>
  <si>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</si>
  <si>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</si>
  <si>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</si>
  <si>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</si>
  <si>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</si>
  <si>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</si>
  <si>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</si>
  <si>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</si>
  <si>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</si>
  <si>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</si>
  <si>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</si>
  <si>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</si>
  <si>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</si>
  <si>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</si>
  <si>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</si>
  <si>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</si>
  <si>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</si>
  <si>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</si>
  <si>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</si>
  <si>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</si>
  <si>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</si>
  <si>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</si>
  <si>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</si>
  <si>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</si>
  <si>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</si>
  <si>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</si>
  <si>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</si>
  <si>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</si>
  <si>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</si>
  <si>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</si>
  <si>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</si>
  <si>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</si>
  <si>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</si>
  <si>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</si>
  <si>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</si>
  <si>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</si>
  <si>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</si>
  <si>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</si>
  <si>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</si>
  <si>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</si>
  <si>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</si>
  <si>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</si>
  <si>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</si>
  <si>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</si>
  <si>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</si>
  <si>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</si>
  <si>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</si>
  <si>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</si>
  <si>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</si>
  <si>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</si>
  <si>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</si>
  <si>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</si>
  <si>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</si>
  <si>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</si>
  <si>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</si>
  <si>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</si>
  <si>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</si>
  <si>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</si>
  <si>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</si>
  <si>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</si>
  <si>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</si>
  <si>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</si>
  <si>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</si>
  <si>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</si>
  <si>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</si>
  <si>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</si>
  <si>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</si>
  <si>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</si>
  <si>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</si>
  <si>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</si>
  <si>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</si>
  <si>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</si>
  <si>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</si>
  <si>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</si>
  <si>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</si>
  <si>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</si>
  <si>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</si>
  <si>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</si>
  <si>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</si>
  <si>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</si>
  <si>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</si>
  <si>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</si>
  <si>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</si>
  <si>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</si>
  <si>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</si>
  <si>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</si>
  <si>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</si>
  <si>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</si>
  <si>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</si>
  <si>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</si>
  <si>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</si>
  <si>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</si>
  <si>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</si>
  <si>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</si>
  <si>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</si>
  <si>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</si>
  <si>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</si>
  <si>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</si>
  <si>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</si>
  <si>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</si>
  <si>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</si>
  <si>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</si>
  <si>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</si>
  <si>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</si>
  <si>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</si>
  <si>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</si>
  <si>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</si>
  <si>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</si>
  <si>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</si>
  <si>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</si>
  <si>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</si>
  <si>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</si>
  <si>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</si>
  <si>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</si>
  <si>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</si>
  <si>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</si>
  <si>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</si>
  <si>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</si>
  <si>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</si>
  <si>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</si>
  <si>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</si>
  <si>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</si>
  <si>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</si>
  <si>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</si>
  <si>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</si>
  <si>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</si>
  <si>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</si>
  <si>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</si>
  <si>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</si>
  <si>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</si>
  <si>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</si>
  <si>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</si>
  <si>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</si>
  <si>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</si>
  <si>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</si>
  <si>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</si>
  <si>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</si>
  <si>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</si>
  <si>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</si>
  <si>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</si>
  <si>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</si>
  <si>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</si>
  <si>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</si>
  <si>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</si>
  <si>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</si>
  <si>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</si>
  <si>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</si>
  <si>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</si>
  <si>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</si>
  <si>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</si>
  <si>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</si>
  <si>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</si>
  <si>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</si>
  <si>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</si>
  <si>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</si>
  <si>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</si>
  <si>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</si>
  <si>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</si>
  <si>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</si>
  <si>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</si>
  <si>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</si>
  <si>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</si>
  <si>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</si>
  <si>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</si>
  <si>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</si>
  <si>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</si>
  <si>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</si>
  <si>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</si>
  <si>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</si>
  <si>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</si>
  <si>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</si>
  <si>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</si>
  <si>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</si>
  <si>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</si>
  <si>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</si>
  <si>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</si>
  <si>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</si>
  <si>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</si>
  <si>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</si>
  <si>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</si>
  <si>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</si>
  <si>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</si>
  <si>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</si>
  <si>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</si>
  <si>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</si>
  <si>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</si>
  <si>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</si>
  <si>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</si>
  <si>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</si>
  <si>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</si>
  <si>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</si>
  <si>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</si>
  <si>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</si>
  <si>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</si>
  <si>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</si>
  <si>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</si>
  <si>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</si>
  <si>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</si>
  <si>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</si>
  <si>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</si>
  <si>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</si>
  <si>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</si>
  <si>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</si>
  <si>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</si>
  <si>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</si>
  <si>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</si>
  <si>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</si>
  <si>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</si>
  <si>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</si>
  <si>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</si>
  <si>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</si>
  <si>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</si>
  <si>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</si>
  <si>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</si>
  <si>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</si>
  <si>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</si>
  <si>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</si>
  <si>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</si>
  <si>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</si>
  <si>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</si>
  <si>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</si>
  <si>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</si>
  <si>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</si>
  <si>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</si>
  <si>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</si>
  <si>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</si>
  <si>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</si>
  <si>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</si>
  <si>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</si>
  <si>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</si>
  <si>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</si>
  <si>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</si>
  <si>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</si>
  <si>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</si>
  <si>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</si>
  <si>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</si>
  <si>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</si>
  <si>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</si>
  <si>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</si>
  <si>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</si>
  <si>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</si>
  <si>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</si>
  <si>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</si>
  <si>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</si>
  <si>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</si>
  <si>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</si>
  <si>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</si>
  <si>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</si>
  <si>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</si>
  <si>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</si>
  <si>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</si>
  <si>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</si>
  <si>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</si>
  <si>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</si>
  <si>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</si>
  <si>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</si>
  <si>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</si>
  <si>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</si>
  <si>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</si>
  <si>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</si>
  <si>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</si>
  <si>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</si>
  <si>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</si>
  <si>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</si>
  <si>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</si>
  <si>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</si>
  <si>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</si>
  <si>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</si>
  <si>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</si>
  <si>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</si>
  <si>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</si>
  <si>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</si>
  <si>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</si>
  <si>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</si>
  <si>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</si>
  <si>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</si>
  <si>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</si>
  <si>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</si>
  <si>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</si>
  <si>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</si>
  <si>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</si>
  <si>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</si>
  <si>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</si>
  <si>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</si>
  <si>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</si>
  <si>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</si>
  <si>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</si>
  <si>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</si>
  <si>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</si>
  <si>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</si>
  <si>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</si>
  <si>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</si>
  <si>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</si>
  <si>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</si>
  <si>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</si>
  <si>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</si>
  <si>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</si>
  <si>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</si>
  <si>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</si>
  <si>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</si>
  <si>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</si>
  <si>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</si>
  <si>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</si>
  <si>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</si>
  <si>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</si>
  <si>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</si>
  <si>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</si>
  <si>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</si>
  <si>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</si>
  <si>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</si>
  <si>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</si>
  <si>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</si>
  <si>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</si>
  <si>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</si>
  <si>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</si>
  <si>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</si>
  <si>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</si>
  <si>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</si>
  <si>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</si>
  <si>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</si>
  <si>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</si>
  <si>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</si>
  <si>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</si>
  <si>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</si>
  <si>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</si>
  <si>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</si>
  <si>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</si>
  <si>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</si>
  <si>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</si>
  <si>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</si>
  <si>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</si>
  <si>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</si>
  <si>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</si>
  <si>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</si>
  <si>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</si>
  <si>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</si>
  <si>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</si>
  <si>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</si>
  <si>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</si>
  <si>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</si>
  <si>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</si>
  <si>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</si>
  <si>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</si>
  <si>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</si>
  <si>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</si>
  <si>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</si>
  <si>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</si>
  <si>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</si>
  <si>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</si>
  <si>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</si>
  <si>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</si>
  <si>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</si>
  <si>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</si>
  <si>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</si>
  <si>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</si>
  <si>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</si>
  <si>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</si>
  <si>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</si>
  <si>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</si>
  <si>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</si>
  <si>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</si>
  <si>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</si>
  <si>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</si>
  <si>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</si>
  <si>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</si>
  <si>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</si>
  <si>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</si>
  <si>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</si>
  <si>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</si>
  <si>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</si>
  <si>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</si>
  <si>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</si>
  <si>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</si>
  <si>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</si>
  <si>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</si>
  <si>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</si>
  <si>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</si>
  <si>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</si>
  <si>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</si>
  <si>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</si>
  <si>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</si>
  <si>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</si>
  <si>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</si>
  <si>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</si>
  <si>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</si>
  <si>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</si>
  <si>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</si>
  <si>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</si>
  <si>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</si>
  <si>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</si>
  <si>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</si>
  <si>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</si>
  <si>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</si>
  <si>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</si>
  <si>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</si>
  <si>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</si>
  <si>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</si>
  <si>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</si>
  <si>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</si>
  <si>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</si>
  <si>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</si>
  <si>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</si>
  <si>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</si>
  <si>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</si>
  <si>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</si>
  <si>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</si>
  <si>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</si>
  <si>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</si>
  <si>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</si>
  <si>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</si>
  <si>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</si>
  <si>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</si>
  <si>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</si>
  <si>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</si>
  <si>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</si>
  <si>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</si>
  <si>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</si>
  <si>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</si>
  <si>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</si>
  <si>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</si>
  <si>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</si>
  <si>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</si>
  <si>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</si>
  <si>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</si>
  <si>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</si>
  <si>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</si>
  <si>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</si>
  <si>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</si>
  <si>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</si>
  <si>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</si>
  <si>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</si>
  <si>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</si>
  <si>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</si>
  <si>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</si>
  <si>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</si>
  <si>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</si>
  <si>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</si>
  <si>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</si>
  <si>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</si>
  <si>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</si>
  <si>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</si>
  <si>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</si>
  <si>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</si>
  <si>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</si>
  <si>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</si>
  <si>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</si>
  <si>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</si>
  <si>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</si>
  <si>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</si>
  <si>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</si>
  <si>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</si>
  <si>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</si>
  <si>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</si>
  <si>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</si>
  <si>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</si>
  <si>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</si>
  <si>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</si>
  <si>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</si>
  <si>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</si>
  <si>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</si>
  <si>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</si>
  <si>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</si>
  <si>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</si>
  <si>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</si>
  <si>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</si>
  <si>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</si>
  <si>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</si>
  <si>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</si>
  <si>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</si>
  <si>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</si>
  <si>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</si>
  <si>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</si>
  <si>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</si>
  <si>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</si>
  <si>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</si>
  <si>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</si>
  <si>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</si>
  <si>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</si>
  <si>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</si>
  <si>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</si>
  <si>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</si>
  <si>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</si>
  <si>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</si>
  <si>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</si>
  <si>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</si>
  <si>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</si>
  <si>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</si>
  <si>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</si>
  <si>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</si>
  <si>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</si>
  <si>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</si>
  <si>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</si>
  <si>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</si>
  <si>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</si>
  <si>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</si>
  <si>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</si>
  <si>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</si>
  <si>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</si>
  <si>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</si>
  <si>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</si>
  <si>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</si>
  <si>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</si>
  <si>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</si>
  <si>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</si>
  <si>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</si>
  <si>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</si>
  <si>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</si>
  <si>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</si>
  <si>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</si>
  <si>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</si>
  <si>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</si>
  <si>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</si>
  <si>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</si>
  <si>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</si>
  <si>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</si>
  <si>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</si>
  <si>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</si>
  <si>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</si>
  <si>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</si>
  <si>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</si>
  <si>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</si>
  <si>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</si>
  <si>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</si>
  <si>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</si>
  <si>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</si>
  <si>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</si>
  <si>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</si>
  <si>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</si>
  <si>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</si>
  <si>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</si>
  <si>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</si>
  <si>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592445_1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</si>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</sst>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49"/>
  <sheetViews>
    <sheetView showGridLines="0" tabSelected="1" topLeftCell="A14" zoomScale="93" zoomScaleNormal="93" zoomScaleSheetLayoutView="100" workbookViewId="0">
      <selection activeCell="X28" sqref="X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09" t="s">
        <v>29</v>
      </c>
      <c r="E1" s="609"/>
      <c r="F1" s="609"/>
      <c r="G1" s="14" t="s">
        <v>65</v>
      </c>
      <c r="H1" s="609" t="s">
        <v>49</v>
      </c>
      <c r="I1" s="609"/>
      <c r="J1" s="609"/>
      <c r="K1" s="609"/>
      <c r="L1" s="609"/>
      <c r="M1" s="609"/>
      <c r="N1" s="609"/>
      <c r="O1" s="610" t="s">
        <v>66</v>
      </c>
      <c r="P1" s="611"/>
      <c r="Q1" s="61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2"/>
      <c r="O2" s="612"/>
      <c r="P2" s="612"/>
      <c r="Q2" s="612"/>
      <c r="R2" s="612"/>
      <c r="S2" s="612"/>
      <c r="T2" s="61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2"/>
      <c r="N3" s="612"/>
      <c r="O3" s="612"/>
      <c r="P3" s="612"/>
      <c r="Q3" s="612"/>
      <c r="R3" s="612"/>
      <c r="S3" s="612"/>
      <c r="T3" s="61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1" t="s">
        <v>8</v>
      </c>
      <c r="B5" s="591"/>
      <c r="C5" s="591"/>
      <c r="D5" s="613"/>
      <c r="E5" s="613"/>
      <c r="F5" s="614" t="s">
        <v>14</v>
      </c>
      <c r="G5" s="614"/>
      <c r="H5" s="613"/>
      <c r="I5" s="613"/>
      <c r="J5" s="613"/>
      <c r="K5" s="613"/>
      <c r="M5" s="27" t="s">
        <v>4</v>
      </c>
      <c r="N5" s="608"/>
      <c r="O5" s="608"/>
      <c r="Q5" s="615" t="s">
        <v>3</v>
      </c>
      <c r="R5" s="616"/>
      <c r="S5" s="617"/>
      <c r="T5" s="618"/>
      <c r="Y5" s="60"/>
      <c r="Z5" s="60"/>
      <c r="AA5" s="60"/>
    </row>
    <row r="6" spans="1:28" s="17" customFormat="1" ht="24" customHeight="1" x14ac:dyDescent="0.2">
      <c r="A6" s="591" t="s">
        <v>1</v>
      </c>
      <c r="B6" s="591"/>
      <c r="C6" s="591"/>
      <c r="D6" s="592" t="s">
        <v>74</v>
      </c>
      <c r="E6" s="592"/>
      <c r="F6" s="592"/>
      <c r="G6" s="592"/>
      <c r="H6" s="592"/>
      <c r="I6" s="592"/>
      <c r="J6" s="592"/>
      <c r="K6" s="592"/>
      <c r="M6" s="27" t="s">
        <v>30</v>
      </c>
      <c r="N6" s="593" t="str">
        <f>IF(N5=0," ",CHOOSE(WEEKDAY(N5,2),"Понедельник","Вторник","Среда","Четверг","Пятница","Суббота","Воскресенье"))</f>
        <v xml:space="preserve"> </v>
      </c>
      <c r="O6" s="593"/>
      <c r="Q6" s="594" t="s">
        <v>5</v>
      </c>
      <c r="R6" s="595"/>
      <c r="S6" s="596" t="s">
        <v>68</v>
      </c>
      <c r="T6" s="59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2" t="str">
        <f>IFERROR(VLOOKUP(DeliveryAddress,Table,3,0),1)</f>
        <v>1</v>
      </c>
      <c r="E7" s="603"/>
      <c r="F7" s="603"/>
      <c r="G7" s="603"/>
      <c r="H7" s="603"/>
      <c r="I7" s="603"/>
      <c r="J7" s="603"/>
      <c r="K7" s="604"/>
      <c r="M7" s="29"/>
      <c r="N7" s="49"/>
      <c r="O7" s="49"/>
      <c r="Q7" s="594"/>
      <c r="R7" s="595"/>
      <c r="S7" s="598"/>
      <c r="T7" s="599"/>
      <c r="Y7" s="60"/>
      <c r="Z7" s="60"/>
      <c r="AA7" s="60"/>
    </row>
    <row r="8" spans="1:28" s="17" customFormat="1" ht="25.5" customHeight="1" x14ac:dyDescent="0.2">
      <c r="A8" s="605" t="s">
        <v>60</v>
      </c>
      <c r="B8" s="605"/>
      <c r="C8" s="605"/>
      <c r="D8" s="606" t="s">
        <v>75</v>
      </c>
      <c r="E8" s="606"/>
      <c r="F8" s="606"/>
      <c r="G8" s="606"/>
      <c r="H8" s="606"/>
      <c r="I8" s="606"/>
      <c r="J8" s="606"/>
      <c r="K8" s="606"/>
      <c r="M8" s="27" t="s">
        <v>11</v>
      </c>
      <c r="N8" s="586"/>
      <c r="O8" s="586"/>
      <c r="Q8" s="594"/>
      <c r="R8" s="595"/>
      <c r="S8" s="598"/>
      <c r="T8" s="599"/>
      <c r="Y8" s="60"/>
      <c r="Z8" s="60"/>
      <c r="AA8" s="60"/>
    </row>
    <row r="9" spans="1:28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48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7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M9" s="31" t="s">
        <v>15</v>
      </c>
      <c r="N9" s="608"/>
      <c r="O9" s="608"/>
      <c r="Q9" s="594"/>
      <c r="R9" s="595"/>
      <c r="S9" s="600"/>
      <c r="T9" s="60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5" t="str">
        <f>IFERROR(VLOOKUP($D$10,Proxy,2,FALSE),"")</f>
        <v/>
      </c>
      <c r="I10" s="585"/>
      <c r="J10" s="585"/>
      <c r="K10" s="585"/>
      <c r="M10" s="31" t="s">
        <v>35</v>
      </c>
      <c r="N10" s="586"/>
      <c r="O10" s="586"/>
      <c r="R10" s="29" t="s">
        <v>12</v>
      </c>
      <c r="S10" s="587" t="s">
        <v>69</v>
      </c>
      <c r="T10" s="58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86"/>
      <c r="O11" s="586"/>
      <c r="R11" s="29" t="s">
        <v>31</v>
      </c>
      <c r="S11" s="574" t="s">
        <v>57</v>
      </c>
      <c r="T11" s="57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3" t="s">
        <v>70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M12" s="27" t="s">
        <v>33</v>
      </c>
      <c r="N12" s="589"/>
      <c r="O12" s="589"/>
      <c r="P12" s="28"/>
      <c r="Q12"/>
      <c r="R12" s="29" t="s">
        <v>48</v>
      </c>
      <c r="S12" s="590"/>
      <c r="T12" s="590"/>
      <c r="U12"/>
      <c r="Y12" s="60"/>
      <c r="Z12" s="60"/>
      <c r="AA12" s="60"/>
    </row>
    <row r="13" spans="1:28" s="17" customFormat="1" ht="23.25" customHeight="1" x14ac:dyDescent="0.2">
      <c r="A13" s="573" t="s">
        <v>71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31"/>
      <c r="M13" s="31" t="s">
        <v>34</v>
      </c>
      <c r="N13" s="574"/>
      <c r="O13" s="57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3" t="s">
        <v>72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5" t="s">
        <v>73</v>
      </c>
      <c r="B15" s="575"/>
      <c r="C15" s="575"/>
      <c r="D15" s="575"/>
      <c r="E15" s="575"/>
      <c r="F15" s="575"/>
      <c r="G15" s="575"/>
      <c r="H15" s="575"/>
      <c r="I15" s="575"/>
      <c r="J15" s="575"/>
      <c r="K15" s="575"/>
      <c r="L15"/>
      <c r="M15" s="576" t="s">
        <v>63</v>
      </c>
      <c r="N15" s="576"/>
      <c r="O15" s="576"/>
      <c r="P15" s="576"/>
      <c r="Q15" s="57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7"/>
      <c r="N16" s="577"/>
      <c r="O16" s="577"/>
      <c r="P16" s="577"/>
      <c r="Q16" s="577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62" t="s">
        <v>61</v>
      </c>
      <c r="B17" s="562" t="s">
        <v>51</v>
      </c>
      <c r="C17" s="579" t="s">
        <v>50</v>
      </c>
      <c r="D17" s="562" t="s">
        <v>52</v>
      </c>
      <c r="E17" s="562"/>
      <c r="F17" s="562" t="s">
        <v>24</v>
      </c>
      <c r="G17" s="562" t="s">
        <v>27</v>
      </c>
      <c r="H17" s="562" t="s">
        <v>25</v>
      </c>
      <c r="I17" s="562" t="s">
        <v>26</v>
      </c>
      <c r="J17" s="580" t="s">
        <v>16</v>
      </c>
      <c r="K17" s="580" t="s">
        <v>2</v>
      </c>
      <c r="L17" s="562" t="s">
        <v>28</v>
      </c>
      <c r="M17" s="562" t="s">
        <v>17</v>
      </c>
      <c r="N17" s="562"/>
      <c r="O17" s="562"/>
      <c r="P17" s="562"/>
      <c r="Q17" s="562"/>
      <c r="R17" s="578" t="s">
        <v>58</v>
      </c>
      <c r="S17" s="562"/>
      <c r="T17" s="562" t="s">
        <v>6</v>
      </c>
      <c r="U17" s="562" t="s">
        <v>44</v>
      </c>
      <c r="V17" s="563" t="s">
        <v>56</v>
      </c>
      <c r="W17" s="562" t="s">
        <v>18</v>
      </c>
      <c r="X17" s="565" t="s">
        <v>62</v>
      </c>
      <c r="Y17" s="565" t="s">
        <v>19</v>
      </c>
      <c r="Z17" s="566" t="s">
        <v>59</v>
      </c>
      <c r="AA17" s="567"/>
      <c r="AB17" s="568"/>
      <c r="AC17" s="572" t="s">
        <v>64</v>
      </c>
    </row>
    <row r="18" spans="1:29" ht="14.25" customHeight="1" x14ac:dyDescent="0.2">
      <c r="A18" s="562"/>
      <c r="B18" s="562"/>
      <c r="C18" s="579"/>
      <c r="D18" s="562"/>
      <c r="E18" s="562"/>
      <c r="F18" s="562" t="s">
        <v>20</v>
      </c>
      <c r="G18" s="562" t="s">
        <v>21</v>
      </c>
      <c r="H18" s="562" t="s">
        <v>22</v>
      </c>
      <c r="I18" s="562" t="s">
        <v>22</v>
      </c>
      <c r="J18" s="581"/>
      <c r="K18" s="581"/>
      <c r="L18" s="562"/>
      <c r="M18" s="562"/>
      <c r="N18" s="562"/>
      <c r="O18" s="562"/>
      <c r="P18" s="562"/>
      <c r="Q18" s="562"/>
      <c r="R18" s="36" t="s">
        <v>47</v>
      </c>
      <c r="S18" s="36" t="s">
        <v>46</v>
      </c>
      <c r="T18" s="562"/>
      <c r="U18" s="562"/>
      <c r="V18" s="564"/>
      <c r="W18" s="562"/>
      <c r="X18" s="565"/>
      <c r="Y18" s="565"/>
      <c r="Z18" s="569"/>
      <c r="AA18" s="570"/>
      <c r="AB18" s="571"/>
      <c r="AC18" s="572"/>
    </row>
    <row r="19" spans="1:29" ht="27.75" customHeight="1" x14ac:dyDescent="0.2">
      <c r="A19" s="331" t="s">
        <v>76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55"/>
      <c r="Y19" s="55"/>
    </row>
    <row r="20" spans="1:29" ht="16.5" customHeight="1" x14ac:dyDescent="0.25">
      <c r="A20" s="332" t="s">
        <v>76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66"/>
      <c r="Y20" s="66"/>
    </row>
    <row r="21" spans="1:29" ht="14.25" customHeight="1" x14ac:dyDescent="0.25">
      <c r="A21" s="326" t="s">
        <v>77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67"/>
      <c r="Y21" s="67"/>
    </row>
    <row r="22" spans="1:29" ht="27" customHeight="1" x14ac:dyDescent="0.25">
      <c r="A22" s="64" t="s">
        <v>78</v>
      </c>
      <c r="B22" s="64" t="s">
        <v>79</v>
      </c>
      <c r="C22" s="37">
        <v>4301031106</v>
      </c>
      <c r="D22" s="316">
        <v>4607091389258</v>
      </c>
      <c r="E22" s="3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81</v>
      </c>
      <c r="L22" s="38">
        <v>35</v>
      </c>
      <c r="M22" s="560" t="s">
        <v>80</v>
      </c>
      <c r="N22" s="318"/>
      <c r="O22" s="318"/>
      <c r="P22" s="318"/>
      <c r="Q22" s="31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14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25"/>
      <c r="M23" s="322" t="s">
        <v>43</v>
      </c>
      <c r="N23" s="323"/>
      <c r="O23" s="323"/>
      <c r="P23" s="323"/>
      <c r="Q23" s="323"/>
      <c r="R23" s="323"/>
      <c r="S23" s="324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25"/>
      <c r="M24" s="322" t="s">
        <v>43</v>
      </c>
      <c r="N24" s="323"/>
      <c r="O24" s="323"/>
      <c r="P24" s="323"/>
      <c r="Q24" s="323"/>
      <c r="R24" s="323"/>
      <c r="S24" s="324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6" t="s">
        <v>82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67"/>
      <c r="Y25" s="67"/>
    </row>
    <row r="26" spans="1:29" ht="27" customHeight="1" x14ac:dyDescent="0.25">
      <c r="A26" s="64" t="s">
        <v>83</v>
      </c>
      <c r="B26" s="64" t="s">
        <v>84</v>
      </c>
      <c r="C26" s="37">
        <v>4301051176</v>
      </c>
      <c r="D26" s="316">
        <v>4607091383881</v>
      </c>
      <c r="E26" s="3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81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85</v>
      </c>
      <c r="B27" s="64" t="s">
        <v>86</v>
      </c>
      <c r="C27" s="37">
        <v>4301051172</v>
      </c>
      <c r="D27" s="316">
        <v>4607091388237</v>
      </c>
      <c r="E27" s="31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81</v>
      </c>
      <c r="L27" s="38">
        <v>35</v>
      </c>
      <c r="M27" s="5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87</v>
      </c>
      <c r="B28" s="64" t="s">
        <v>88</v>
      </c>
      <c r="C28" s="37">
        <v>4301051180</v>
      </c>
      <c r="D28" s="316">
        <v>4607091383935</v>
      </c>
      <c r="E28" s="31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81</v>
      </c>
      <c r="L28" s="38">
        <v>30</v>
      </c>
      <c r="M28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89</v>
      </c>
      <c r="B29" s="64" t="s">
        <v>90</v>
      </c>
      <c r="C29" s="37">
        <v>4301051426</v>
      </c>
      <c r="D29" s="316">
        <v>4680115881853</v>
      </c>
      <c r="E29" s="3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81</v>
      </c>
      <c r="L29" s="38">
        <v>30</v>
      </c>
      <c r="M29" s="557" t="s">
        <v>91</v>
      </c>
      <c r="N29" s="318"/>
      <c r="O29" s="318"/>
      <c r="P29" s="318"/>
      <c r="Q29" s="31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92</v>
      </c>
      <c r="B30" s="64" t="s">
        <v>93</v>
      </c>
      <c r="C30" s="37">
        <v>4301051178</v>
      </c>
      <c r="D30" s="316">
        <v>4607091383911</v>
      </c>
      <c r="E30" s="3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81</v>
      </c>
      <c r="L30" s="38">
        <v>35</v>
      </c>
      <c r="M30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94</v>
      </c>
      <c r="B31" s="64" t="s">
        <v>95</v>
      </c>
      <c r="C31" s="37">
        <v>4301051174</v>
      </c>
      <c r="D31" s="316">
        <v>4607091388244</v>
      </c>
      <c r="E31" s="31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81</v>
      </c>
      <c r="L31" s="38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9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14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25"/>
      <c r="M32" s="322" t="s">
        <v>43</v>
      </c>
      <c r="N32" s="323"/>
      <c r="O32" s="323"/>
      <c r="P32" s="323"/>
      <c r="Q32" s="323"/>
      <c r="R32" s="323"/>
      <c r="S32" s="324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5"/>
      <c r="M33" s="322" t="s">
        <v>43</v>
      </c>
      <c r="N33" s="323"/>
      <c r="O33" s="323"/>
      <c r="P33" s="323"/>
      <c r="Q33" s="323"/>
      <c r="R33" s="323"/>
      <c r="S33" s="324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6" t="s">
        <v>96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67"/>
      <c r="Y34" s="67"/>
    </row>
    <row r="35" spans="1:29" ht="27" customHeight="1" x14ac:dyDescent="0.25">
      <c r="A35" s="64" t="s">
        <v>97</v>
      </c>
      <c r="B35" s="64" t="s">
        <v>98</v>
      </c>
      <c r="C35" s="37">
        <v>4301032013</v>
      </c>
      <c r="D35" s="316">
        <v>4607091388503</v>
      </c>
      <c r="E35" s="31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100</v>
      </c>
      <c r="L35" s="38">
        <v>120</v>
      </c>
      <c r="M35" s="5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99</v>
      </c>
    </row>
    <row r="36" spans="1:29" ht="27" customHeight="1" x14ac:dyDescent="0.25">
      <c r="A36" s="64" t="s">
        <v>101</v>
      </c>
      <c r="B36" s="64" t="s">
        <v>102</v>
      </c>
      <c r="C36" s="37">
        <v>4301032036</v>
      </c>
      <c r="D36" s="316">
        <v>4680115880139</v>
      </c>
      <c r="E36" s="316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103</v>
      </c>
      <c r="L36" s="38">
        <v>120</v>
      </c>
      <c r="M36" s="554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9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99</v>
      </c>
    </row>
    <row r="37" spans="1:29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25"/>
      <c r="M37" s="322" t="s">
        <v>43</v>
      </c>
      <c r="N37" s="323"/>
      <c r="O37" s="323"/>
      <c r="P37" s="323"/>
      <c r="Q37" s="323"/>
      <c r="R37" s="323"/>
      <c r="S37" s="324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25"/>
      <c r="M38" s="322" t="s">
        <v>43</v>
      </c>
      <c r="N38" s="323"/>
      <c r="O38" s="323"/>
      <c r="P38" s="323"/>
      <c r="Q38" s="323"/>
      <c r="R38" s="323"/>
      <c r="S38" s="324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6" t="s">
        <v>104</v>
      </c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67"/>
      <c r="Y39" s="67"/>
    </row>
    <row r="40" spans="1:29" ht="80.25" customHeight="1" x14ac:dyDescent="0.25">
      <c r="A40" s="64" t="s">
        <v>105</v>
      </c>
      <c r="B40" s="64" t="s">
        <v>106</v>
      </c>
      <c r="C40" s="37">
        <v>4301160001</v>
      </c>
      <c r="D40" s="316">
        <v>4607091388282</v>
      </c>
      <c r="E40" s="31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100</v>
      </c>
      <c r="L40" s="38">
        <v>30</v>
      </c>
      <c r="M40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9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107</v>
      </c>
      <c r="Y40" s="70" t="s">
        <v>48</v>
      </c>
      <c r="AC40" s="81" t="s">
        <v>65</v>
      </c>
    </row>
    <row r="41" spans="1:29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25"/>
      <c r="M41" s="322" t="s">
        <v>43</v>
      </c>
      <c r="N41" s="323"/>
      <c r="O41" s="323"/>
      <c r="P41" s="323"/>
      <c r="Q41" s="323"/>
      <c r="R41" s="323"/>
      <c r="S41" s="324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25"/>
      <c r="M42" s="322" t="s">
        <v>43</v>
      </c>
      <c r="N42" s="323"/>
      <c r="O42" s="323"/>
      <c r="P42" s="323"/>
      <c r="Q42" s="323"/>
      <c r="R42" s="323"/>
      <c r="S42" s="324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6" t="s">
        <v>108</v>
      </c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67"/>
      <c r="Y43" s="67"/>
    </row>
    <row r="44" spans="1:29" ht="27" customHeight="1" x14ac:dyDescent="0.25">
      <c r="A44" s="64" t="s">
        <v>109</v>
      </c>
      <c r="B44" s="64" t="s">
        <v>110</v>
      </c>
      <c r="C44" s="37">
        <v>4301170002</v>
      </c>
      <c r="D44" s="316">
        <v>4607091389111</v>
      </c>
      <c r="E44" s="31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100</v>
      </c>
      <c r="L44" s="38">
        <v>120</v>
      </c>
      <c r="M44" s="55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9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99</v>
      </c>
    </row>
    <row r="45" spans="1:29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25"/>
      <c r="M45" s="322" t="s">
        <v>43</v>
      </c>
      <c r="N45" s="323"/>
      <c r="O45" s="323"/>
      <c r="P45" s="323"/>
      <c r="Q45" s="323"/>
      <c r="R45" s="323"/>
      <c r="S45" s="324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25"/>
      <c r="M46" s="322" t="s">
        <v>43</v>
      </c>
      <c r="N46" s="323"/>
      <c r="O46" s="323"/>
      <c r="P46" s="323"/>
      <c r="Q46" s="323"/>
      <c r="R46" s="323"/>
      <c r="S46" s="324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1" t="s">
        <v>111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55"/>
      <c r="Y47" s="55"/>
    </row>
    <row r="48" spans="1:29" ht="16.5" customHeight="1" x14ac:dyDescent="0.25">
      <c r="A48" s="332" t="s">
        <v>112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66"/>
      <c r="Y48" s="66"/>
    </row>
    <row r="49" spans="1:29" ht="14.25" customHeight="1" x14ac:dyDescent="0.25">
      <c r="A49" s="326" t="s">
        <v>113</v>
      </c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67"/>
      <c r="Y49" s="67"/>
    </row>
    <row r="50" spans="1:29" ht="27" customHeight="1" x14ac:dyDescent="0.25">
      <c r="A50" s="64" t="s">
        <v>114</v>
      </c>
      <c r="B50" s="64" t="s">
        <v>115</v>
      </c>
      <c r="C50" s="37">
        <v>4301020234</v>
      </c>
      <c r="D50" s="316">
        <v>4680115881440</v>
      </c>
      <c r="E50" s="31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116</v>
      </c>
      <c r="L50" s="38">
        <v>50</v>
      </c>
      <c r="M50" s="5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9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x14ac:dyDescent="0.2">
      <c r="A51" s="314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25"/>
      <c r="M51" s="322" t="s">
        <v>43</v>
      </c>
      <c r="N51" s="323"/>
      <c r="O51" s="323"/>
      <c r="P51" s="323"/>
      <c r="Q51" s="323"/>
      <c r="R51" s="323"/>
      <c r="S51" s="324"/>
      <c r="T51" s="43" t="s">
        <v>42</v>
      </c>
      <c r="U51" s="44">
        <f>IFERROR(U50/H50,"0")</f>
        <v>0</v>
      </c>
      <c r="V51" s="44">
        <f>IFERROR(V50/H50,"0")</f>
        <v>0</v>
      </c>
      <c r="W51" s="44">
        <f>IFERROR(IF(W50="",0,W50),"0")</f>
        <v>0</v>
      </c>
      <c r="X51" s="68"/>
      <c r="Y51" s="68"/>
    </row>
    <row r="52" spans="1:29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25"/>
      <c r="M52" s="322" t="s">
        <v>43</v>
      </c>
      <c r="N52" s="323"/>
      <c r="O52" s="323"/>
      <c r="P52" s="323"/>
      <c r="Q52" s="323"/>
      <c r="R52" s="323"/>
      <c r="S52" s="324"/>
      <c r="T52" s="43" t="s">
        <v>0</v>
      </c>
      <c r="U52" s="44">
        <f>IFERROR(SUM(U50:U50),"0")</f>
        <v>0</v>
      </c>
      <c r="V52" s="44">
        <f>IFERROR(SUM(V50:V50),"0")</f>
        <v>0</v>
      </c>
      <c r="W52" s="43"/>
      <c r="X52" s="68"/>
      <c r="Y52" s="68"/>
    </row>
    <row r="53" spans="1:29" ht="16.5" customHeight="1" x14ac:dyDescent="0.25">
      <c r="A53" s="332" t="s">
        <v>117</v>
      </c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66"/>
      <c r="Y53" s="66"/>
    </row>
    <row r="54" spans="1:29" ht="14.25" customHeight="1" x14ac:dyDescent="0.25">
      <c r="A54" s="326" t="s">
        <v>118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67"/>
      <c r="Y54" s="67"/>
    </row>
    <row r="55" spans="1:29" ht="27" customHeight="1" x14ac:dyDescent="0.25">
      <c r="A55" s="64" t="s">
        <v>119</v>
      </c>
      <c r="B55" s="64" t="s">
        <v>120</v>
      </c>
      <c r="C55" s="37">
        <v>4301011452</v>
      </c>
      <c r="D55" s="316">
        <v>4680115881426</v>
      </c>
      <c r="E55" s="31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9" t="s">
        <v>116</v>
      </c>
      <c r="L55" s="38">
        <v>50</v>
      </c>
      <c r="M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318"/>
      <c r="O55" s="318"/>
      <c r="P55" s="318"/>
      <c r="Q55" s="319"/>
      <c r="R55" s="40" t="s">
        <v>48</v>
      </c>
      <c r="S55" s="40" t="s">
        <v>48</v>
      </c>
      <c r="T55" s="41" t="s">
        <v>0</v>
      </c>
      <c r="U55" s="59">
        <v>150</v>
      </c>
      <c r="V55" s="56">
        <f>IFERROR(IF(U55="",0,CEILING((U55/$H55),1)*$H55),"")</f>
        <v>151.20000000000002</v>
      </c>
      <c r="W55" s="42">
        <f>IFERROR(IF(V55=0,"",ROUNDUP(V55/H55,0)*0.02175),"")</f>
        <v>0.30449999999999999</v>
      </c>
      <c r="X55" s="69" t="s">
        <v>48</v>
      </c>
      <c r="Y55" s="70" t="s">
        <v>48</v>
      </c>
      <c r="AC55" s="84" t="s">
        <v>65</v>
      </c>
    </row>
    <row r="56" spans="1:29" ht="27" customHeight="1" x14ac:dyDescent="0.25">
      <c r="A56" s="64" t="s">
        <v>121</v>
      </c>
      <c r="B56" s="64" t="s">
        <v>122</v>
      </c>
      <c r="C56" s="37">
        <v>4301011437</v>
      </c>
      <c r="D56" s="316">
        <v>4680115881419</v>
      </c>
      <c r="E56" s="31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116</v>
      </c>
      <c r="L56" s="38">
        <v>50</v>
      </c>
      <c r="M56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318"/>
      <c r="O56" s="318"/>
      <c r="P56" s="318"/>
      <c r="Q56" s="319"/>
      <c r="R56" s="40" t="s">
        <v>48</v>
      </c>
      <c r="S56" s="40" t="s">
        <v>48</v>
      </c>
      <c r="T56" s="41" t="s">
        <v>0</v>
      </c>
      <c r="U56" s="59">
        <v>225</v>
      </c>
      <c r="V56" s="56">
        <f>IFERROR(IF(U56="",0,CEILING((U56/$H56),1)*$H56),"")</f>
        <v>225</v>
      </c>
      <c r="W56" s="42">
        <f>IFERROR(IF(V56=0,"",ROUNDUP(V56/H56,0)*0.00937),"")</f>
        <v>0.46849999999999997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123</v>
      </c>
      <c r="B57" s="64" t="s">
        <v>124</v>
      </c>
      <c r="C57" s="37">
        <v>4301011458</v>
      </c>
      <c r="D57" s="316">
        <v>4680115881525</v>
      </c>
      <c r="E57" s="31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116</v>
      </c>
      <c r="L57" s="38">
        <v>50</v>
      </c>
      <c r="M57" s="549" t="s">
        <v>125</v>
      </c>
      <c r="N57" s="318"/>
      <c r="O57" s="318"/>
      <c r="P57" s="318"/>
      <c r="Q57" s="319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x14ac:dyDescent="0.2">
      <c r="A58" s="314"/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25"/>
      <c r="M58" s="322" t="s">
        <v>43</v>
      </c>
      <c r="N58" s="323"/>
      <c r="O58" s="323"/>
      <c r="P58" s="323"/>
      <c r="Q58" s="323"/>
      <c r="R58" s="323"/>
      <c r="S58" s="324"/>
      <c r="T58" s="43" t="s">
        <v>42</v>
      </c>
      <c r="U58" s="44">
        <f>IFERROR(U55/H55,"0")+IFERROR(U56/H56,"0")+IFERROR(U57/H57,"0")</f>
        <v>63.888888888888886</v>
      </c>
      <c r="V58" s="44">
        <f>IFERROR(V55/H55,"0")+IFERROR(V56/H56,"0")+IFERROR(V57/H57,"0")</f>
        <v>64</v>
      </c>
      <c r="W58" s="44">
        <f>IFERROR(IF(W55="",0,W55),"0")+IFERROR(IF(W56="",0,W56),"0")+IFERROR(IF(W57="",0,W57),"0")</f>
        <v>0.77299999999999991</v>
      </c>
      <c r="X58" s="68"/>
      <c r="Y58" s="68"/>
    </row>
    <row r="59" spans="1:29" x14ac:dyDescent="0.2">
      <c r="A59" s="314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25"/>
      <c r="M59" s="322" t="s">
        <v>43</v>
      </c>
      <c r="N59" s="323"/>
      <c r="O59" s="323"/>
      <c r="P59" s="323"/>
      <c r="Q59" s="323"/>
      <c r="R59" s="323"/>
      <c r="S59" s="324"/>
      <c r="T59" s="43" t="s">
        <v>0</v>
      </c>
      <c r="U59" s="44">
        <f>IFERROR(SUM(U55:U57),"0")</f>
        <v>375</v>
      </c>
      <c r="V59" s="44">
        <f>IFERROR(SUM(V55:V57),"0")</f>
        <v>376.20000000000005</v>
      </c>
      <c r="W59" s="43"/>
      <c r="X59" s="68"/>
      <c r="Y59" s="68"/>
    </row>
    <row r="60" spans="1:29" ht="16.5" customHeight="1" x14ac:dyDescent="0.25">
      <c r="A60" s="332" t="s">
        <v>111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66"/>
      <c r="Y60" s="66"/>
    </row>
    <row r="61" spans="1:29" ht="14.25" customHeight="1" x14ac:dyDescent="0.25">
      <c r="A61" s="326" t="s">
        <v>118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67"/>
      <c r="Y61" s="67"/>
    </row>
    <row r="62" spans="1:29" ht="27" customHeight="1" x14ac:dyDescent="0.25">
      <c r="A62" s="64" t="s">
        <v>126</v>
      </c>
      <c r="B62" s="64" t="s">
        <v>127</v>
      </c>
      <c r="C62" s="37">
        <v>4301011191</v>
      </c>
      <c r="D62" s="316">
        <v>4607091382945</v>
      </c>
      <c r="E62" s="31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116</v>
      </c>
      <c r="L62" s="38">
        <v>50</v>
      </c>
      <c r="M62" s="54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318"/>
      <c r="O62" s="318"/>
      <c r="P62" s="318"/>
      <c r="Q62" s="319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ref="V62:V76" si="2">IFERROR(IF(U62="",0,CEILING((U62/$H62),1)*$H62),"")</f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87" t="s">
        <v>65</v>
      </c>
    </row>
    <row r="63" spans="1:29" ht="27" customHeight="1" x14ac:dyDescent="0.25">
      <c r="A63" s="64" t="s">
        <v>128</v>
      </c>
      <c r="B63" s="64" t="s">
        <v>129</v>
      </c>
      <c r="C63" s="37">
        <v>4301011380</v>
      </c>
      <c r="D63" s="316">
        <v>4607091385670</v>
      </c>
      <c r="E63" s="31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116</v>
      </c>
      <c r="L63" s="38">
        <v>50</v>
      </c>
      <c r="M6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318"/>
      <c r="O63" s="318"/>
      <c r="P63" s="318"/>
      <c r="Q63" s="319"/>
      <c r="R63" s="40" t="s">
        <v>48</v>
      </c>
      <c r="S63" s="40" t="s">
        <v>48</v>
      </c>
      <c r="T63" s="41" t="s">
        <v>0</v>
      </c>
      <c r="U63" s="59">
        <v>21.6</v>
      </c>
      <c r="V63" s="56">
        <f t="shared" si="2"/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130</v>
      </c>
      <c r="B64" s="64" t="s">
        <v>131</v>
      </c>
      <c r="C64" s="37">
        <v>4301011468</v>
      </c>
      <c r="D64" s="316">
        <v>4680115881327</v>
      </c>
      <c r="E64" s="31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132</v>
      </c>
      <c r="L64" s="38">
        <v>50</v>
      </c>
      <c r="M64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318"/>
      <c r="O64" s="318"/>
      <c r="P64" s="318"/>
      <c r="Q64" s="319"/>
      <c r="R64" s="40" t="s">
        <v>48</v>
      </c>
      <c r="S64" s="40" t="s">
        <v>48</v>
      </c>
      <c r="T64" s="41" t="s">
        <v>0</v>
      </c>
      <c r="U64" s="59">
        <v>54</v>
      </c>
      <c r="V64" s="56">
        <f t="shared" si="2"/>
        <v>54</v>
      </c>
      <c r="W64" s="42">
        <f>IFERROR(IF(V64=0,"",ROUNDUP(V64/H64,0)*0.02175),"")</f>
        <v>0.10874999999999999</v>
      </c>
      <c r="X64" s="69" t="s">
        <v>48</v>
      </c>
      <c r="Y64" s="70" t="s">
        <v>48</v>
      </c>
      <c r="AC64" s="89" t="s">
        <v>65</v>
      </c>
    </row>
    <row r="65" spans="1:29" ht="16.5" customHeight="1" x14ac:dyDescent="0.25">
      <c r="A65" s="64" t="s">
        <v>133</v>
      </c>
      <c r="B65" s="64" t="s">
        <v>134</v>
      </c>
      <c r="C65" s="37">
        <v>4301011348</v>
      </c>
      <c r="D65" s="316">
        <v>4607091388312</v>
      </c>
      <c r="E65" s="31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116</v>
      </c>
      <c r="L65" s="38">
        <v>45</v>
      </c>
      <c r="M65" s="54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318"/>
      <c r="O65" s="318"/>
      <c r="P65" s="318"/>
      <c r="Q65" s="31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135</v>
      </c>
      <c r="B66" s="64" t="s">
        <v>136</v>
      </c>
      <c r="C66" s="37">
        <v>4301011514</v>
      </c>
      <c r="D66" s="316">
        <v>4680115882133</v>
      </c>
      <c r="E66" s="3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116</v>
      </c>
      <c r="L66" s="38">
        <v>50</v>
      </c>
      <c r="M66" s="538" t="s">
        <v>137</v>
      </c>
      <c r="N66" s="318"/>
      <c r="O66" s="318"/>
      <c r="P66" s="318"/>
      <c r="Q66" s="31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27" customHeight="1" x14ac:dyDescent="0.25">
      <c r="A67" s="64" t="s">
        <v>138</v>
      </c>
      <c r="B67" s="64" t="s">
        <v>139</v>
      </c>
      <c r="C67" s="37">
        <v>4301011192</v>
      </c>
      <c r="D67" s="316">
        <v>4607091382952</v>
      </c>
      <c r="E67" s="31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116</v>
      </c>
      <c r="L67" s="38">
        <v>50</v>
      </c>
      <c r="M67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8"/>
      <c r="O67" s="318"/>
      <c r="P67" s="318"/>
      <c r="Q67" s="319"/>
      <c r="R67" s="40" t="s">
        <v>48</v>
      </c>
      <c r="S67" s="40" t="s">
        <v>48</v>
      </c>
      <c r="T67" s="41" t="s">
        <v>0</v>
      </c>
      <c r="U67" s="59">
        <v>30</v>
      </c>
      <c r="V67" s="56">
        <f t="shared" si="2"/>
        <v>30</v>
      </c>
      <c r="W67" s="42">
        <f>IFERROR(IF(V67=0,"",ROUNDUP(V67/H67,0)*0.00753),"")</f>
        <v>7.5300000000000006E-2</v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140</v>
      </c>
      <c r="B68" s="64" t="s">
        <v>141</v>
      </c>
      <c r="C68" s="37">
        <v>4301011382</v>
      </c>
      <c r="D68" s="316">
        <v>4607091385687</v>
      </c>
      <c r="E68" s="316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142</v>
      </c>
      <c r="L68" s="38">
        <v>50</v>
      </c>
      <c r="M68" s="5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318"/>
      <c r="O68" s="318"/>
      <c r="P68" s="318"/>
      <c r="Q68" s="319"/>
      <c r="R68" s="40" t="s">
        <v>48</v>
      </c>
      <c r="S68" s="40" t="s">
        <v>48</v>
      </c>
      <c r="T68" s="41" t="s">
        <v>0</v>
      </c>
      <c r="U68" s="59">
        <v>92</v>
      </c>
      <c r="V68" s="56">
        <f t="shared" si="2"/>
        <v>92</v>
      </c>
      <c r="W68" s="42">
        <f>IFERROR(IF(V68=0,"",ROUNDUP(V68/H68,0)*0.00937),"")</f>
        <v>0.21551000000000001</v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143</v>
      </c>
      <c r="B69" s="64" t="s">
        <v>144</v>
      </c>
      <c r="C69" s="37">
        <v>4301011565</v>
      </c>
      <c r="D69" s="316">
        <v>4680115882539</v>
      </c>
      <c r="E69" s="316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142</v>
      </c>
      <c r="L69" s="38">
        <v>50</v>
      </c>
      <c r="M69" s="541" t="s">
        <v>145</v>
      </c>
      <c r="N69" s="318"/>
      <c r="O69" s="318"/>
      <c r="P69" s="318"/>
      <c r="Q69" s="319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16">
        <v>4607091384604</v>
      </c>
      <c r="E70" s="31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116</v>
      </c>
      <c r="L70" s="38">
        <v>50</v>
      </c>
      <c r="M70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8"/>
      <c r="O70" s="318"/>
      <c r="P70" s="318"/>
      <c r="Q70" s="31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16">
        <v>4680115880283</v>
      </c>
      <c r="E71" s="31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116</v>
      </c>
      <c r="L71" s="38">
        <v>45</v>
      </c>
      <c r="M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8"/>
      <c r="O71" s="318"/>
      <c r="P71" s="318"/>
      <c r="Q71" s="319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IFERROR(IF(V71=0,"",ROUNDUP(V71/H71,0)*0.00937),"")</f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150</v>
      </c>
      <c r="B72" s="64" t="s">
        <v>151</v>
      </c>
      <c r="C72" s="37">
        <v>4301011414</v>
      </c>
      <c r="D72" s="316">
        <v>4607091381986</v>
      </c>
      <c r="E72" s="316"/>
      <c r="F72" s="63">
        <v>0.5</v>
      </c>
      <c r="G72" s="38">
        <v>10</v>
      </c>
      <c r="H72" s="63">
        <v>5</v>
      </c>
      <c r="I72" s="63">
        <v>5.24</v>
      </c>
      <c r="J72" s="38">
        <v>120</v>
      </c>
      <c r="K72" s="39" t="s">
        <v>116</v>
      </c>
      <c r="L72" s="38">
        <v>45</v>
      </c>
      <c r="M72" s="53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2" s="318"/>
      <c r="O72" s="318"/>
      <c r="P72" s="318"/>
      <c r="Q72" s="319"/>
      <c r="R72" s="40" t="s">
        <v>48</v>
      </c>
      <c r="S72" s="40" t="s">
        <v>48</v>
      </c>
      <c r="T72" s="41" t="s">
        <v>0</v>
      </c>
      <c r="U72" s="59">
        <v>100</v>
      </c>
      <c r="V72" s="56">
        <f t="shared" si="2"/>
        <v>100</v>
      </c>
      <c r="W72" s="42">
        <f>IFERROR(IF(V72=0,"",ROUNDUP(V72/H72,0)*0.00937),"")</f>
        <v>0.18740000000000001</v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152</v>
      </c>
      <c r="B73" s="64" t="s">
        <v>153</v>
      </c>
      <c r="C73" s="37">
        <v>4301011352</v>
      </c>
      <c r="D73" s="316">
        <v>4607091388466</v>
      </c>
      <c r="E73" s="316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9" t="s">
        <v>142</v>
      </c>
      <c r="L73" s="38">
        <v>45</v>
      </c>
      <c r="M73" s="53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3" s="318"/>
      <c r="O73" s="318"/>
      <c r="P73" s="318"/>
      <c r="Q73" s="31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IFERROR(IF(V73=0,"",ROUNDUP(V73/H73,0)*0.00753),"")</f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154</v>
      </c>
      <c r="B74" s="64" t="s">
        <v>155</v>
      </c>
      <c r="C74" s="37">
        <v>4301011417</v>
      </c>
      <c r="D74" s="316">
        <v>4680115880269</v>
      </c>
      <c r="E74" s="316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9" t="s">
        <v>142</v>
      </c>
      <c r="L74" s="38">
        <v>50</v>
      </c>
      <c r="M74" s="5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4" s="318"/>
      <c r="O74" s="318"/>
      <c r="P74" s="318"/>
      <c r="Q74" s="319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99" t="s">
        <v>65</v>
      </c>
    </row>
    <row r="75" spans="1:29" ht="16.5" customHeight="1" x14ac:dyDescent="0.25">
      <c r="A75" s="64" t="s">
        <v>156</v>
      </c>
      <c r="B75" s="64" t="s">
        <v>157</v>
      </c>
      <c r="C75" s="37">
        <v>4301011415</v>
      </c>
      <c r="D75" s="316">
        <v>4680115880429</v>
      </c>
      <c r="E75" s="31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9" t="s">
        <v>142</v>
      </c>
      <c r="L75" s="38">
        <v>50</v>
      </c>
      <c r="M75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5" s="318"/>
      <c r="O75" s="318"/>
      <c r="P75" s="318"/>
      <c r="Q75" s="319"/>
      <c r="R75" s="40" t="s">
        <v>48</v>
      </c>
      <c r="S75" s="40" t="s">
        <v>48</v>
      </c>
      <c r="T75" s="41" t="s">
        <v>0</v>
      </c>
      <c r="U75" s="59">
        <v>117</v>
      </c>
      <c r="V75" s="56">
        <f t="shared" si="2"/>
        <v>117</v>
      </c>
      <c r="W75" s="42">
        <f>IFERROR(IF(V75=0,"",ROUNDUP(V75/H75,0)*0.00937),"")</f>
        <v>0.24362</v>
      </c>
      <c r="X75" s="69" t="s">
        <v>48</v>
      </c>
      <c r="Y75" s="70" t="s">
        <v>48</v>
      </c>
      <c r="AC75" s="100" t="s">
        <v>65</v>
      </c>
    </row>
    <row r="76" spans="1:29" ht="16.5" customHeight="1" x14ac:dyDescent="0.25">
      <c r="A76" s="64" t="s">
        <v>158</v>
      </c>
      <c r="B76" s="64" t="s">
        <v>159</v>
      </c>
      <c r="C76" s="37">
        <v>4301011462</v>
      </c>
      <c r="D76" s="316">
        <v>4680115881457</v>
      </c>
      <c r="E76" s="316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9" t="s">
        <v>142</v>
      </c>
      <c r="L76" s="38">
        <v>50</v>
      </c>
      <c r="M76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6" s="318"/>
      <c r="O76" s="318"/>
      <c r="P76" s="318"/>
      <c r="Q76" s="319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x14ac:dyDescent="0.2">
      <c r="A77" s="314"/>
      <c r="B77" s="314"/>
      <c r="C77" s="314"/>
      <c r="D77" s="314"/>
      <c r="E77" s="314"/>
      <c r="F77" s="314"/>
      <c r="G77" s="314"/>
      <c r="H77" s="314"/>
      <c r="I77" s="314"/>
      <c r="J77" s="314"/>
      <c r="K77" s="314"/>
      <c r="L77" s="325"/>
      <c r="M77" s="322" t="s">
        <v>43</v>
      </c>
      <c r="N77" s="323"/>
      <c r="O77" s="323"/>
      <c r="P77" s="323"/>
      <c r="Q77" s="323"/>
      <c r="R77" s="323"/>
      <c r="S77" s="324"/>
      <c r="T77" s="43" t="s">
        <v>42</v>
      </c>
      <c r="U77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</f>
        <v>86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86</v>
      </c>
      <c r="W77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</f>
        <v>0.87407999999999997</v>
      </c>
      <c r="X77" s="68"/>
      <c r="Y77" s="68"/>
    </row>
    <row r="78" spans="1:29" x14ac:dyDescent="0.2">
      <c r="A78" s="314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25"/>
      <c r="M78" s="322" t="s">
        <v>43</v>
      </c>
      <c r="N78" s="323"/>
      <c r="O78" s="323"/>
      <c r="P78" s="323"/>
      <c r="Q78" s="323"/>
      <c r="R78" s="323"/>
      <c r="S78" s="324"/>
      <c r="T78" s="43" t="s">
        <v>0</v>
      </c>
      <c r="U78" s="44">
        <f>IFERROR(SUM(U62:U76),"0")</f>
        <v>414.6</v>
      </c>
      <c r="V78" s="44">
        <f>IFERROR(SUM(V62:V76),"0")</f>
        <v>414.6</v>
      </c>
      <c r="W78" s="43"/>
      <c r="X78" s="68"/>
      <c r="Y78" s="68"/>
    </row>
    <row r="79" spans="1:29" ht="14.25" customHeight="1" x14ac:dyDescent="0.25">
      <c r="A79" s="326" t="s">
        <v>113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67"/>
      <c r="Y79" s="67"/>
    </row>
    <row r="80" spans="1:29" ht="16.5" customHeight="1" x14ac:dyDescent="0.25">
      <c r="A80" s="64" t="s">
        <v>160</v>
      </c>
      <c r="B80" s="64" t="s">
        <v>161</v>
      </c>
      <c r="C80" s="37">
        <v>4301020204</v>
      </c>
      <c r="D80" s="316">
        <v>4607091388442</v>
      </c>
      <c r="E80" s="316"/>
      <c r="F80" s="63">
        <v>1.35</v>
      </c>
      <c r="G80" s="38">
        <v>8</v>
      </c>
      <c r="H80" s="63">
        <v>10.8</v>
      </c>
      <c r="I80" s="63">
        <v>11.28</v>
      </c>
      <c r="J80" s="38">
        <v>56</v>
      </c>
      <c r="K80" s="39" t="s">
        <v>116</v>
      </c>
      <c r="L80" s="38">
        <v>45</v>
      </c>
      <c r="M80" s="53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0" s="318"/>
      <c r="O80" s="318"/>
      <c r="P80" s="318"/>
      <c r="Q80" s="319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ref="V80:V85" si="3">IFERROR(IF(U80="",0,CEILING((U80/$H80),1)*$H80),"")</f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102" t="s">
        <v>65</v>
      </c>
    </row>
    <row r="81" spans="1:29" ht="27" customHeight="1" x14ac:dyDescent="0.25">
      <c r="A81" s="64" t="s">
        <v>162</v>
      </c>
      <c r="B81" s="64" t="s">
        <v>163</v>
      </c>
      <c r="C81" s="37">
        <v>4301020189</v>
      </c>
      <c r="D81" s="316">
        <v>4607091384789</v>
      </c>
      <c r="E81" s="316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116</v>
      </c>
      <c r="L81" s="38">
        <v>45</v>
      </c>
      <c r="M81" s="532" t="s">
        <v>164</v>
      </c>
      <c r="N81" s="318"/>
      <c r="O81" s="318"/>
      <c r="P81" s="318"/>
      <c r="Q81" s="319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103" t="s">
        <v>65</v>
      </c>
    </row>
    <row r="82" spans="1:29" ht="16.5" customHeight="1" x14ac:dyDescent="0.25">
      <c r="A82" s="64" t="s">
        <v>165</v>
      </c>
      <c r="B82" s="64" t="s">
        <v>166</v>
      </c>
      <c r="C82" s="37">
        <v>4301020235</v>
      </c>
      <c r="D82" s="316">
        <v>4680115881488</v>
      </c>
      <c r="E82" s="316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116</v>
      </c>
      <c r="L82" s="38">
        <v>50</v>
      </c>
      <c r="M82" s="5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8"/>
      <c r="O82" s="318"/>
      <c r="P82" s="318"/>
      <c r="Q82" s="319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167</v>
      </c>
      <c r="B83" s="64" t="s">
        <v>168</v>
      </c>
      <c r="C83" s="37">
        <v>4301020183</v>
      </c>
      <c r="D83" s="316">
        <v>4607091384765</v>
      </c>
      <c r="E83" s="316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116</v>
      </c>
      <c r="L83" s="38">
        <v>45</v>
      </c>
      <c r="M83" s="527" t="s">
        <v>169</v>
      </c>
      <c r="N83" s="318"/>
      <c r="O83" s="318"/>
      <c r="P83" s="318"/>
      <c r="Q83" s="319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3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170</v>
      </c>
      <c r="B84" s="64" t="s">
        <v>171</v>
      </c>
      <c r="C84" s="37">
        <v>4301020217</v>
      </c>
      <c r="D84" s="316">
        <v>4680115880658</v>
      </c>
      <c r="E84" s="316"/>
      <c r="F84" s="63">
        <v>0.4</v>
      </c>
      <c r="G84" s="38">
        <v>6</v>
      </c>
      <c r="H84" s="63">
        <v>2.4</v>
      </c>
      <c r="I84" s="63">
        <v>2.6</v>
      </c>
      <c r="J84" s="38">
        <v>156</v>
      </c>
      <c r="K84" s="39" t="s">
        <v>116</v>
      </c>
      <c r="L84" s="38">
        <v>50</v>
      </c>
      <c r="M84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4" s="318"/>
      <c r="O84" s="318"/>
      <c r="P84" s="318"/>
      <c r="Q84" s="31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3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172</v>
      </c>
      <c r="B85" s="64" t="s">
        <v>173</v>
      </c>
      <c r="C85" s="37">
        <v>4301020223</v>
      </c>
      <c r="D85" s="316">
        <v>4607091381962</v>
      </c>
      <c r="E85" s="316"/>
      <c r="F85" s="63">
        <v>0.5</v>
      </c>
      <c r="G85" s="38">
        <v>6</v>
      </c>
      <c r="H85" s="63">
        <v>3</v>
      </c>
      <c r="I85" s="63">
        <v>3.2</v>
      </c>
      <c r="J85" s="38">
        <v>156</v>
      </c>
      <c r="K85" s="39" t="s">
        <v>116</v>
      </c>
      <c r="L85" s="38">
        <v>50</v>
      </c>
      <c r="M85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5" s="318"/>
      <c r="O85" s="318"/>
      <c r="P85" s="318"/>
      <c r="Q85" s="319"/>
      <c r="R85" s="40" t="s">
        <v>48</v>
      </c>
      <c r="S85" s="40" t="s">
        <v>48</v>
      </c>
      <c r="T85" s="41" t="s">
        <v>0</v>
      </c>
      <c r="U85" s="59">
        <v>15</v>
      </c>
      <c r="V85" s="56">
        <f t="shared" si="3"/>
        <v>15</v>
      </c>
      <c r="W85" s="42">
        <f>IFERROR(IF(V85=0,"",ROUNDUP(V85/H85,0)*0.00753),"")</f>
        <v>3.7650000000000003E-2</v>
      </c>
      <c r="X85" s="69" t="s">
        <v>48</v>
      </c>
      <c r="Y85" s="70" t="s">
        <v>48</v>
      </c>
      <c r="AC85" s="107" t="s">
        <v>65</v>
      </c>
    </row>
    <row r="86" spans="1:29" x14ac:dyDescent="0.2">
      <c r="A86" s="314"/>
      <c r="B86" s="314"/>
      <c r="C86" s="314"/>
      <c r="D86" s="314"/>
      <c r="E86" s="314"/>
      <c r="F86" s="314"/>
      <c r="G86" s="314"/>
      <c r="H86" s="314"/>
      <c r="I86" s="314"/>
      <c r="J86" s="314"/>
      <c r="K86" s="314"/>
      <c r="L86" s="325"/>
      <c r="M86" s="322" t="s">
        <v>43</v>
      </c>
      <c r="N86" s="323"/>
      <c r="O86" s="323"/>
      <c r="P86" s="323"/>
      <c r="Q86" s="323"/>
      <c r="R86" s="323"/>
      <c r="S86" s="324"/>
      <c r="T86" s="43" t="s">
        <v>42</v>
      </c>
      <c r="U86" s="44">
        <f>IFERROR(U80/H80,"0")+IFERROR(U81/H81,"0")+IFERROR(U82/H82,"0")+IFERROR(U83/H83,"0")+IFERROR(U84/H84,"0")+IFERROR(U85/H85,"0")</f>
        <v>5</v>
      </c>
      <c r="V86" s="44">
        <f>IFERROR(V80/H80,"0")+IFERROR(V81/H81,"0")+IFERROR(V82/H82,"0")+IFERROR(V83/H83,"0")+IFERROR(V84/H84,"0")+IFERROR(V85/H85,"0")</f>
        <v>5</v>
      </c>
      <c r="W86" s="44">
        <f>IFERROR(IF(W80="",0,W80),"0")+IFERROR(IF(W81="",0,W81),"0")+IFERROR(IF(W82="",0,W82),"0")+IFERROR(IF(W83="",0,W83),"0")+IFERROR(IF(W84="",0,W84),"0")+IFERROR(IF(W85="",0,W85),"0")</f>
        <v>3.7650000000000003E-2</v>
      </c>
      <c r="X86" s="68"/>
      <c r="Y86" s="68"/>
    </row>
    <row r="87" spans="1:29" x14ac:dyDescent="0.2">
      <c r="A87" s="314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25"/>
      <c r="M87" s="322" t="s">
        <v>43</v>
      </c>
      <c r="N87" s="323"/>
      <c r="O87" s="323"/>
      <c r="P87" s="323"/>
      <c r="Q87" s="323"/>
      <c r="R87" s="323"/>
      <c r="S87" s="324"/>
      <c r="T87" s="43" t="s">
        <v>0</v>
      </c>
      <c r="U87" s="44">
        <f>IFERROR(SUM(U80:U85),"0")</f>
        <v>15</v>
      </c>
      <c r="V87" s="44">
        <f>IFERROR(SUM(V80:V85),"0")</f>
        <v>15</v>
      </c>
      <c r="W87" s="43"/>
      <c r="X87" s="68"/>
      <c r="Y87" s="68"/>
    </row>
    <row r="88" spans="1:29" ht="14.25" customHeight="1" x14ac:dyDescent="0.25">
      <c r="A88" s="326" t="s">
        <v>77</v>
      </c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67"/>
      <c r="Y88" s="67"/>
    </row>
    <row r="89" spans="1:29" ht="16.5" customHeight="1" x14ac:dyDescent="0.25">
      <c r="A89" s="64" t="s">
        <v>174</v>
      </c>
      <c r="B89" s="64" t="s">
        <v>175</v>
      </c>
      <c r="C89" s="37">
        <v>4301030895</v>
      </c>
      <c r="D89" s="316">
        <v>4607091387667</v>
      </c>
      <c r="E89" s="316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116</v>
      </c>
      <c r="L89" s="38">
        <v>40</v>
      </c>
      <c r="M89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9" s="318"/>
      <c r="O89" s="318"/>
      <c r="P89" s="318"/>
      <c r="Q89" s="319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ref="V89:V97" si="4">IFERROR(IF(U89="",0,CEILING((U89/$H89),1)*$H89),"")</f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108" t="s">
        <v>65</v>
      </c>
    </row>
    <row r="90" spans="1:29" ht="27" customHeight="1" x14ac:dyDescent="0.25">
      <c r="A90" s="64" t="s">
        <v>176</v>
      </c>
      <c r="B90" s="64" t="s">
        <v>177</v>
      </c>
      <c r="C90" s="37">
        <v>4301030961</v>
      </c>
      <c r="D90" s="316">
        <v>4607091387636</v>
      </c>
      <c r="E90" s="316"/>
      <c r="F90" s="63">
        <v>0.7</v>
      </c>
      <c r="G90" s="38">
        <v>6</v>
      </c>
      <c r="H90" s="63">
        <v>4.2</v>
      </c>
      <c r="I90" s="63">
        <v>4.5</v>
      </c>
      <c r="J90" s="38">
        <v>120</v>
      </c>
      <c r="K90" s="39" t="s">
        <v>81</v>
      </c>
      <c r="L90" s="38">
        <v>40</v>
      </c>
      <c r="M90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0" s="318"/>
      <c r="O90" s="318"/>
      <c r="P90" s="318"/>
      <c r="Q90" s="319"/>
      <c r="R90" s="40" t="s">
        <v>48</v>
      </c>
      <c r="S90" s="40" t="s">
        <v>48</v>
      </c>
      <c r="T90" s="41" t="s">
        <v>0</v>
      </c>
      <c r="U90" s="59">
        <v>16</v>
      </c>
      <c r="V90" s="56">
        <f t="shared" si="4"/>
        <v>16.8</v>
      </c>
      <c r="W90" s="42">
        <f>IFERROR(IF(V90=0,"",ROUNDUP(V90/H90,0)*0.00937),"")</f>
        <v>3.7479999999999999E-2</v>
      </c>
      <c r="X90" s="69" t="s">
        <v>48</v>
      </c>
      <c r="Y90" s="70" t="s">
        <v>48</v>
      </c>
      <c r="AC90" s="109" t="s">
        <v>65</v>
      </c>
    </row>
    <row r="91" spans="1:29" ht="27" customHeight="1" x14ac:dyDescent="0.25">
      <c r="A91" s="64" t="s">
        <v>178</v>
      </c>
      <c r="B91" s="64" t="s">
        <v>179</v>
      </c>
      <c r="C91" s="37">
        <v>4301031078</v>
      </c>
      <c r="D91" s="316">
        <v>4607091384727</v>
      </c>
      <c r="E91" s="316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81</v>
      </c>
      <c r="L91" s="38">
        <v>45</v>
      </c>
      <c r="M91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1" s="318"/>
      <c r="O91" s="318"/>
      <c r="P91" s="318"/>
      <c r="Q91" s="319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180</v>
      </c>
      <c r="B92" s="64" t="s">
        <v>181</v>
      </c>
      <c r="C92" s="37">
        <v>4301031080</v>
      </c>
      <c r="D92" s="316">
        <v>4607091386745</v>
      </c>
      <c r="E92" s="316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9" t="s">
        <v>81</v>
      </c>
      <c r="L92" s="38">
        <v>45</v>
      </c>
      <c r="M92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2" s="318"/>
      <c r="O92" s="318"/>
      <c r="P92" s="318"/>
      <c r="Q92" s="31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4"/>
        <v>0</v>
      </c>
      <c r="W92" s="42" t="str">
        <f>IFERROR(IF(V92=0,"",ROUNDUP(V92/H92,0)*0.01196),"")</f>
        <v/>
      </c>
      <c r="X92" s="69" t="s">
        <v>48</v>
      </c>
      <c r="Y92" s="70" t="s">
        <v>48</v>
      </c>
      <c r="AC92" s="111" t="s">
        <v>65</v>
      </c>
    </row>
    <row r="93" spans="1:29" ht="16.5" customHeight="1" x14ac:dyDescent="0.25">
      <c r="A93" s="64" t="s">
        <v>182</v>
      </c>
      <c r="B93" s="64" t="s">
        <v>183</v>
      </c>
      <c r="C93" s="37">
        <v>4301030963</v>
      </c>
      <c r="D93" s="316">
        <v>4607091382426</v>
      </c>
      <c r="E93" s="31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81</v>
      </c>
      <c r="L93" s="38">
        <v>40</v>
      </c>
      <c r="M93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3" s="318"/>
      <c r="O93" s="318"/>
      <c r="P93" s="318"/>
      <c r="Q93" s="319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4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184</v>
      </c>
      <c r="B94" s="64" t="s">
        <v>185</v>
      </c>
      <c r="C94" s="37">
        <v>4301030962</v>
      </c>
      <c r="D94" s="316">
        <v>4607091386547</v>
      </c>
      <c r="E94" s="316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9" t="s">
        <v>81</v>
      </c>
      <c r="L94" s="38">
        <v>40</v>
      </c>
      <c r="M94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4" s="318"/>
      <c r="O94" s="318"/>
      <c r="P94" s="318"/>
      <c r="Q94" s="31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186</v>
      </c>
      <c r="B95" s="64" t="s">
        <v>187</v>
      </c>
      <c r="C95" s="37">
        <v>4301031077</v>
      </c>
      <c r="D95" s="316">
        <v>4607091384703</v>
      </c>
      <c r="E95" s="316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81</v>
      </c>
      <c r="L95" s="38">
        <v>45</v>
      </c>
      <c r="M95" s="51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5" s="318"/>
      <c r="O95" s="318"/>
      <c r="P95" s="318"/>
      <c r="Q95" s="31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188</v>
      </c>
      <c r="B96" s="64" t="s">
        <v>189</v>
      </c>
      <c r="C96" s="37">
        <v>4301031079</v>
      </c>
      <c r="D96" s="316">
        <v>4607091384734</v>
      </c>
      <c r="E96" s="316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9" t="s">
        <v>81</v>
      </c>
      <c r="L96" s="38">
        <v>45</v>
      </c>
      <c r="M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6" s="318"/>
      <c r="O96" s="318"/>
      <c r="P96" s="318"/>
      <c r="Q96" s="31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190</v>
      </c>
      <c r="B97" s="64" t="s">
        <v>191</v>
      </c>
      <c r="C97" s="37">
        <v>4301030964</v>
      </c>
      <c r="D97" s="316">
        <v>4607091382464</v>
      </c>
      <c r="E97" s="316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9" t="s">
        <v>81</v>
      </c>
      <c r="L97" s="38">
        <v>40</v>
      </c>
      <c r="M97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7" s="318"/>
      <c r="O97" s="318"/>
      <c r="P97" s="318"/>
      <c r="Q97" s="319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4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x14ac:dyDescent="0.2">
      <c r="A98" s="314"/>
      <c r="B98" s="314"/>
      <c r="C98" s="314"/>
      <c r="D98" s="314"/>
      <c r="E98" s="314"/>
      <c r="F98" s="314"/>
      <c r="G98" s="314"/>
      <c r="H98" s="314"/>
      <c r="I98" s="314"/>
      <c r="J98" s="314"/>
      <c r="K98" s="314"/>
      <c r="L98" s="325"/>
      <c r="M98" s="322" t="s">
        <v>43</v>
      </c>
      <c r="N98" s="323"/>
      <c r="O98" s="323"/>
      <c r="P98" s="323"/>
      <c r="Q98" s="323"/>
      <c r="R98" s="323"/>
      <c r="S98" s="324"/>
      <c r="T98" s="43" t="s">
        <v>42</v>
      </c>
      <c r="U98" s="44">
        <f>IFERROR(U89/H89,"0")+IFERROR(U90/H90,"0")+IFERROR(U91/H91,"0")+IFERROR(U92/H92,"0")+IFERROR(U93/H93,"0")+IFERROR(U94/H94,"0")+IFERROR(U95/H95,"0")+IFERROR(U96/H96,"0")+IFERROR(U97/H97,"0")</f>
        <v>3.8095238095238093</v>
      </c>
      <c r="V98" s="44">
        <f>IFERROR(V89/H89,"0")+IFERROR(V90/H90,"0")+IFERROR(V91/H91,"0")+IFERROR(V92/H92,"0")+IFERROR(V93/H93,"0")+IFERROR(V94/H94,"0")+IFERROR(V95/H95,"0")+IFERROR(V96/H96,"0")+IFERROR(V97/H97,"0")</f>
        <v>4</v>
      </c>
      <c r="W98" s="44">
        <f>IFERROR(IF(W89="",0,W89),"0")+IFERROR(IF(W90="",0,W90),"0")+IFERROR(IF(W91="",0,W91),"0")+IFERROR(IF(W92="",0,W92),"0")+IFERROR(IF(W93="",0,W93),"0")+IFERROR(IF(W94="",0,W94),"0")+IFERROR(IF(W95="",0,W95),"0")+IFERROR(IF(W96="",0,W96),"0")+IFERROR(IF(W97="",0,W97),"0")</f>
        <v>3.7479999999999999E-2</v>
      </c>
      <c r="X98" s="68"/>
      <c r="Y98" s="68"/>
    </row>
    <row r="99" spans="1:29" x14ac:dyDescent="0.2">
      <c r="A99" s="314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25"/>
      <c r="M99" s="322" t="s">
        <v>43</v>
      </c>
      <c r="N99" s="323"/>
      <c r="O99" s="323"/>
      <c r="P99" s="323"/>
      <c r="Q99" s="323"/>
      <c r="R99" s="323"/>
      <c r="S99" s="324"/>
      <c r="T99" s="43" t="s">
        <v>0</v>
      </c>
      <c r="U99" s="44">
        <f>IFERROR(SUM(U89:U97),"0")</f>
        <v>16</v>
      </c>
      <c r="V99" s="44">
        <f>IFERROR(SUM(V89:V97),"0")</f>
        <v>16.8</v>
      </c>
      <c r="W99" s="43"/>
      <c r="X99" s="68"/>
      <c r="Y99" s="68"/>
    </row>
    <row r="100" spans="1:29" ht="14.25" customHeight="1" x14ac:dyDescent="0.25">
      <c r="A100" s="326" t="s">
        <v>82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67"/>
      <c r="Y100" s="67"/>
    </row>
    <row r="101" spans="1:29" ht="27" customHeight="1" x14ac:dyDescent="0.25">
      <c r="A101" s="64" t="s">
        <v>192</v>
      </c>
      <c r="B101" s="64" t="s">
        <v>193</v>
      </c>
      <c r="C101" s="37">
        <v>4301051437</v>
      </c>
      <c r="D101" s="316">
        <v>4607091386967</v>
      </c>
      <c r="E101" s="316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142</v>
      </c>
      <c r="L101" s="38">
        <v>45</v>
      </c>
      <c r="M101" s="514" t="s">
        <v>194</v>
      </c>
      <c r="N101" s="318"/>
      <c r="O101" s="318"/>
      <c r="P101" s="318"/>
      <c r="Q101" s="319"/>
      <c r="R101" s="40" t="s">
        <v>48</v>
      </c>
      <c r="S101" s="40" t="s">
        <v>48</v>
      </c>
      <c r="T101" s="41" t="s">
        <v>0</v>
      </c>
      <c r="U101" s="59">
        <v>24</v>
      </c>
      <c r="V101" s="56">
        <f t="shared" ref="V101:V107" si="5">IFERROR(IF(U101="",0,CEILING((U101/$H101),1)*$H101),"")</f>
        <v>24.299999999999997</v>
      </c>
      <c r="W101" s="42">
        <f>IFERROR(IF(V101=0,"",ROUNDUP(V101/H101,0)*0.02175),"")</f>
        <v>6.5250000000000002E-2</v>
      </c>
      <c r="X101" s="69" t="s">
        <v>48</v>
      </c>
      <c r="Y101" s="70" t="s">
        <v>48</v>
      </c>
      <c r="AC101" s="117" t="s">
        <v>65</v>
      </c>
    </row>
    <row r="102" spans="1:29" ht="16.5" customHeight="1" x14ac:dyDescent="0.25">
      <c r="A102" s="64" t="s">
        <v>195</v>
      </c>
      <c r="B102" s="64" t="s">
        <v>196</v>
      </c>
      <c r="C102" s="37">
        <v>4301051311</v>
      </c>
      <c r="D102" s="316">
        <v>4607091385304</v>
      </c>
      <c r="E102" s="316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9" t="s">
        <v>81</v>
      </c>
      <c r="L102" s="38">
        <v>40</v>
      </c>
      <c r="M102" s="51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318"/>
      <c r="O102" s="318"/>
      <c r="P102" s="318"/>
      <c r="Q102" s="319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5"/>
        <v>0</v>
      </c>
      <c r="W102" s="42" t="str">
        <f>IFERROR(IF(V102=0,"",ROUNDUP(V102/H102,0)*0.02175),"")</f>
        <v/>
      </c>
      <c r="X102" s="69" t="s">
        <v>48</v>
      </c>
      <c r="Y102" s="70" t="s">
        <v>48</v>
      </c>
      <c r="AC102" s="118" t="s">
        <v>65</v>
      </c>
    </row>
    <row r="103" spans="1:29" ht="16.5" customHeight="1" x14ac:dyDescent="0.25">
      <c r="A103" s="64" t="s">
        <v>197</v>
      </c>
      <c r="B103" s="64" t="s">
        <v>198</v>
      </c>
      <c r="C103" s="37">
        <v>4301051306</v>
      </c>
      <c r="D103" s="316">
        <v>4607091386264</v>
      </c>
      <c r="E103" s="316"/>
      <c r="F103" s="63">
        <v>0.5</v>
      </c>
      <c r="G103" s="38">
        <v>6</v>
      </c>
      <c r="H103" s="63">
        <v>3</v>
      </c>
      <c r="I103" s="63">
        <v>3.278</v>
      </c>
      <c r="J103" s="38">
        <v>156</v>
      </c>
      <c r="K103" s="39" t="s">
        <v>81</v>
      </c>
      <c r="L103" s="38">
        <v>31</v>
      </c>
      <c r="M103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318"/>
      <c r="O103" s="318"/>
      <c r="P103" s="318"/>
      <c r="Q103" s="319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5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119" t="s">
        <v>65</v>
      </c>
    </row>
    <row r="104" spans="1:29" ht="27" customHeight="1" x14ac:dyDescent="0.25">
      <c r="A104" s="64" t="s">
        <v>199</v>
      </c>
      <c r="B104" s="64" t="s">
        <v>200</v>
      </c>
      <c r="C104" s="37">
        <v>4301051436</v>
      </c>
      <c r="D104" s="316">
        <v>4607091385731</v>
      </c>
      <c r="E104" s="316"/>
      <c r="F104" s="63">
        <v>0.45</v>
      </c>
      <c r="G104" s="38">
        <v>6</v>
      </c>
      <c r="H104" s="63">
        <v>2.7</v>
      </c>
      <c r="I104" s="63">
        <v>2.972</v>
      </c>
      <c r="J104" s="38">
        <v>156</v>
      </c>
      <c r="K104" s="39" t="s">
        <v>142</v>
      </c>
      <c r="L104" s="38">
        <v>45</v>
      </c>
      <c r="M104" s="510" t="s">
        <v>201</v>
      </c>
      <c r="N104" s="318"/>
      <c r="O104" s="318"/>
      <c r="P104" s="318"/>
      <c r="Q104" s="319"/>
      <c r="R104" s="40" t="s">
        <v>48</v>
      </c>
      <c r="S104" s="40" t="s">
        <v>48</v>
      </c>
      <c r="T104" s="41" t="s">
        <v>0</v>
      </c>
      <c r="U104" s="59">
        <v>32</v>
      </c>
      <c r="V104" s="56">
        <f t="shared" si="5"/>
        <v>32.400000000000006</v>
      </c>
      <c r="W104" s="42">
        <f>IFERROR(IF(V104=0,"",ROUNDUP(V104/H104,0)*0.00753),"")</f>
        <v>9.0359999999999996E-2</v>
      </c>
      <c r="X104" s="69" t="s">
        <v>48</v>
      </c>
      <c r="Y104" s="70" t="s">
        <v>48</v>
      </c>
      <c r="AC104" s="120" t="s">
        <v>65</v>
      </c>
    </row>
    <row r="105" spans="1:29" ht="27" customHeight="1" x14ac:dyDescent="0.25">
      <c r="A105" s="64" t="s">
        <v>202</v>
      </c>
      <c r="B105" s="64" t="s">
        <v>203</v>
      </c>
      <c r="C105" s="37">
        <v>4301051439</v>
      </c>
      <c r="D105" s="316">
        <v>4680115880214</v>
      </c>
      <c r="E105" s="316"/>
      <c r="F105" s="63">
        <v>0.45</v>
      </c>
      <c r="G105" s="38">
        <v>6</v>
      </c>
      <c r="H105" s="63">
        <v>2.7</v>
      </c>
      <c r="I105" s="63">
        <v>2.988</v>
      </c>
      <c r="J105" s="38">
        <v>120</v>
      </c>
      <c r="K105" s="39" t="s">
        <v>142</v>
      </c>
      <c r="L105" s="38">
        <v>45</v>
      </c>
      <c r="M105" s="511" t="s">
        <v>204</v>
      </c>
      <c r="N105" s="318"/>
      <c r="O105" s="318"/>
      <c r="P105" s="318"/>
      <c r="Q105" s="31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IFERROR(IF(V105=0,"",ROUNDUP(V105/H105,0)*0.00937),"")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205</v>
      </c>
      <c r="B106" s="64" t="s">
        <v>206</v>
      </c>
      <c r="C106" s="37">
        <v>4301051438</v>
      </c>
      <c r="D106" s="316">
        <v>4680115880894</v>
      </c>
      <c r="E106" s="316"/>
      <c r="F106" s="63">
        <v>0.33</v>
      </c>
      <c r="G106" s="38">
        <v>6</v>
      </c>
      <c r="H106" s="63">
        <v>1.98</v>
      </c>
      <c r="I106" s="63">
        <v>2.258</v>
      </c>
      <c r="J106" s="38">
        <v>156</v>
      </c>
      <c r="K106" s="39" t="s">
        <v>142</v>
      </c>
      <c r="L106" s="38">
        <v>45</v>
      </c>
      <c r="M106" s="512" t="s">
        <v>207</v>
      </c>
      <c r="N106" s="318"/>
      <c r="O106" s="318"/>
      <c r="P106" s="318"/>
      <c r="Q106" s="319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5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208</v>
      </c>
      <c r="B107" s="64" t="s">
        <v>209</v>
      </c>
      <c r="C107" s="37">
        <v>4301051313</v>
      </c>
      <c r="D107" s="316">
        <v>4607091385427</v>
      </c>
      <c r="E107" s="316"/>
      <c r="F107" s="63">
        <v>0.5</v>
      </c>
      <c r="G107" s="38">
        <v>6</v>
      </c>
      <c r="H107" s="63">
        <v>3</v>
      </c>
      <c r="I107" s="63">
        <v>3.2719999999999998</v>
      </c>
      <c r="J107" s="38">
        <v>156</v>
      </c>
      <c r="K107" s="39" t="s">
        <v>81</v>
      </c>
      <c r="L107" s="38">
        <v>40</v>
      </c>
      <c r="M107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318"/>
      <c r="O107" s="318"/>
      <c r="P107" s="318"/>
      <c r="Q107" s="31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5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x14ac:dyDescent="0.2">
      <c r="A108" s="314"/>
      <c r="B108" s="314"/>
      <c r="C108" s="314"/>
      <c r="D108" s="314"/>
      <c r="E108" s="314"/>
      <c r="F108" s="314"/>
      <c r="G108" s="314"/>
      <c r="H108" s="314"/>
      <c r="I108" s="314"/>
      <c r="J108" s="314"/>
      <c r="K108" s="314"/>
      <c r="L108" s="325"/>
      <c r="M108" s="322" t="s">
        <v>43</v>
      </c>
      <c r="N108" s="323"/>
      <c r="O108" s="323"/>
      <c r="P108" s="323"/>
      <c r="Q108" s="323"/>
      <c r="R108" s="323"/>
      <c r="S108" s="324"/>
      <c r="T108" s="43" t="s">
        <v>42</v>
      </c>
      <c r="U108" s="44">
        <f>IFERROR(U101/H101,"0")+IFERROR(U102/H102,"0")+IFERROR(U103/H103,"0")+IFERROR(U104/H104,"0")+IFERROR(U105/H105,"0")+IFERROR(U106/H106,"0")+IFERROR(U107/H107,"0")</f>
        <v>14.814814814814815</v>
      </c>
      <c r="V108" s="44">
        <f>IFERROR(V101/H101,"0")+IFERROR(V102/H102,"0")+IFERROR(V103/H103,"0")+IFERROR(V104/H104,"0")+IFERROR(V105/H105,"0")+IFERROR(V106/H106,"0")+IFERROR(V107/H107,"0")</f>
        <v>15.000000000000002</v>
      </c>
      <c r="W108" s="44">
        <f>IFERROR(IF(W101="",0,W101),"0")+IFERROR(IF(W102="",0,W102),"0")+IFERROR(IF(W103="",0,W103),"0")+IFERROR(IF(W104="",0,W104),"0")+IFERROR(IF(W105="",0,W105),"0")+IFERROR(IF(W106="",0,W106),"0")+IFERROR(IF(W107="",0,W107),"0")</f>
        <v>0.15561</v>
      </c>
      <c r="X108" s="68"/>
      <c r="Y108" s="68"/>
    </row>
    <row r="109" spans="1:29" x14ac:dyDescent="0.2">
      <c r="A109" s="314"/>
      <c r="B109" s="314"/>
      <c r="C109" s="314"/>
      <c r="D109" s="314"/>
      <c r="E109" s="314"/>
      <c r="F109" s="314"/>
      <c r="G109" s="314"/>
      <c r="H109" s="314"/>
      <c r="I109" s="314"/>
      <c r="J109" s="314"/>
      <c r="K109" s="314"/>
      <c r="L109" s="325"/>
      <c r="M109" s="322" t="s">
        <v>43</v>
      </c>
      <c r="N109" s="323"/>
      <c r="O109" s="323"/>
      <c r="P109" s="323"/>
      <c r="Q109" s="323"/>
      <c r="R109" s="323"/>
      <c r="S109" s="324"/>
      <c r="T109" s="43" t="s">
        <v>0</v>
      </c>
      <c r="U109" s="44">
        <f>IFERROR(SUM(U101:U107),"0")</f>
        <v>56</v>
      </c>
      <c r="V109" s="44">
        <f>IFERROR(SUM(V101:V107),"0")</f>
        <v>56.7</v>
      </c>
      <c r="W109" s="43"/>
      <c r="X109" s="68"/>
      <c r="Y109" s="68"/>
    </row>
    <row r="110" spans="1:29" ht="14.25" customHeight="1" x14ac:dyDescent="0.25">
      <c r="A110" s="326" t="s">
        <v>210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67"/>
      <c r="Y110" s="67"/>
    </row>
    <row r="111" spans="1:29" ht="27" customHeight="1" x14ac:dyDescent="0.25">
      <c r="A111" s="64" t="s">
        <v>211</v>
      </c>
      <c r="B111" s="64" t="s">
        <v>212</v>
      </c>
      <c r="C111" s="37">
        <v>4301060296</v>
      </c>
      <c r="D111" s="316">
        <v>4607091383065</v>
      </c>
      <c r="E111" s="316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81</v>
      </c>
      <c r="L111" s="38">
        <v>30</v>
      </c>
      <c r="M111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8"/>
      <c r="O111" s="318"/>
      <c r="P111" s="318"/>
      <c r="Q111" s="319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124" t="s">
        <v>65</v>
      </c>
    </row>
    <row r="112" spans="1:29" ht="27" customHeight="1" x14ac:dyDescent="0.25">
      <c r="A112" s="64" t="s">
        <v>213</v>
      </c>
      <c r="B112" s="64" t="s">
        <v>214</v>
      </c>
      <c r="C112" s="37">
        <v>4301060282</v>
      </c>
      <c r="D112" s="316">
        <v>4607091380699</v>
      </c>
      <c r="E112" s="316"/>
      <c r="F112" s="63">
        <v>1.3</v>
      </c>
      <c r="G112" s="38">
        <v>6</v>
      </c>
      <c r="H112" s="63">
        <v>7.8</v>
      </c>
      <c r="I112" s="63">
        <v>8.3640000000000008</v>
      </c>
      <c r="J112" s="38">
        <v>56</v>
      </c>
      <c r="K112" s="39" t="s">
        <v>81</v>
      </c>
      <c r="L112" s="38">
        <v>30</v>
      </c>
      <c r="M112" s="50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2" s="318"/>
      <c r="O112" s="318"/>
      <c r="P112" s="318"/>
      <c r="Q112" s="319"/>
      <c r="R112" s="40" t="s">
        <v>48</v>
      </c>
      <c r="S112" s="40" t="s">
        <v>48</v>
      </c>
      <c r="T112" s="41" t="s">
        <v>0</v>
      </c>
      <c r="U112" s="59">
        <v>23</v>
      </c>
      <c r="V112" s="56">
        <f>IFERROR(IF(U112="",0,CEILING((U112/$H112),1)*$H112),"")</f>
        <v>23.4</v>
      </c>
      <c r="W112" s="42">
        <f>IFERROR(IF(V112=0,"",ROUNDUP(V112/H112,0)*0.02175),"")</f>
        <v>6.5250000000000002E-2</v>
      </c>
      <c r="X112" s="69" t="s">
        <v>48</v>
      </c>
      <c r="Y112" s="70" t="s">
        <v>48</v>
      </c>
      <c r="AC112" s="125" t="s">
        <v>65</v>
      </c>
    </row>
    <row r="113" spans="1:29" ht="16.5" customHeight="1" x14ac:dyDescent="0.25">
      <c r="A113" s="64" t="s">
        <v>215</v>
      </c>
      <c r="B113" s="64" t="s">
        <v>216</v>
      </c>
      <c r="C113" s="37">
        <v>4301060309</v>
      </c>
      <c r="D113" s="316">
        <v>4680115880238</v>
      </c>
      <c r="E113" s="31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81</v>
      </c>
      <c r="L113" s="38">
        <v>40</v>
      </c>
      <c r="M113" s="508" t="s">
        <v>217</v>
      </c>
      <c r="N113" s="318"/>
      <c r="O113" s="318"/>
      <c r="P113" s="318"/>
      <c r="Q113" s="319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218</v>
      </c>
      <c r="B114" s="64" t="s">
        <v>219</v>
      </c>
      <c r="C114" s="37">
        <v>4301060351</v>
      </c>
      <c r="D114" s="316">
        <v>4680115881464</v>
      </c>
      <c r="E114" s="316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142</v>
      </c>
      <c r="L114" s="38">
        <v>30</v>
      </c>
      <c r="M114" s="509" t="s">
        <v>220</v>
      </c>
      <c r="N114" s="318"/>
      <c r="O114" s="318"/>
      <c r="P114" s="318"/>
      <c r="Q114" s="319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127" t="s">
        <v>65</v>
      </c>
    </row>
    <row r="115" spans="1:29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25"/>
      <c r="M115" s="322" t="s">
        <v>43</v>
      </c>
      <c r="N115" s="323"/>
      <c r="O115" s="323"/>
      <c r="P115" s="323"/>
      <c r="Q115" s="323"/>
      <c r="R115" s="323"/>
      <c r="S115" s="324"/>
      <c r="T115" s="43" t="s">
        <v>42</v>
      </c>
      <c r="U115" s="44">
        <f>IFERROR(U111/H111,"0")+IFERROR(U112/H112,"0")+IFERROR(U113/H113,"0")+IFERROR(U114/H114,"0")</f>
        <v>2.9487179487179489</v>
      </c>
      <c r="V115" s="44">
        <f>IFERROR(V111/H111,"0")+IFERROR(V112/H112,"0")+IFERROR(V113/H113,"0")+IFERROR(V114/H114,"0")</f>
        <v>3</v>
      </c>
      <c r="W115" s="44">
        <f>IFERROR(IF(W111="",0,W111),"0")+IFERROR(IF(W112="",0,W112),"0")+IFERROR(IF(W113="",0,W113),"0")+IFERROR(IF(W114="",0,W114),"0")</f>
        <v>6.5250000000000002E-2</v>
      </c>
      <c r="X115" s="68"/>
      <c r="Y115" s="68"/>
    </row>
    <row r="116" spans="1:29" x14ac:dyDescent="0.2">
      <c r="A116" s="314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25"/>
      <c r="M116" s="322" t="s">
        <v>43</v>
      </c>
      <c r="N116" s="323"/>
      <c r="O116" s="323"/>
      <c r="P116" s="323"/>
      <c r="Q116" s="323"/>
      <c r="R116" s="323"/>
      <c r="S116" s="324"/>
      <c r="T116" s="43" t="s">
        <v>0</v>
      </c>
      <c r="U116" s="44">
        <f>IFERROR(SUM(U111:U114),"0")</f>
        <v>23</v>
      </c>
      <c r="V116" s="44">
        <f>IFERROR(SUM(V111:V114),"0")</f>
        <v>23.4</v>
      </c>
      <c r="W116" s="43"/>
      <c r="X116" s="68"/>
      <c r="Y116" s="68"/>
    </row>
    <row r="117" spans="1:29" ht="16.5" customHeight="1" x14ac:dyDescent="0.25">
      <c r="A117" s="332" t="s">
        <v>221</v>
      </c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66"/>
      <c r="Y117" s="66"/>
    </row>
    <row r="118" spans="1:29" ht="14.25" customHeight="1" x14ac:dyDescent="0.25">
      <c r="A118" s="326" t="s">
        <v>82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67"/>
      <c r="Y118" s="67"/>
    </row>
    <row r="119" spans="1:29" ht="27" customHeight="1" x14ac:dyDescent="0.25">
      <c r="A119" s="64" t="s">
        <v>222</v>
      </c>
      <c r="B119" s="64" t="s">
        <v>223</v>
      </c>
      <c r="C119" s="37">
        <v>4301051360</v>
      </c>
      <c r="D119" s="316">
        <v>4607091385168</v>
      </c>
      <c r="E119" s="316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142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8"/>
      <c r="O119" s="318"/>
      <c r="P119" s="318"/>
      <c r="Q119" s="319"/>
      <c r="R119" s="40" t="s">
        <v>48</v>
      </c>
      <c r="S119" s="40" t="s">
        <v>48</v>
      </c>
      <c r="T119" s="41" t="s">
        <v>0</v>
      </c>
      <c r="U119" s="59">
        <v>64</v>
      </c>
      <c r="V119" s="56">
        <f>IFERROR(IF(U119="",0,CEILING((U119/$H119),1)*$H119),"")</f>
        <v>64.8</v>
      </c>
      <c r="W119" s="42">
        <f>IFERROR(IF(V119=0,"",ROUNDUP(V119/H119,0)*0.02175),"")</f>
        <v>0.17399999999999999</v>
      </c>
      <c r="X119" s="69" t="s">
        <v>48</v>
      </c>
      <c r="Y119" s="70" t="s">
        <v>48</v>
      </c>
      <c r="AC119" s="128" t="s">
        <v>65</v>
      </c>
    </row>
    <row r="120" spans="1:29" ht="16.5" customHeight="1" x14ac:dyDescent="0.25">
      <c r="A120" s="64" t="s">
        <v>224</v>
      </c>
      <c r="B120" s="64" t="s">
        <v>225</v>
      </c>
      <c r="C120" s="37">
        <v>4301051362</v>
      </c>
      <c r="D120" s="316">
        <v>4607091383256</v>
      </c>
      <c r="E120" s="316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142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8"/>
      <c r="O120" s="318"/>
      <c r="P120" s="318"/>
      <c r="Q120" s="319"/>
      <c r="R120" s="40" t="s">
        <v>48</v>
      </c>
      <c r="S120" s="40" t="s">
        <v>48</v>
      </c>
      <c r="T120" s="41" t="s">
        <v>0</v>
      </c>
      <c r="U120" s="59">
        <v>67</v>
      </c>
      <c r="V120" s="56">
        <f>IFERROR(IF(U120="",0,CEILING((U120/$H120),1)*$H120),"")</f>
        <v>67.319999999999993</v>
      </c>
      <c r="W120" s="42">
        <f>IFERROR(IF(V120=0,"",ROUNDUP(V120/H120,0)*0.00753),"")</f>
        <v>0.25602000000000003</v>
      </c>
      <c r="X120" s="69" t="s">
        <v>48</v>
      </c>
      <c r="Y120" s="70" t="s">
        <v>48</v>
      </c>
      <c r="AC120" s="129" t="s">
        <v>65</v>
      </c>
    </row>
    <row r="121" spans="1:29" ht="16.5" customHeight="1" x14ac:dyDescent="0.25">
      <c r="A121" s="64" t="s">
        <v>226</v>
      </c>
      <c r="B121" s="64" t="s">
        <v>227</v>
      </c>
      <c r="C121" s="37">
        <v>4301051358</v>
      </c>
      <c r="D121" s="316">
        <v>4607091385748</v>
      </c>
      <c r="E121" s="316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142</v>
      </c>
      <c r="L121" s="38">
        <v>45</v>
      </c>
      <c r="M121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8"/>
      <c r="O121" s="318"/>
      <c r="P121" s="318"/>
      <c r="Q121" s="319"/>
      <c r="R121" s="40" t="s">
        <v>48</v>
      </c>
      <c r="S121" s="40" t="s">
        <v>48</v>
      </c>
      <c r="T121" s="41" t="s">
        <v>0</v>
      </c>
      <c r="U121" s="59">
        <v>10</v>
      </c>
      <c r="V121" s="56">
        <f>IFERROR(IF(U121="",0,CEILING((U121/$H121),1)*$H121),"")</f>
        <v>10.8</v>
      </c>
      <c r="W121" s="42">
        <f>IFERROR(IF(V121=0,"",ROUNDUP(V121/H121,0)*0.00753),"")</f>
        <v>3.0120000000000001E-2</v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228</v>
      </c>
      <c r="B122" s="64" t="s">
        <v>229</v>
      </c>
      <c r="C122" s="37">
        <v>4301051364</v>
      </c>
      <c r="D122" s="316">
        <v>4607091384581</v>
      </c>
      <c r="E122" s="316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142</v>
      </c>
      <c r="L122" s="38">
        <v>45</v>
      </c>
      <c r="M122" s="50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8"/>
      <c r="O122" s="318"/>
      <c r="P122" s="318"/>
      <c r="Q122" s="319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131" t="s">
        <v>65</v>
      </c>
    </row>
    <row r="123" spans="1:29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25"/>
      <c r="M123" s="322" t="s">
        <v>43</v>
      </c>
      <c r="N123" s="323"/>
      <c r="O123" s="323"/>
      <c r="P123" s="323"/>
      <c r="Q123" s="323"/>
      <c r="R123" s="323"/>
      <c r="S123" s="324"/>
      <c r="T123" s="43" t="s">
        <v>42</v>
      </c>
      <c r="U123" s="44">
        <f>IFERROR(U119/H119,"0")+IFERROR(U120/H120,"0")+IFERROR(U121/H121,"0")+IFERROR(U122/H122,"0")</f>
        <v>45.443322109988777</v>
      </c>
      <c r="V123" s="44">
        <f>IFERROR(V119/H119,"0")+IFERROR(V120/H120,"0")+IFERROR(V121/H121,"0")+IFERROR(V122/H122,"0")</f>
        <v>46</v>
      </c>
      <c r="W123" s="44">
        <f>IFERROR(IF(W119="",0,W119),"0")+IFERROR(IF(W120="",0,W120),"0")+IFERROR(IF(W121="",0,W121),"0")+IFERROR(IF(W122="",0,W122),"0")</f>
        <v>0.46013999999999999</v>
      </c>
      <c r="X123" s="68"/>
      <c r="Y123" s="68"/>
    </row>
    <row r="124" spans="1:29" x14ac:dyDescent="0.2">
      <c r="A124" s="314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25"/>
      <c r="M124" s="322" t="s">
        <v>43</v>
      </c>
      <c r="N124" s="323"/>
      <c r="O124" s="323"/>
      <c r="P124" s="323"/>
      <c r="Q124" s="323"/>
      <c r="R124" s="323"/>
      <c r="S124" s="324"/>
      <c r="T124" s="43" t="s">
        <v>0</v>
      </c>
      <c r="U124" s="44">
        <f>IFERROR(SUM(U119:U122),"0")</f>
        <v>141</v>
      </c>
      <c r="V124" s="44">
        <f>IFERROR(SUM(V119:V122),"0")</f>
        <v>142.92000000000002</v>
      </c>
      <c r="W124" s="43"/>
      <c r="X124" s="68"/>
      <c r="Y124" s="68"/>
    </row>
    <row r="125" spans="1:29" ht="27.75" customHeight="1" x14ac:dyDescent="0.2">
      <c r="A125" s="331" t="s">
        <v>230</v>
      </c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  <c r="T125" s="331"/>
      <c r="U125" s="331"/>
      <c r="V125" s="331"/>
      <c r="W125" s="331"/>
      <c r="X125" s="55"/>
      <c r="Y125" s="55"/>
    </row>
    <row r="126" spans="1:29" ht="16.5" customHeight="1" x14ac:dyDescent="0.25">
      <c r="A126" s="332" t="s">
        <v>231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66"/>
      <c r="Y126" s="66"/>
    </row>
    <row r="127" spans="1:29" ht="14.25" customHeight="1" x14ac:dyDescent="0.25">
      <c r="A127" s="326" t="s">
        <v>118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67"/>
      <c r="Y127" s="67"/>
    </row>
    <row r="128" spans="1:29" ht="27" customHeight="1" x14ac:dyDescent="0.25">
      <c r="A128" s="64" t="s">
        <v>232</v>
      </c>
      <c r="B128" s="64" t="s">
        <v>233</v>
      </c>
      <c r="C128" s="37">
        <v>4301011223</v>
      </c>
      <c r="D128" s="316">
        <v>4607091383423</v>
      </c>
      <c r="E128" s="316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142</v>
      </c>
      <c r="L128" s="38">
        <v>35</v>
      </c>
      <c r="M128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8"/>
      <c r="O128" s="318"/>
      <c r="P128" s="318"/>
      <c r="Q128" s="319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132" t="s">
        <v>65</v>
      </c>
    </row>
    <row r="129" spans="1:29" ht="27" customHeight="1" x14ac:dyDescent="0.25">
      <c r="A129" s="64" t="s">
        <v>234</v>
      </c>
      <c r="B129" s="64" t="s">
        <v>235</v>
      </c>
      <c r="C129" s="37">
        <v>4301011338</v>
      </c>
      <c r="D129" s="316">
        <v>4607091381405</v>
      </c>
      <c r="E129" s="316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81</v>
      </c>
      <c r="L129" s="38">
        <v>35</v>
      </c>
      <c r="M129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8"/>
      <c r="O129" s="318"/>
      <c r="P129" s="318"/>
      <c r="Q129" s="319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133" t="s">
        <v>65</v>
      </c>
    </row>
    <row r="130" spans="1:29" ht="27" customHeight="1" x14ac:dyDescent="0.25">
      <c r="A130" s="64" t="s">
        <v>236</v>
      </c>
      <c r="B130" s="64" t="s">
        <v>237</v>
      </c>
      <c r="C130" s="37">
        <v>4301011333</v>
      </c>
      <c r="D130" s="316">
        <v>4607091386516</v>
      </c>
      <c r="E130" s="316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81</v>
      </c>
      <c r="L130" s="38">
        <v>30</v>
      </c>
      <c r="M130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8"/>
      <c r="O130" s="318"/>
      <c r="P130" s="318"/>
      <c r="Q130" s="319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x14ac:dyDescent="0.2">
      <c r="A131" s="314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25"/>
      <c r="M131" s="322" t="s">
        <v>43</v>
      </c>
      <c r="N131" s="323"/>
      <c r="O131" s="323"/>
      <c r="P131" s="323"/>
      <c r="Q131" s="323"/>
      <c r="R131" s="323"/>
      <c r="S131" s="324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29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25"/>
      <c r="M132" s="322" t="s">
        <v>43</v>
      </c>
      <c r="N132" s="323"/>
      <c r="O132" s="323"/>
      <c r="P132" s="323"/>
      <c r="Q132" s="323"/>
      <c r="R132" s="323"/>
      <c r="S132" s="324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29" ht="16.5" customHeight="1" x14ac:dyDescent="0.25">
      <c r="A133" s="332" t="s">
        <v>238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66"/>
      <c r="Y133" s="66"/>
    </row>
    <row r="134" spans="1:29" ht="14.25" customHeight="1" x14ac:dyDescent="0.25">
      <c r="A134" s="326" t="s">
        <v>118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67"/>
      <c r="Y134" s="67"/>
    </row>
    <row r="135" spans="1:29" ht="27" customHeight="1" x14ac:dyDescent="0.25">
      <c r="A135" s="64" t="s">
        <v>239</v>
      </c>
      <c r="B135" s="64" t="s">
        <v>240</v>
      </c>
      <c r="C135" s="37">
        <v>4301011346</v>
      </c>
      <c r="D135" s="316">
        <v>4607091387445</v>
      </c>
      <c r="E135" s="316"/>
      <c r="F135" s="63">
        <v>0.9</v>
      </c>
      <c r="G135" s="38">
        <v>10</v>
      </c>
      <c r="H135" s="63">
        <v>9</v>
      </c>
      <c r="I135" s="63">
        <v>9.6300000000000008</v>
      </c>
      <c r="J135" s="38">
        <v>56</v>
      </c>
      <c r="K135" s="39" t="s">
        <v>116</v>
      </c>
      <c r="L135" s="38">
        <v>31</v>
      </c>
      <c r="M135" s="49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318"/>
      <c r="O135" s="318"/>
      <c r="P135" s="318"/>
      <c r="Q135" s="319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50" si="6"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135" t="s">
        <v>65</v>
      </c>
    </row>
    <row r="136" spans="1:29" ht="27" customHeight="1" x14ac:dyDescent="0.25">
      <c r="A136" s="64" t="s">
        <v>241</v>
      </c>
      <c r="B136" s="64" t="s">
        <v>242</v>
      </c>
      <c r="C136" s="37">
        <v>4301011362</v>
      </c>
      <c r="D136" s="316">
        <v>4607091386004</v>
      </c>
      <c r="E136" s="316"/>
      <c r="F136" s="63">
        <v>1.35</v>
      </c>
      <c r="G136" s="38">
        <v>8</v>
      </c>
      <c r="H136" s="63">
        <v>10.8</v>
      </c>
      <c r="I136" s="63">
        <v>11.28</v>
      </c>
      <c r="J136" s="38">
        <v>48</v>
      </c>
      <c r="K136" s="39" t="s">
        <v>243</v>
      </c>
      <c r="L136" s="38">
        <v>55</v>
      </c>
      <c r="M136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318"/>
      <c r="O136" s="318"/>
      <c r="P136" s="318"/>
      <c r="Q136" s="319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6"/>
        <v>0</v>
      </c>
      <c r="W136" s="42" t="str">
        <f>IFERROR(IF(V136=0,"",ROUNDUP(V136/H136,0)*0.02039),"")</f>
        <v/>
      </c>
      <c r="X136" s="69" t="s">
        <v>48</v>
      </c>
      <c r="Y136" s="70" t="s">
        <v>48</v>
      </c>
      <c r="AC136" s="136" t="s">
        <v>65</v>
      </c>
    </row>
    <row r="137" spans="1:29" ht="27" customHeight="1" x14ac:dyDescent="0.25">
      <c r="A137" s="64" t="s">
        <v>241</v>
      </c>
      <c r="B137" s="64" t="s">
        <v>244</v>
      </c>
      <c r="C137" s="37">
        <v>4301011308</v>
      </c>
      <c r="D137" s="316">
        <v>4607091386004</v>
      </c>
      <c r="E137" s="316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116</v>
      </c>
      <c r="L137" s="38">
        <v>55</v>
      </c>
      <c r="M137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318"/>
      <c r="O137" s="318"/>
      <c r="P137" s="318"/>
      <c r="Q137" s="319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6"/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137" t="s">
        <v>65</v>
      </c>
    </row>
    <row r="138" spans="1:29" ht="27" customHeight="1" x14ac:dyDescent="0.25">
      <c r="A138" s="64" t="s">
        <v>245</v>
      </c>
      <c r="B138" s="64" t="s">
        <v>246</v>
      </c>
      <c r="C138" s="37">
        <v>4301011347</v>
      </c>
      <c r="D138" s="316">
        <v>4607091386073</v>
      </c>
      <c r="E138" s="316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116</v>
      </c>
      <c r="L138" s="38">
        <v>31</v>
      </c>
      <c r="M138" s="4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318"/>
      <c r="O138" s="318"/>
      <c r="P138" s="318"/>
      <c r="Q138" s="319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247</v>
      </c>
      <c r="B139" s="64" t="s">
        <v>248</v>
      </c>
      <c r="C139" s="37">
        <v>4301011395</v>
      </c>
      <c r="D139" s="316">
        <v>4607091387322</v>
      </c>
      <c r="E139" s="316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243</v>
      </c>
      <c r="L139" s="38">
        <v>55</v>
      </c>
      <c r="M139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318"/>
      <c r="O139" s="318"/>
      <c r="P139" s="318"/>
      <c r="Q139" s="319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247</v>
      </c>
      <c r="B140" s="64" t="s">
        <v>249</v>
      </c>
      <c r="C140" s="37">
        <v>4301010928</v>
      </c>
      <c r="D140" s="316">
        <v>4607091387322</v>
      </c>
      <c r="E140" s="316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116</v>
      </c>
      <c r="L140" s="38">
        <v>55</v>
      </c>
      <c r="M140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318"/>
      <c r="O140" s="318"/>
      <c r="P140" s="318"/>
      <c r="Q140" s="319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6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4301011311</v>
      </c>
      <c r="D141" s="316">
        <v>4607091387377</v>
      </c>
      <c r="E141" s="316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116</v>
      </c>
      <c r="L141" s="38">
        <v>55</v>
      </c>
      <c r="M141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318"/>
      <c r="O141" s="318"/>
      <c r="P141" s="318"/>
      <c r="Q141" s="31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6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16.5" customHeight="1" x14ac:dyDescent="0.25">
      <c r="A142" s="64" t="s">
        <v>252</v>
      </c>
      <c r="B142" s="64" t="s">
        <v>253</v>
      </c>
      <c r="C142" s="37">
        <v>4301011450</v>
      </c>
      <c r="D142" s="316">
        <v>4680115881402</v>
      </c>
      <c r="E142" s="316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116</v>
      </c>
      <c r="L142" s="38">
        <v>55</v>
      </c>
      <c r="M142" s="493" t="s">
        <v>254</v>
      </c>
      <c r="N142" s="318"/>
      <c r="O142" s="318"/>
      <c r="P142" s="318"/>
      <c r="Q142" s="31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6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255</v>
      </c>
      <c r="B143" s="64" t="s">
        <v>256</v>
      </c>
      <c r="C143" s="37">
        <v>4301010945</v>
      </c>
      <c r="D143" s="316">
        <v>4607091387353</v>
      </c>
      <c r="E143" s="316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116</v>
      </c>
      <c r="L143" s="38">
        <v>55</v>
      </c>
      <c r="M143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3" s="318"/>
      <c r="O143" s="318"/>
      <c r="P143" s="318"/>
      <c r="Q143" s="319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6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257</v>
      </c>
      <c r="B144" s="64" t="s">
        <v>258</v>
      </c>
      <c r="C144" s="37">
        <v>4301011328</v>
      </c>
      <c r="D144" s="316">
        <v>4607091386011</v>
      </c>
      <c r="E144" s="316"/>
      <c r="F144" s="63">
        <v>0.5</v>
      </c>
      <c r="G144" s="38">
        <v>10</v>
      </c>
      <c r="H144" s="63">
        <v>5</v>
      </c>
      <c r="I144" s="63">
        <v>5.21</v>
      </c>
      <c r="J144" s="38">
        <v>120</v>
      </c>
      <c r="K144" s="39" t="s">
        <v>81</v>
      </c>
      <c r="L144" s="38">
        <v>55</v>
      </c>
      <c r="M144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4" s="318"/>
      <c r="O144" s="318"/>
      <c r="P144" s="318"/>
      <c r="Q144" s="319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IFERROR(IF(V144=0,"",ROUNDUP(V144/H144,0)*0.00937),"")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259</v>
      </c>
      <c r="B145" s="64" t="s">
        <v>260</v>
      </c>
      <c r="C145" s="37">
        <v>4301011329</v>
      </c>
      <c r="D145" s="316">
        <v>4607091387308</v>
      </c>
      <c r="E145" s="316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81</v>
      </c>
      <c r="L145" s="38">
        <v>55</v>
      </c>
      <c r="M145" s="4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5" s="318"/>
      <c r="O145" s="318"/>
      <c r="P145" s="318"/>
      <c r="Q145" s="319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6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261</v>
      </c>
      <c r="B146" s="64" t="s">
        <v>262</v>
      </c>
      <c r="C146" s="37">
        <v>4301011049</v>
      </c>
      <c r="D146" s="316">
        <v>4607091387339</v>
      </c>
      <c r="E146" s="316"/>
      <c r="F146" s="63">
        <v>0.5</v>
      </c>
      <c r="G146" s="38">
        <v>10</v>
      </c>
      <c r="H146" s="63">
        <v>5</v>
      </c>
      <c r="I146" s="63">
        <v>5.24</v>
      </c>
      <c r="J146" s="38">
        <v>120</v>
      </c>
      <c r="K146" s="39" t="s">
        <v>116</v>
      </c>
      <c r="L146" s="38">
        <v>55</v>
      </c>
      <c r="M146" s="4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6" s="318"/>
      <c r="O146" s="318"/>
      <c r="P146" s="318"/>
      <c r="Q146" s="319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6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263</v>
      </c>
      <c r="B147" s="64" t="s">
        <v>264</v>
      </c>
      <c r="C147" s="37">
        <v>4301011433</v>
      </c>
      <c r="D147" s="316">
        <v>4680115882638</v>
      </c>
      <c r="E147" s="316"/>
      <c r="F147" s="63">
        <v>0.4</v>
      </c>
      <c r="G147" s="38">
        <v>10</v>
      </c>
      <c r="H147" s="63">
        <v>4</v>
      </c>
      <c r="I147" s="63">
        <v>4.24</v>
      </c>
      <c r="J147" s="38">
        <v>120</v>
      </c>
      <c r="K147" s="39" t="s">
        <v>116</v>
      </c>
      <c r="L147" s="38">
        <v>90</v>
      </c>
      <c r="M147" s="488" t="s">
        <v>265</v>
      </c>
      <c r="N147" s="318"/>
      <c r="O147" s="318"/>
      <c r="P147" s="318"/>
      <c r="Q147" s="319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6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266</v>
      </c>
      <c r="B148" s="64" t="s">
        <v>267</v>
      </c>
      <c r="C148" s="37">
        <v>4301011573</v>
      </c>
      <c r="D148" s="316">
        <v>4680115881938</v>
      </c>
      <c r="E148" s="316"/>
      <c r="F148" s="63">
        <v>0.4</v>
      </c>
      <c r="G148" s="38">
        <v>10</v>
      </c>
      <c r="H148" s="63">
        <v>4</v>
      </c>
      <c r="I148" s="63">
        <v>4.24</v>
      </c>
      <c r="J148" s="38">
        <v>120</v>
      </c>
      <c r="K148" s="39" t="s">
        <v>116</v>
      </c>
      <c r="L148" s="38">
        <v>90</v>
      </c>
      <c r="M148" s="489" t="s">
        <v>268</v>
      </c>
      <c r="N148" s="318"/>
      <c r="O148" s="318"/>
      <c r="P148" s="318"/>
      <c r="Q148" s="319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6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269</v>
      </c>
      <c r="B149" s="64" t="s">
        <v>270</v>
      </c>
      <c r="C149" s="37">
        <v>4301011454</v>
      </c>
      <c r="D149" s="316">
        <v>4680115881396</v>
      </c>
      <c r="E149" s="316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81</v>
      </c>
      <c r="L149" s="38">
        <v>55</v>
      </c>
      <c r="M149" s="482" t="s">
        <v>271</v>
      </c>
      <c r="N149" s="318"/>
      <c r="O149" s="318"/>
      <c r="P149" s="318"/>
      <c r="Q149" s="319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6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272</v>
      </c>
      <c r="B150" s="64" t="s">
        <v>273</v>
      </c>
      <c r="C150" s="37">
        <v>4301010944</v>
      </c>
      <c r="D150" s="316">
        <v>4607091387346</v>
      </c>
      <c r="E150" s="316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116</v>
      </c>
      <c r="L150" s="38">
        <v>55</v>
      </c>
      <c r="M150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0" s="318"/>
      <c r="O150" s="318"/>
      <c r="P150" s="318"/>
      <c r="Q150" s="319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6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x14ac:dyDescent="0.2">
      <c r="A151" s="314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25"/>
      <c r="M151" s="322" t="s">
        <v>43</v>
      </c>
      <c r="N151" s="323"/>
      <c r="O151" s="323"/>
      <c r="P151" s="323"/>
      <c r="Q151" s="323"/>
      <c r="R151" s="323"/>
      <c r="S151" s="324"/>
      <c r="T151" s="43" t="s">
        <v>42</v>
      </c>
      <c r="U151" s="44">
        <f>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44">
        <f>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29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25"/>
      <c r="M152" s="322" t="s">
        <v>43</v>
      </c>
      <c r="N152" s="323"/>
      <c r="O152" s="323"/>
      <c r="P152" s="323"/>
      <c r="Q152" s="323"/>
      <c r="R152" s="323"/>
      <c r="S152" s="324"/>
      <c r="T152" s="43" t="s">
        <v>0</v>
      </c>
      <c r="U152" s="44">
        <f>IFERROR(SUM(U135:U150),"0")</f>
        <v>0</v>
      </c>
      <c r="V152" s="44">
        <f>IFERROR(SUM(V135:V150),"0")</f>
        <v>0</v>
      </c>
      <c r="W152" s="43"/>
      <c r="X152" s="68"/>
      <c r="Y152" s="68"/>
    </row>
    <row r="153" spans="1:29" ht="14.25" customHeight="1" x14ac:dyDescent="0.25">
      <c r="A153" s="326" t="s">
        <v>113</v>
      </c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  <c r="W153" s="326"/>
      <c r="X153" s="67"/>
      <c r="Y153" s="67"/>
    </row>
    <row r="154" spans="1:29" ht="16.5" customHeight="1" x14ac:dyDescent="0.25">
      <c r="A154" s="64" t="s">
        <v>274</v>
      </c>
      <c r="B154" s="64" t="s">
        <v>275</v>
      </c>
      <c r="C154" s="37">
        <v>4301020262</v>
      </c>
      <c r="D154" s="316">
        <v>4680115882935</v>
      </c>
      <c r="E154" s="316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9" t="s">
        <v>142</v>
      </c>
      <c r="L154" s="38">
        <v>50</v>
      </c>
      <c r="M154" s="484" t="s">
        <v>276</v>
      </c>
      <c r="N154" s="318"/>
      <c r="O154" s="318"/>
      <c r="P154" s="318"/>
      <c r="Q154" s="319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IFERROR(IF(V154=0,"",ROUNDUP(V154/H154,0)*0.02175),"")</f>
        <v/>
      </c>
      <c r="X154" s="69" t="s">
        <v>48</v>
      </c>
      <c r="Y154" s="70" t="s">
        <v>277</v>
      </c>
      <c r="AC154" s="151" t="s">
        <v>65</v>
      </c>
    </row>
    <row r="155" spans="1:29" ht="27" customHeight="1" x14ac:dyDescent="0.25">
      <c r="A155" s="64" t="s">
        <v>278</v>
      </c>
      <c r="B155" s="64" t="s">
        <v>279</v>
      </c>
      <c r="C155" s="37">
        <v>4301020254</v>
      </c>
      <c r="D155" s="316">
        <v>4680115881914</v>
      </c>
      <c r="E155" s="316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9" t="s">
        <v>116</v>
      </c>
      <c r="L155" s="38">
        <v>90</v>
      </c>
      <c r="M155" s="479" t="s">
        <v>280</v>
      </c>
      <c r="N155" s="318"/>
      <c r="O155" s="318"/>
      <c r="P155" s="318"/>
      <c r="Q155" s="319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IFERROR(IF(V155=0,"",ROUNDUP(V155/H155,0)*0.00937),"")</f>
        <v/>
      </c>
      <c r="X155" s="69" t="s">
        <v>48</v>
      </c>
      <c r="Y155" s="70" t="s">
        <v>48</v>
      </c>
      <c r="AC155" s="152" t="s">
        <v>65</v>
      </c>
    </row>
    <row r="156" spans="1:29" ht="16.5" customHeight="1" x14ac:dyDescent="0.25">
      <c r="A156" s="64" t="s">
        <v>281</v>
      </c>
      <c r="B156" s="64" t="s">
        <v>282</v>
      </c>
      <c r="C156" s="37">
        <v>4301020220</v>
      </c>
      <c r="D156" s="316">
        <v>4680115880764</v>
      </c>
      <c r="E156" s="31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116</v>
      </c>
      <c r="L156" s="38">
        <v>50</v>
      </c>
      <c r="M156" s="480" t="s">
        <v>283</v>
      </c>
      <c r="N156" s="318"/>
      <c r="O156" s="318"/>
      <c r="P156" s="318"/>
      <c r="Q156" s="319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53" t="s">
        <v>65</v>
      </c>
    </row>
    <row r="157" spans="1:29" x14ac:dyDescent="0.2">
      <c r="A157" s="314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25"/>
      <c r="M157" s="322" t="s">
        <v>43</v>
      </c>
      <c r="N157" s="323"/>
      <c r="O157" s="323"/>
      <c r="P157" s="323"/>
      <c r="Q157" s="323"/>
      <c r="R157" s="323"/>
      <c r="S157" s="324"/>
      <c r="T157" s="43" t="s">
        <v>42</v>
      </c>
      <c r="U157" s="44">
        <f>IFERROR(U154/H154,"0")+IFERROR(U155/H155,"0")+IFERROR(U156/H156,"0")</f>
        <v>0</v>
      </c>
      <c r="V157" s="44">
        <f>IFERROR(V154/H154,"0")+IFERROR(V155/H155,"0")+IFERROR(V156/H156,"0")</f>
        <v>0</v>
      </c>
      <c r="W157" s="44">
        <f>IFERROR(IF(W154="",0,W154),"0")+IFERROR(IF(W155="",0,W155),"0")+IFERROR(IF(W156="",0,W156),"0")</f>
        <v>0</v>
      </c>
      <c r="X157" s="68"/>
      <c r="Y157" s="68"/>
    </row>
    <row r="158" spans="1:29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25"/>
      <c r="M158" s="322" t="s">
        <v>43</v>
      </c>
      <c r="N158" s="323"/>
      <c r="O158" s="323"/>
      <c r="P158" s="323"/>
      <c r="Q158" s="323"/>
      <c r="R158" s="323"/>
      <c r="S158" s="324"/>
      <c r="T158" s="43" t="s">
        <v>0</v>
      </c>
      <c r="U158" s="44">
        <f>IFERROR(SUM(U154:U156),"0")</f>
        <v>0</v>
      </c>
      <c r="V158" s="44">
        <f>IFERROR(SUM(V154:V156),"0")</f>
        <v>0</v>
      </c>
      <c r="W158" s="43"/>
      <c r="X158" s="68"/>
      <c r="Y158" s="68"/>
    </row>
    <row r="159" spans="1:29" ht="14.25" customHeight="1" x14ac:dyDescent="0.25">
      <c r="A159" s="326" t="s">
        <v>77</v>
      </c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67"/>
      <c r="Y159" s="67"/>
    </row>
    <row r="160" spans="1:29" ht="27" customHeight="1" x14ac:dyDescent="0.25">
      <c r="A160" s="64" t="s">
        <v>284</v>
      </c>
      <c r="B160" s="64" t="s">
        <v>285</v>
      </c>
      <c r="C160" s="37">
        <v>4301030878</v>
      </c>
      <c r="D160" s="316">
        <v>4607091387193</v>
      </c>
      <c r="E160" s="316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81</v>
      </c>
      <c r="L160" s="38">
        <v>35</v>
      </c>
      <c r="M160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0" s="318"/>
      <c r="O160" s="318"/>
      <c r="P160" s="318"/>
      <c r="Q160" s="319"/>
      <c r="R160" s="40" t="s">
        <v>48</v>
      </c>
      <c r="S160" s="40" t="s">
        <v>48</v>
      </c>
      <c r="T160" s="41" t="s">
        <v>0</v>
      </c>
      <c r="U160" s="59">
        <v>54</v>
      </c>
      <c r="V160" s="56">
        <f t="shared" ref="V160:V175" si="7">IFERROR(IF(U160="",0,CEILING((U160/$H160),1)*$H160),"")</f>
        <v>54.6</v>
      </c>
      <c r="W160" s="42">
        <f>IFERROR(IF(V160=0,"",ROUNDUP(V160/H160,0)*0.00753),"")</f>
        <v>9.7890000000000005E-2</v>
      </c>
      <c r="X160" s="69" t="s">
        <v>48</v>
      </c>
      <c r="Y160" s="70" t="s">
        <v>48</v>
      </c>
      <c r="AC160" s="154" t="s">
        <v>65</v>
      </c>
    </row>
    <row r="161" spans="1:29" ht="27" customHeight="1" x14ac:dyDescent="0.25">
      <c r="A161" s="64" t="s">
        <v>286</v>
      </c>
      <c r="B161" s="64" t="s">
        <v>287</v>
      </c>
      <c r="C161" s="37">
        <v>4301031153</v>
      </c>
      <c r="D161" s="316">
        <v>4607091387230</v>
      </c>
      <c r="E161" s="316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81</v>
      </c>
      <c r="L161" s="38">
        <v>40</v>
      </c>
      <c r="M161" s="4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1" s="318"/>
      <c r="O161" s="318"/>
      <c r="P161" s="318"/>
      <c r="Q161" s="319"/>
      <c r="R161" s="40" t="s">
        <v>48</v>
      </c>
      <c r="S161" s="40" t="s">
        <v>48</v>
      </c>
      <c r="T161" s="41" t="s">
        <v>0</v>
      </c>
      <c r="U161" s="59">
        <v>21</v>
      </c>
      <c r="V161" s="56">
        <f t="shared" si="7"/>
        <v>21</v>
      </c>
      <c r="W161" s="42">
        <f>IFERROR(IF(V161=0,"",ROUNDUP(V161/H161,0)*0.00753),"")</f>
        <v>3.7650000000000003E-2</v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288</v>
      </c>
      <c r="B162" s="64" t="s">
        <v>289</v>
      </c>
      <c r="C162" s="37">
        <v>4301031191</v>
      </c>
      <c r="D162" s="316">
        <v>4680115880993</v>
      </c>
      <c r="E162" s="316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81</v>
      </c>
      <c r="L162" s="38">
        <v>40</v>
      </c>
      <c r="M162" s="47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2" s="318"/>
      <c r="O162" s="318"/>
      <c r="P162" s="318"/>
      <c r="Q162" s="319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7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290</v>
      </c>
      <c r="B163" s="64" t="s">
        <v>291</v>
      </c>
      <c r="C163" s="37">
        <v>4301031204</v>
      </c>
      <c r="D163" s="316">
        <v>4680115881761</v>
      </c>
      <c r="E163" s="316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81</v>
      </c>
      <c r="L163" s="38">
        <v>40</v>
      </c>
      <c r="M163" s="476" t="s">
        <v>292</v>
      </c>
      <c r="N163" s="318"/>
      <c r="O163" s="318"/>
      <c r="P163" s="318"/>
      <c r="Q163" s="319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7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293</v>
      </c>
      <c r="B164" s="64" t="s">
        <v>294</v>
      </c>
      <c r="C164" s="37">
        <v>4301031201</v>
      </c>
      <c r="D164" s="316">
        <v>4680115881563</v>
      </c>
      <c r="E164" s="316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81</v>
      </c>
      <c r="L164" s="38">
        <v>40</v>
      </c>
      <c r="M164" s="47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4" s="318"/>
      <c r="O164" s="318"/>
      <c r="P164" s="318"/>
      <c r="Q164" s="319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7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295</v>
      </c>
      <c r="B165" s="64" t="s">
        <v>296</v>
      </c>
      <c r="C165" s="37">
        <v>4301031224</v>
      </c>
      <c r="D165" s="316">
        <v>4680115882683</v>
      </c>
      <c r="E165" s="31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81</v>
      </c>
      <c r="L165" s="38">
        <v>40</v>
      </c>
      <c r="M165" s="478" t="s">
        <v>297</v>
      </c>
      <c r="N165" s="318"/>
      <c r="O165" s="318"/>
      <c r="P165" s="318"/>
      <c r="Q165" s="319"/>
      <c r="R165" s="40" t="s">
        <v>48</v>
      </c>
      <c r="S165" s="40" t="s">
        <v>48</v>
      </c>
      <c r="T165" s="41" t="s">
        <v>0</v>
      </c>
      <c r="U165" s="59">
        <v>32</v>
      </c>
      <c r="V165" s="56">
        <f t="shared" si="7"/>
        <v>32.400000000000006</v>
      </c>
      <c r="W165" s="42">
        <f>IFERROR(IF(V165=0,"",ROUNDUP(V165/H165,0)*0.00937),"")</f>
        <v>5.6219999999999999E-2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298</v>
      </c>
      <c r="B166" s="64" t="s">
        <v>299</v>
      </c>
      <c r="C166" s="37">
        <v>4301031230</v>
      </c>
      <c r="D166" s="316">
        <v>4680115882690</v>
      </c>
      <c r="E166" s="31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81</v>
      </c>
      <c r="L166" s="38">
        <v>40</v>
      </c>
      <c r="M166" s="469" t="s">
        <v>300</v>
      </c>
      <c r="N166" s="318"/>
      <c r="O166" s="318"/>
      <c r="P166" s="318"/>
      <c r="Q166" s="319"/>
      <c r="R166" s="40" t="s">
        <v>48</v>
      </c>
      <c r="S166" s="40" t="s">
        <v>48</v>
      </c>
      <c r="T166" s="41" t="s">
        <v>0</v>
      </c>
      <c r="U166" s="59">
        <v>32</v>
      </c>
      <c r="V166" s="56">
        <f t="shared" si="7"/>
        <v>32.400000000000006</v>
      </c>
      <c r="W166" s="42">
        <f>IFERROR(IF(V166=0,"",ROUNDUP(V166/H166,0)*0.00937),"")</f>
        <v>5.6219999999999999E-2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301</v>
      </c>
      <c r="B167" s="64" t="s">
        <v>302</v>
      </c>
      <c r="C167" s="37">
        <v>4301031220</v>
      </c>
      <c r="D167" s="316">
        <v>4680115882669</v>
      </c>
      <c r="E167" s="31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81</v>
      </c>
      <c r="L167" s="38">
        <v>40</v>
      </c>
      <c r="M167" s="470" t="s">
        <v>303</v>
      </c>
      <c r="N167" s="318"/>
      <c r="O167" s="318"/>
      <c r="P167" s="318"/>
      <c r="Q167" s="319"/>
      <c r="R167" s="40" t="s">
        <v>48</v>
      </c>
      <c r="S167" s="40" t="s">
        <v>48</v>
      </c>
      <c r="T167" s="41" t="s">
        <v>0</v>
      </c>
      <c r="U167" s="59">
        <v>42</v>
      </c>
      <c r="V167" s="56">
        <f t="shared" si="7"/>
        <v>43.2</v>
      </c>
      <c r="W167" s="42">
        <f>IFERROR(IF(V167=0,"",ROUNDUP(V167/H167,0)*0.00937),"")</f>
        <v>7.4959999999999999E-2</v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304</v>
      </c>
      <c r="B168" s="64" t="s">
        <v>305</v>
      </c>
      <c r="C168" s="37">
        <v>4301031221</v>
      </c>
      <c r="D168" s="316">
        <v>4680115882676</v>
      </c>
      <c r="E168" s="31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81</v>
      </c>
      <c r="L168" s="38">
        <v>40</v>
      </c>
      <c r="M168" s="471" t="s">
        <v>306</v>
      </c>
      <c r="N168" s="318"/>
      <c r="O168" s="318"/>
      <c r="P168" s="318"/>
      <c r="Q168" s="319"/>
      <c r="R168" s="40" t="s">
        <v>48</v>
      </c>
      <c r="S168" s="40" t="s">
        <v>48</v>
      </c>
      <c r="T168" s="41" t="s">
        <v>0</v>
      </c>
      <c r="U168" s="59">
        <v>32</v>
      </c>
      <c r="V168" s="56">
        <f t="shared" si="7"/>
        <v>32.400000000000006</v>
      </c>
      <c r="W168" s="42">
        <f>IFERROR(IF(V168=0,"",ROUNDUP(V168/H168,0)*0.00937),"")</f>
        <v>5.6219999999999999E-2</v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307</v>
      </c>
      <c r="B169" s="64" t="s">
        <v>308</v>
      </c>
      <c r="C169" s="37">
        <v>4301031152</v>
      </c>
      <c r="D169" s="316">
        <v>4607091387285</v>
      </c>
      <c r="E169" s="316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81</v>
      </c>
      <c r="L169" s="38">
        <v>40</v>
      </c>
      <c r="M169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9" s="318"/>
      <c r="O169" s="318"/>
      <c r="P169" s="318"/>
      <c r="Q169" s="319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309</v>
      </c>
      <c r="B170" s="64" t="s">
        <v>310</v>
      </c>
      <c r="C170" s="37">
        <v>4301031199</v>
      </c>
      <c r="D170" s="316">
        <v>4680115880986</v>
      </c>
      <c r="E170" s="316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81</v>
      </c>
      <c r="L170" s="38">
        <v>40</v>
      </c>
      <c r="M170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0" s="318"/>
      <c r="O170" s="318"/>
      <c r="P170" s="318"/>
      <c r="Q170" s="319"/>
      <c r="R170" s="40" t="s">
        <v>48</v>
      </c>
      <c r="S170" s="40" t="s">
        <v>48</v>
      </c>
      <c r="T170" s="41" t="s">
        <v>0</v>
      </c>
      <c r="U170" s="59">
        <v>90</v>
      </c>
      <c r="V170" s="56">
        <f t="shared" si="7"/>
        <v>90.3</v>
      </c>
      <c r="W170" s="42">
        <f>IFERROR(IF(V170=0,"",ROUNDUP(V170/H170,0)*0.00502),"")</f>
        <v>0.21586</v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311</v>
      </c>
      <c r="B171" s="64" t="s">
        <v>312</v>
      </c>
      <c r="C171" s="37">
        <v>4301031190</v>
      </c>
      <c r="D171" s="316">
        <v>4680115880207</v>
      </c>
      <c r="E171" s="316"/>
      <c r="F171" s="63">
        <v>0.4</v>
      </c>
      <c r="G171" s="38">
        <v>6</v>
      </c>
      <c r="H171" s="63">
        <v>2.4</v>
      </c>
      <c r="I171" s="63">
        <v>2.63</v>
      </c>
      <c r="J171" s="38">
        <v>156</v>
      </c>
      <c r="K171" s="39" t="s">
        <v>81</v>
      </c>
      <c r="L171" s="38">
        <v>40</v>
      </c>
      <c r="M171" s="46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1" s="318"/>
      <c r="O171" s="318"/>
      <c r="P171" s="318"/>
      <c r="Q171" s="31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7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313</v>
      </c>
      <c r="B172" s="64" t="s">
        <v>314</v>
      </c>
      <c r="C172" s="37">
        <v>4301031205</v>
      </c>
      <c r="D172" s="316">
        <v>4680115881785</v>
      </c>
      <c r="E172" s="316"/>
      <c r="F172" s="63">
        <v>0.35</v>
      </c>
      <c r="G172" s="38">
        <v>6</v>
      </c>
      <c r="H172" s="63">
        <v>2.1</v>
      </c>
      <c r="I172" s="63">
        <v>2.23</v>
      </c>
      <c r="J172" s="38">
        <v>234</v>
      </c>
      <c r="K172" s="39" t="s">
        <v>81</v>
      </c>
      <c r="L172" s="38">
        <v>40</v>
      </c>
      <c r="M172" s="465" t="s">
        <v>315</v>
      </c>
      <c r="N172" s="318"/>
      <c r="O172" s="318"/>
      <c r="P172" s="318"/>
      <c r="Q172" s="319"/>
      <c r="R172" s="40" t="s">
        <v>48</v>
      </c>
      <c r="S172" s="40" t="s">
        <v>48</v>
      </c>
      <c r="T172" s="41" t="s">
        <v>0</v>
      </c>
      <c r="U172" s="59">
        <v>52</v>
      </c>
      <c r="V172" s="56">
        <f t="shared" si="7"/>
        <v>52.5</v>
      </c>
      <c r="W172" s="42">
        <f>IFERROR(IF(V172=0,"",ROUNDUP(V172/H172,0)*0.00502),"")</f>
        <v>0.1255</v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316</v>
      </c>
      <c r="B173" s="64" t="s">
        <v>317</v>
      </c>
      <c r="C173" s="37">
        <v>4301031202</v>
      </c>
      <c r="D173" s="316">
        <v>4680115881679</v>
      </c>
      <c r="E173" s="316"/>
      <c r="F173" s="63">
        <v>0.35</v>
      </c>
      <c r="G173" s="38">
        <v>6</v>
      </c>
      <c r="H173" s="63">
        <v>2.1</v>
      </c>
      <c r="I173" s="63">
        <v>2.2000000000000002</v>
      </c>
      <c r="J173" s="38">
        <v>234</v>
      </c>
      <c r="K173" s="39" t="s">
        <v>81</v>
      </c>
      <c r="L173" s="38">
        <v>40</v>
      </c>
      <c r="M173" s="46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3" s="318"/>
      <c r="O173" s="318"/>
      <c r="P173" s="318"/>
      <c r="Q173" s="319"/>
      <c r="R173" s="40" t="s">
        <v>48</v>
      </c>
      <c r="S173" s="40" t="s">
        <v>48</v>
      </c>
      <c r="T173" s="41" t="s">
        <v>0</v>
      </c>
      <c r="U173" s="59">
        <v>56</v>
      </c>
      <c r="V173" s="56">
        <f t="shared" si="7"/>
        <v>56.7</v>
      </c>
      <c r="W173" s="42">
        <f>IFERROR(IF(V173=0,"",ROUNDUP(V173/H173,0)*0.00502),"")</f>
        <v>0.13553999999999999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318</v>
      </c>
      <c r="B174" s="64" t="s">
        <v>319</v>
      </c>
      <c r="C174" s="37">
        <v>4301031158</v>
      </c>
      <c r="D174" s="316">
        <v>4680115880191</v>
      </c>
      <c r="E174" s="316"/>
      <c r="F174" s="63">
        <v>0.4</v>
      </c>
      <c r="G174" s="38">
        <v>6</v>
      </c>
      <c r="H174" s="63">
        <v>2.4</v>
      </c>
      <c r="I174" s="63">
        <v>2.5</v>
      </c>
      <c r="J174" s="38">
        <v>234</v>
      </c>
      <c r="K174" s="39" t="s">
        <v>81</v>
      </c>
      <c r="L174" s="38">
        <v>40</v>
      </c>
      <c r="M174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4" s="318"/>
      <c r="O174" s="318"/>
      <c r="P174" s="318"/>
      <c r="Q174" s="31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7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320</v>
      </c>
      <c r="B175" s="64" t="s">
        <v>321</v>
      </c>
      <c r="C175" s="37">
        <v>4301031151</v>
      </c>
      <c r="D175" s="316">
        <v>4607091389845</v>
      </c>
      <c r="E175" s="316"/>
      <c r="F175" s="63">
        <v>0.35</v>
      </c>
      <c r="G175" s="38">
        <v>6</v>
      </c>
      <c r="H175" s="63">
        <v>2.1</v>
      </c>
      <c r="I175" s="63">
        <v>2.2000000000000002</v>
      </c>
      <c r="J175" s="38">
        <v>234</v>
      </c>
      <c r="K175" s="39" t="s">
        <v>81</v>
      </c>
      <c r="L175" s="38">
        <v>40</v>
      </c>
      <c r="M175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5" s="318"/>
      <c r="O175" s="318"/>
      <c r="P175" s="318"/>
      <c r="Q175" s="319"/>
      <c r="R175" s="40" t="s">
        <v>48</v>
      </c>
      <c r="S175" s="40" t="s">
        <v>48</v>
      </c>
      <c r="T175" s="41" t="s">
        <v>0</v>
      </c>
      <c r="U175" s="59">
        <v>63</v>
      </c>
      <c r="V175" s="56">
        <f t="shared" si="7"/>
        <v>63</v>
      </c>
      <c r="W175" s="42">
        <f>IFERROR(IF(V175=0,"",ROUNDUP(V175/H175,0)*0.00502),"")</f>
        <v>0.15060000000000001</v>
      </c>
      <c r="X175" s="69" t="s">
        <v>48</v>
      </c>
      <c r="Y175" s="70" t="s">
        <v>48</v>
      </c>
      <c r="AC175" s="169" t="s">
        <v>65</v>
      </c>
    </row>
    <row r="176" spans="1:29" x14ac:dyDescent="0.2">
      <c r="A176" s="314"/>
      <c r="B176" s="314"/>
      <c r="C176" s="314"/>
      <c r="D176" s="314"/>
      <c r="E176" s="314"/>
      <c r="F176" s="314"/>
      <c r="G176" s="314"/>
      <c r="H176" s="314"/>
      <c r="I176" s="314"/>
      <c r="J176" s="314"/>
      <c r="K176" s="314"/>
      <c r="L176" s="325"/>
      <c r="M176" s="322" t="s">
        <v>43</v>
      </c>
      <c r="N176" s="323"/>
      <c r="O176" s="323"/>
      <c r="P176" s="323"/>
      <c r="Q176" s="323"/>
      <c r="R176" s="323"/>
      <c r="S176" s="324"/>
      <c r="T176" s="43" t="s">
        <v>42</v>
      </c>
      <c r="U176" s="44">
        <f>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</f>
        <v>167.69841269841268</v>
      </c>
      <c r="V176" s="44">
        <f>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</f>
        <v>169</v>
      </c>
      <c r="W176" s="44">
        <f>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</f>
        <v>1.0066600000000001</v>
      </c>
      <c r="X176" s="68"/>
      <c r="Y176" s="68"/>
    </row>
    <row r="177" spans="1:29" x14ac:dyDescent="0.2">
      <c r="A177" s="314"/>
      <c r="B177" s="314"/>
      <c r="C177" s="314"/>
      <c r="D177" s="314"/>
      <c r="E177" s="314"/>
      <c r="F177" s="314"/>
      <c r="G177" s="314"/>
      <c r="H177" s="314"/>
      <c r="I177" s="314"/>
      <c r="J177" s="314"/>
      <c r="K177" s="314"/>
      <c r="L177" s="325"/>
      <c r="M177" s="322" t="s">
        <v>43</v>
      </c>
      <c r="N177" s="323"/>
      <c r="O177" s="323"/>
      <c r="P177" s="323"/>
      <c r="Q177" s="323"/>
      <c r="R177" s="323"/>
      <c r="S177" s="324"/>
      <c r="T177" s="43" t="s">
        <v>0</v>
      </c>
      <c r="U177" s="44">
        <f>IFERROR(SUM(U160:U175),"0")</f>
        <v>474</v>
      </c>
      <c r="V177" s="44">
        <f>IFERROR(SUM(V160:V175),"0")</f>
        <v>478.5</v>
      </c>
      <c r="W177" s="43"/>
      <c r="X177" s="68"/>
      <c r="Y177" s="68"/>
    </row>
    <row r="178" spans="1:29" ht="14.25" customHeight="1" x14ac:dyDescent="0.25">
      <c r="A178" s="326" t="s">
        <v>82</v>
      </c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26"/>
      <c r="W178" s="326"/>
      <c r="X178" s="67"/>
      <c r="Y178" s="67"/>
    </row>
    <row r="179" spans="1:29" ht="27" customHeight="1" x14ac:dyDescent="0.25">
      <c r="A179" s="64" t="s">
        <v>322</v>
      </c>
      <c r="B179" s="64" t="s">
        <v>323</v>
      </c>
      <c r="C179" s="37">
        <v>4301051409</v>
      </c>
      <c r="D179" s="316">
        <v>4680115881556</v>
      </c>
      <c r="E179" s="3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142</v>
      </c>
      <c r="L179" s="38">
        <v>45</v>
      </c>
      <c r="M179" s="461" t="s">
        <v>324</v>
      </c>
      <c r="N179" s="318"/>
      <c r="O179" s="318"/>
      <c r="P179" s="318"/>
      <c r="Q179" s="319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ref="V179:V201" si="8">IFERROR(IF(U179="",0,CEILING((U179/$H179),1)*$H179),"")</f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  <c r="AC179" s="170" t="s">
        <v>65</v>
      </c>
    </row>
    <row r="180" spans="1:29" ht="16.5" customHeight="1" x14ac:dyDescent="0.25">
      <c r="A180" s="64" t="s">
        <v>325</v>
      </c>
      <c r="B180" s="64" t="s">
        <v>326</v>
      </c>
      <c r="C180" s="37">
        <v>4301051101</v>
      </c>
      <c r="D180" s="316">
        <v>4607091387766</v>
      </c>
      <c r="E180" s="316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81</v>
      </c>
      <c r="L180" s="38">
        <v>40</v>
      </c>
      <c r="M180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0" s="318"/>
      <c r="O180" s="318"/>
      <c r="P180" s="318"/>
      <c r="Q180" s="319"/>
      <c r="R180" s="40" t="s">
        <v>48</v>
      </c>
      <c r="S180" s="40" t="s">
        <v>48</v>
      </c>
      <c r="T180" s="41" t="s">
        <v>0</v>
      </c>
      <c r="U180" s="59">
        <v>7900</v>
      </c>
      <c r="V180" s="56">
        <f t="shared" si="8"/>
        <v>7905.5999999999995</v>
      </c>
      <c r="W180" s="42">
        <f>IFERROR(IF(V180=0,"",ROUNDUP(V180/H180,0)*0.02175),"")</f>
        <v>21.227999999999998</v>
      </c>
      <c r="X180" s="69" t="s">
        <v>48</v>
      </c>
      <c r="Y180" s="70" t="s">
        <v>48</v>
      </c>
      <c r="AC180" s="171" t="s">
        <v>65</v>
      </c>
    </row>
    <row r="181" spans="1:29" ht="27" customHeight="1" x14ac:dyDescent="0.25">
      <c r="A181" s="64" t="s">
        <v>327</v>
      </c>
      <c r="B181" s="64" t="s">
        <v>328</v>
      </c>
      <c r="C181" s="37">
        <v>4301051116</v>
      </c>
      <c r="D181" s="316">
        <v>4607091387957</v>
      </c>
      <c r="E181" s="316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81</v>
      </c>
      <c r="L181" s="38">
        <v>40</v>
      </c>
      <c r="M181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1" s="318"/>
      <c r="O181" s="318"/>
      <c r="P181" s="318"/>
      <c r="Q181" s="31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2" t="s">
        <v>65</v>
      </c>
    </row>
    <row r="182" spans="1:29" ht="27" customHeight="1" x14ac:dyDescent="0.25">
      <c r="A182" s="64" t="s">
        <v>329</v>
      </c>
      <c r="B182" s="64" t="s">
        <v>330</v>
      </c>
      <c r="C182" s="37">
        <v>4301051115</v>
      </c>
      <c r="D182" s="316">
        <v>4607091387964</v>
      </c>
      <c r="E182" s="316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81</v>
      </c>
      <c r="L182" s="38">
        <v>40</v>
      </c>
      <c r="M182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2" s="318"/>
      <c r="O182" s="318"/>
      <c r="P182" s="318"/>
      <c r="Q182" s="31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3" t="s">
        <v>65</v>
      </c>
    </row>
    <row r="183" spans="1:29" ht="16.5" customHeight="1" x14ac:dyDescent="0.25">
      <c r="A183" s="64" t="s">
        <v>331</v>
      </c>
      <c r="B183" s="64" t="s">
        <v>332</v>
      </c>
      <c r="C183" s="37">
        <v>4301051470</v>
      </c>
      <c r="D183" s="316">
        <v>4680115880573</v>
      </c>
      <c r="E183" s="3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142</v>
      </c>
      <c r="L183" s="38">
        <v>45</v>
      </c>
      <c r="M183" s="457" t="s">
        <v>333</v>
      </c>
      <c r="N183" s="318"/>
      <c r="O183" s="318"/>
      <c r="P183" s="318"/>
      <c r="Q183" s="319"/>
      <c r="R183" s="40" t="s">
        <v>48</v>
      </c>
      <c r="S183" s="40" t="s">
        <v>48</v>
      </c>
      <c r="T183" s="41" t="s">
        <v>0</v>
      </c>
      <c r="U183" s="59">
        <v>156</v>
      </c>
      <c r="V183" s="56">
        <f t="shared" si="8"/>
        <v>156</v>
      </c>
      <c r="W183" s="42">
        <f>IFERROR(IF(V183=0,"",ROUNDUP(V183/H183,0)*0.02175),"")</f>
        <v>0.43499999999999994</v>
      </c>
      <c r="X183" s="69" t="s">
        <v>48</v>
      </c>
      <c r="Y183" s="70" t="s">
        <v>48</v>
      </c>
      <c r="AC183" s="174" t="s">
        <v>65</v>
      </c>
    </row>
    <row r="184" spans="1:29" ht="27" customHeight="1" x14ac:dyDescent="0.25">
      <c r="A184" s="64" t="s">
        <v>334</v>
      </c>
      <c r="B184" s="64" t="s">
        <v>335</v>
      </c>
      <c r="C184" s="37">
        <v>4301051408</v>
      </c>
      <c r="D184" s="316">
        <v>4680115881594</v>
      </c>
      <c r="E184" s="31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9" t="s">
        <v>142</v>
      </c>
      <c r="L184" s="38">
        <v>40</v>
      </c>
      <c r="M184" s="458" t="s">
        <v>336</v>
      </c>
      <c r="N184" s="318"/>
      <c r="O184" s="318"/>
      <c r="P184" s="318"/>
      <c r="Q184" s="319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337</v>
      </c>
      <c r="B185" s="64" t="s">
        <v>338</v>
      </c>
      <c r="C185" s="37">
        <v>4301051433</v>
      </c>
      <c r="D185" s="316">
        <v>4680115881587</v>
      </c>
      <c r="E185" s="31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81</v>
      </c>
      <c r="L185" s="38">
        <v>35</v>
      </c>
      <c r="M185" s="459" t="s">
        <v>339</v>
      </c>
      <c r="N185" s="318"/>
      <c r="O185" s="318"/>
      <c r="P185" s="318"/>
      <c r="Q185" s="319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  <c r="AC185" s="176" t="s">
        <v>65</v>
      </c>
    </row>
    <row r="186" spans="1:29" ht="16.5" customHeight="1" x14ac:dyDescent="0.25">
      <c r="A186" s="64" t="s">
        <v>340</v>
      </c>
      <c r="B186" s="64" t="s">
        <v>341</v>
      </c>
      <c r="C186" s="37">
        <v>4301051380</v>
      </c>
      <c r="D186" s="316">
        <v>4680115880962</v>
      </c>
      <c r="E186" s="31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81</v>
      </c>
      <c r="L186" s="38">
        <v>40</v>
      </c>
      <c r="M186" s="460" t="s">
        <v>342</v>
      </c>
      <c r="N186" s="318"/>
      <c r="O186" s="318"/>
      <c r="P186" s="318"/>
      <c r="Q186" s="319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27" customHeight="1" x14ac:dyDescent="0.25">
      <c r="A187" s="64" t="s">
        <v>343</v>
      </c>
      <c r="B187" s="64" t="s">
        <v>344</v>
      </c>
      <c r="C187" s="37">
        <v>4301051411</v>
      </c>
      <c r="D187" s="316">
        <v>4680115881617</v>
      </c>
      <c r="E187" s="31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9" t="s">
        <v>142</v>
      </c>
      <c r="L187" s="38">
        <v>40</v>
      </c>
      <c r="M187" s="451" t="s">
        <v>345</v>
      </c>
      <c r="N187" s="318"/>
      <c r="O187" s="318"/>
      <c r="P187" s="318"/>
      <c r="Q187" s="319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346</v>
      </c>
      <c r="B188" s="64" t="s">
        <v>347</v>
      </c>
      <c r="C188" s="37">
        <v>4301051377</v>
      </c>
      <c r="D188" s="316">
        <v>4680115881228</v>
      </c>
      <c r="E188" s="316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9" t="s">
        <v>81</v>
      </c>
      <c r="L188" s="38">
        <v>35</v>
      </c>
      <c r="M188" s="45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8" s="318"/>
      <c r="O188" s="318"/>
      <c r="P188" s="318"/>
      <c r="Q188" s="319"/>
      <c r="R188" s="40" t="s">
        <v>48</v>
      </c>
      <c r="S188" s="40" t="s">
        <v>48</v>
      </c>
      <c r="T188" s="41" t="s">
        <v>0</v>
      </c>
      <c r="U188" s="59">
        <v>256</v>
      </c>
      <c r="V188" s="56">
        <f t="shared" si="8"/>
        <v>256.8</v>
      </c>
      <c r="W188" s="42">
        <f>IFERROR(IF(V188=0,"",ROUNDUP(V188/H188,0)*0.00753),"")</f>
        <v>0.80571000000000004</v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348</v>
      </c>
      <c r="B189" s="64" t="s">
        <v>349</v>
      </c>
      <c r="C189" s="37">
        <v>4301051432</v>
      </c>
      <c r="D189" s="316">
        <v>4680115881037</v>
      </c>
      <c r="E189" s="316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9" t="s">
        <v>81</v>
      </c>
      <c r="L189" s="38">
        <v>35</v>
      </c>
      <c r="M189" s="453" t="s">
        <v>350</v>
      </c>
      <c r="N189" s="318"/>
      <c r="O189" s="318"/>
      <c r="P189" s="318"/>
      <c r="Q189" s="319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>IFERROR(IF(V189=0,"",ROUNDUP(V189/H189,0)*0.00937),"")</f>
        <v/>
      </c>
      <c r="X189" s="69" t="s">
        <v>48</v>
      </c>
      <c r="Y189" s="70" t="s">
        <v>48</v>
      </c>
      <c r="AC189" s="180" t="s">
        <v>65</v>
      </c>
    </row>
    <row r="190" spans="1:29" ht="27" customHeight="1" x14ac:dyDescent="0.25">
      <c r="A190" s="64" t="s">
        <v>351</v>
      </c>
      <c r="B190" s="64" t="s">
        <v>352</v>
      </c>
      <c r="C190" s="37">
        <v>4301051384</v>
      </c>
      <c r="D190" s="316">
        <v>4680115881211</v>
      </c>
      <c r="E190" s="316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81</v>
      </c>
      <c r="L190" s="38">
        <v>45</v>
      </c>
      <c r="M190" s="454" t="s">
        <v>353</v>
      </c>
      <c r="N190" s="318"/>
      <c r="O190" s="318"/>
      <c r="P190" s="318"/>
      <c r="Q190" s="319"/>
      <c r="R190" s="40" t="s">
        <v>48</v>
      </c>
      <c r="S190" s="40" t="s">
        <v>48</v>
      </c>
      <c r="T190" s="41" t="s">
        <v>0</v>
      </c>
      <c r="U190" s="59">
        <v>376</v>
      </c>
      <c r="V190" s="56">
        <f t="shared" si="8"/>
        <v>376.8</v>
      </c>
      <c r="W190" s="42">
        <f>IFERROR(IF(V190=0,"",ROUNDUP(V190/H190,0)*0.00753),"")</f>
        <v>1.18221</v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354</v>
      </c>
      <c r="B191" s="64" t="s">
        <v>355</v>
      </c>
      <c r="C191" s="37">
        <v>4301051378</v>
      </c>
      <c r="D191" s="316">
        <v>4680115881020</v>
      </c>
      <c r="E191" s="316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9" t="s">
        <v>81</v>
      </c>
      <c r="L191" s="38">
        <v>45</v>
      </c>
      <c r="M191" s="455" t="s">
        <v>356</v>
      </c>
      <c r="N191" s="318"/>
      <c r="O191" s="318"/>
      <c r="P191" s="318"/>
      <c r="Q191" s="319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8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  <c r="AC191" s="182" t="s">
        <v>65</v>
      </c>
    </row>
    <row r="192" spans="1:29" ht="16.5" customHeight="1" x14ac:dyDescent="0.25">
      <c r="A192" s="64" t="s">
        <v>357</v>
      </c>
      <c r="B192" s="64" t="s">
        <v>358</v>
      </c>
      <c r="C192" s="37">
        <v>4301051134</v>
      </c>
      <c r="D192" s="316">
        <v>4607091381672</v>
      </c>
      <c r="E192" s="316"/>
      <c r="F192" s="63">
        <v>0.6</v>
      </c>
      <c r="G192" s="38">
        <v>6</v>
      </c>
      <c r="H192" s="63">
        <v>3.6</v>
      </c>
      <c r="I192" s="63">
        <v>3.8759999999999999</v>
      </c>
      <c r="J192" s="38">
        <v>120</v>
      </c>
      <c r="K192" s="39" t="s">
        <v>81</v>
      </c>
      <c r="L192" s="38">
        <v>40</v>
      </c>
      <c r="M192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2" s="318"/>
      <c r="O192" s="318"/>
      <c r="P192" s="318"/>
      <c r="Q192" s="319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8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359</v>
      </c>
      <c r="B193" s="64" t="s">
        <v>360</v>
      </c>
      <c r="C193" s="37">
        <v>4301051130</v>
      </c>
      <c r="D193" s="316">
        <v>4607091387537</v>
      </c>
      <c r="E193" s="316"/>
      <c r="F193" s="63">
        <v>0.45</v>
      </c>
      <c r="G193" s="38">
        <v>6</v>
      </c>
      <c r="H193" s="63">
        <v>2.7</v>
      </c>
      <c r="I193" s="63">
        <v>2.99</v>
      </c>
      <c r="J193" s="38">
        <v>156</v>
      </c>
      <c r="K193" s="39" t="s">
        <v>81</v>
      </c>
      <c r="L193" s="38">
        <v>40</v>
      </c>
      <c r="M193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3" s="318"/>
      <c r="O193" s="318"/>
      <c r="P193" s="318"/>
      <c r="Q193" s="319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8"/>
        <v>0</v>
      </c>
      <c r="W193" s="42" t="str">
        <f t="shared" ref="W193:W201" si="9">IFERROR(IF(V193=0,"",ROUNDUP(V193/H193,0)*0.00753),"")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361</v>
      </c>
      <c r="B194" s="64" t="s">
        <v>362</v>
      </c>
      <c r="C194" s="37">
        <v>4301051132</v>
      </c>
      <c r="D194" s="316">
        <v>4607091387513</v>
      </c>
      <c r="E194" s="316"/>
      <c r="F194" s="63">
        <v>0.45</v>
      </c>
      <c r="G194" s="38">
        <v>6</v>
      </c>
      <c r="H194" s="63">
        <v>2.7</v>
      </c>
      <c r="I194" s="63">
        <v>2.9780000000000002</v>
      </c>
      <c r="J194" s="38">
        <v>156</v>
      </c>
      <c r="K194" s="39" t="s">
        <v>81</v>
      </c>
      <c r="L194" s="38">
        <v>40</v>
      </c>
      <c r="M194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4" s="318"/>
      <c r="O194" s="318"/>
      <c r="P194" s="318"/>
      <c r="Q194" s="319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8"/>
        <v>0</v>
      </c>
      <c r="W194" s="42" t="str">
        <f t="shared" si="9"/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363</v>
      </c>
      <c r="B195" s="64" t="s">
        <v>364</v>
      </c>
      <c r="C195" s="37">
        <v>4301051407</v>
      </c>
      <c r="D195" s="316">
        <v>4680115882195</v>
      </c>
      <c r="E195" s="316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9" t="s">
        <v>142</v>
      </c>
      <c r="L195" s="38">
        <v>40</v>
      </c>
      <c r="M195" s="449" t="s">
        <v>365</v>
      </c>
      <c r="N195" s="318"/>
      <c r="O195" s="318"/>
      <c r="P195" s="318"/>
      <c r="Q195" s="319"/>
      <c r="R195" s="40" t="s">
        <v>48</v>
      </c>
      <c r="S195" s="40" t="s">
        <v>48</v>
      </c>
      <c r="T195" s="41" t="s">
        <v>0</v>
      </c>
      <c r="U195" s="59">
        <v>48</v>
      </c>
      <c r="V195" s="56">
        <f t="shared" si="8"/>
        <v>48</v>
      </c>
      <c r="W195" s="42">
        <f t="shared" si="9"/>
        <v>0.15060000000000001</v>
      </c>
      <c r="X195" s="69" t="s">
        <v>48</v>
      </c>
      <c r="Y195" s="70" t="s">
        <v>48</v>
      </c>
      <c r="AC195" s="186" t="s">
        <v>65</v>
      </c>
    </row>
    <row r="196" spans="1:29" ht="27" customHeight="1" x14ac:dyDescent="0.25">
      <c r="A196" s="64" t="s">
        <v>366</v>
      </c>
      <c r="B196" s="64" t="s">
        <v>367</v>
      </c>
      <c r="C196" s="37">
        <v>4301051479</v>
      </c>
      <c r="D196" s="316">
        <v>4680115882607</v>
      </c>
      <c r="E196" s="316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9" t="s">
        <v>142</v>
      </c>
      <c r="L196" s="38">
        <v>45</v>
      </c>
      <c r="M196" s="450" t="s">
        <v>368</v>
      </c>
      <c r="N196" s="318"/>
      <c r="O196" s="318"/>
      <c r="P196" s="318"/>
      <c r="Q196" s="31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8"/>
        <v>0</v>
      </c>
      <c r="W196" s="42" t="str">
        <f t="shared" si="9"/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369</v>
      </c>
      <c r="B197" s="64" t="s">
        <v>370</v>
      </c>
      <c r="C197" s="37">
        <v>4301051468</v>
      </c>
      <c r="D197" s="316">
        <v>4680115880092</v>
      </c>
      <c r="E197" s="316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142</v>
      </c>
      <c r="L197" s="38">
        <v>45</v>
      </c>
      <c r="M197" s="441" t="s">
        <v>371</v>
      </c>
      <c r="N197" s="318"/>
      <c r="O197" s="318"/>
      <c r="P197" s="318"/>
      <c r="Q197" s="319"/>
      <c r="R197" s="40" t="s">
        <v>48</v>
      </c>
      <c r="S197" s="40" t="s">
        <v>48</v>
      </c>
      <c r="T197" s="41" t="s">
        <v>0</v>
      </c>
      <c r="U197" s="59">
        <v>170</v>
      </c>
      <c r="V197" s="56">
        <f t="shared" si="8"/>
        <v>170.4</v>
      </c>
      <c r="W197" s="42">
        <f t="shared" si="9"/>
        <v>0.53463000000000005</v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372</v>
      </c>
      <c r="B198" s="64" t="s">
        <v>373</v>
      </c>
      <c r="C198" s="37">
        <v>4301051469</v>
      </c>
      <c r="D198" s="316">
        <v>4680115880221</v>
      </c>
      <c r="E198" s="31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142</v>
      </c>
      <c r="L198" s="38">
        <v>45</v>
      </c>
      <c r="M198" s="442" t="s">
        <v>374</v>
      </c>
      <c r="N198" s="318"/>
      <c r="O198" s="318"/>
      <c r="P198" s="318"/>
      <c r="Q198" s="319"/>
      <c r="R198" s="40" t="s">
        <v>48</v>
      </c>
      <c r="S198" s="40" t="s">
        <v>48</v>
      </c>
      <c r="T198" s="41" t="s">
        <v>0</v>
      </c>
      <c r="U198" s="59">
        <v>220</v>
      </c>
      <c r="V198" s="56">
        <f t="shared" si="8"/>
        <v>220.79999999999998</v>
      </c>
      <c r="W198" s="42">
        <f t="shared" si="9"/>
        <v>0.69276000000000004</v>
      </c>
      <c r="X198" s="69" t="s">
        <v>48</v>
      </c>
      <c r="Y198" s="70" t="s">
        <v>48</v>
      </c>
      <c r="AC198" s="189" t="s">
        <v>65</v>
      </c>
    </row>
    <row r="199" spans="1:29" ht="16.5" customHeight="1" x14ac:dyDescent="0.25">
      <c r="A199" s="64" t="s">
        <v>375</v>
      </c>
      <c r="B199" s="64" t="s">
        <v>376</v>
      </c>
      <c r="C199" s="37">
        <v>4301051523</v>
      </c>
      <c r="D199" s="316">
        <v>4680115882942</v>
      </c>
      <c r="E199" s="316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9" t="s">
        <v>81</v>
      </c>
      <c r="L199" s="38">
        <v>40</v>
      </c>
      <c r="M199" s="443" t="s">
        <v>377</v>
      </c>
      <c r="N199" s="318"/>
      <c r="O199" s="318"/>
      <c r="P199" s="318"/>
      <c r="Q199" s="31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8"/>
        <v>0</v>
      </c>
      <c r="W199" s="42" t="str">
        <f t="shared" si="9"/>
        <v/>
      </c>
      <c r="X199" s="69" t="s">
        <v>48</v>
      </c>
      <c r="Y199" s="70" t="s">
        <v>48</v>
      </c>
      <c r="AC199" s="190" t="s">
        <v>65</v>
      </c>
    </row>
    <row r="200" spans="1:29" ht="16.5" customHeight="1" x14ac:dyDescent="0.25">
      <c r="A200" s="64" t="s">
        <v>378</v>
      </c>
      <c r="B200" s="64" t="s">
        <v>379</v>
      </c>
      <c r="C200" s="37">
        <v>4301051326</v>
      </c>
      <c r="D200" s="316">
        <v>4680115880504</v>
      </c>
      <c r="E200" s="31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81</v>
      </c>
      <c r="L200" s="38">
        <v>40</v>
      </c>
      <c r="M200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0" s="318"/>
      <c r="O200" s="318"/>
      <c r="P200" s="318"/>
      <c r="Q200" s="319"/>
      <c r="R200" s="40" t="s">
        <v>48</v>
      </c>
      <c r="S200" s="40" t="s">
        <v>48</v>
      </c>
      <c r="T200" s="41" t="s">
        <v>0</v>
      </c>
      <c r="U200" s="59">
        <v>31</v>
      </c>
      <c r="V200" s="56">
        <f t="shared" si="8"/>
        <v>31.2</v>
      </c>
      <c r="W200" s="42">
        <f t="shared" si="9"/>
        <v>9.7890000000000005E-2</v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380</v>
      </c>
      <c r="B201" s="64" t="s">
        <v>381</v>
      </c>
      <c r="C201" s="37">
        <v>4301051410</v>
      </c>
      <c r="D201" s="316">
        <v>4680115882164</v>
      </c>
      <c r="E201" s="316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9" t="s">
        <v>142</v>
      </c>
      <c r="L201" s="38">
        <v>40</v>
      </c>
      <c r="M201" s="445" t="s">
        <v>382</v>
      </c>
      <c r="N201" s="318"/>
      <c r="O201" s="318"/>
      <c r="P201" s="318"/>
      <c r="Q201" s="319"/>
      <c r="R201" s="40" t="s">
        <v>48</v>
      </c>
      <c r="S201" s="40" t="s">
        <v>48</v>
      </c>
      <c r="T201" s="41" t="s">
        <v>0</v>
      </c>
      <c r="U201" s="59">
        <v>48</v>
      </c>
      <c r="V201" s="56">
        <f t="shared" si="8"/>
        <v>48</v>
      </c>
      <c r="W201" s="42">
        <f t="shared" si="9"/>
        <v>0.15060000000000001</v>
      </c>
      <c r="X201" s="69" t="s">
        <v>48</v>
      </c>
      <c r="Y201" s="70" t="s">
        <v>48</v>
      </c>
      <c r="AC201" s="192" t="s">
        <v>65</v>
      </c>
    </row>
    <row r="202" spans="1:29" x14ac:dyDescent="0.2">
      <c r="A202" s="314"/>
      <c r="B202" s="314"/>
      <c r="C202" s="314"/>
      <c r="D202" s="314"/>
      <c r="E202" s="314"/>
      <c r="F202" s="314"/>
      <c r="G202" s="314"/>
      <c r="H202" s="314"/>
      <c r="I202" s="314"/>
      <c r="J202" s="314"/>
      <c r="K202" s="314"/>
      <c r="L202" s="325"/>
      <c r="M202" s="322" t="s">
        <v>43</v>
      </c>
      <c r="N202" s="323"/>
      <c r="O202" s="323"/>
      <c r="P202" s="323"/>
      <c r="Q202" s="323"/>
      <c r="R202" s="323"/>
      <c r="S202" s="324"/>
      <c r="T202" s="43" t="s">
        <v>42</v>
      </c>
      <c r="U202" s="44">
        <f>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1474.0586419753088</v>
      </c>
      <c r="V202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1476</v>
      </c>
      <c r="W202" s="44">
        <f>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25.2774</v>
      </c>
      <c r="X202" s="68"/>
      <c r="Y202" s="68"/>
    </row>
    <row r="203" spans="1:29" x14ac:dyDescent="0.2">
      <c r="A203" s="314"/>
      <c r="B203" s="314"/>
      <c r="C203" s="314"/>
      <c r="D203" s="314"/>
      <c r="E203" s="314"/>
      <c r="F203" s="314"/>
      <c r="G203" s="314"/>
      <c r="H203" s="314"/>
      <c r="I203" s="314"/>
      <c r="J203" s="314"/>
      <c r="K203" s="314"/>
      <c r="L203" s="325"/>
      <c r="M203" s="322" t="s">
        <v>43</v>
      </c>
      <c r="N203" s="323"/>
      <c r="O203" s="323"/>
      <c r="P203" s="323"/>
      <c r="Q203" s="323"/>
      <c r="R203" s="323"/>
      <c r="S203" s="324"/>
      <c r="T203" s="43" t="s">
        <v>0</v>
      </c>
      <c r="U203" s="44">
        <f>IFERROR(SUM(U179:U201),"0")</f>
        <v>9205</v>
      </c>
      <c r="V203" s="44">
        <f>IFERROR(SUM(V179:V201),"0")</f>
        <v>9213.5999999999985</v>
      </c>
      <c r="W203" s="43"/>
      <c r="X203" s="68"/>
      <c r="Y203" s="68"/>
    </row>
    <row r="204" spans="1:29" ht="14.25" customHeight="1" x14ac:dyDescent="0.25">
      <c r="A204" s="326" t="s">
        <v>210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67"/>
      <c r="Y204" s="67"/>
    </row>
    <row r="205" spans="1:29" ht="16.5" customHeight="1" x14ac:dyDescent="0.25">
      <c r="A205" s="64" t="s">
        <v>383</v>
      </c>
      <c r="B205" s="64" t="s">
        <v>384</v>
      </c>
      <c r="C205" s="37">
        <v>4301060326</v>
      </c>
      <c r="D205" s="316">
        <v>4607091380880</v>
      </c>
      <c r="E205" s="316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81</v>
      </c>
      <c r="L205" s="38">
        <v>30</v>
      </c>
      <c r="M205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5" s="318"/>
      <c r="O205" s="318"/>
      <c r="P205" s="318"/>
      <c r="Q205" s="319"/>
      <c r="R205" s="40" t="s">
        <v>48</v>
      </c>
      <c r="S205" s="40" t="s">
        <v>48</v>
      </c>
      <c r="T205" s="41" t="s">
        <v>0</v>
      </c>
      <c r="U205" s="59">
        <v>50</v>
      </c>
      <c r="V205" s="56">
        <f t="shared" ref="V205:V210" si="10">IFERROR(IF(U205="",0,CEILING((U205/$H205),1)*$H205),"")</f>
        <v>50.400000000000006</v>
      </c>
      <c r="W205" s="42">
        <f>IFERROR(IF(V205=0,"",ROUNDUP(V205/H205,0)*0.02175),"")</f>
        <v>0.1305</v>
      </c>
      <c r="X205" s="69" t="s">
        <v>48</v>
      </c>
      <c r="Y205" s="70" t="s">
        <v>48</v>
      </c>
      <c r="AC205" s="193" t="s">
        <v>65</v>
      </c>
    </row>
    <row r="206" spans="1:29" ht="27" customHeight="1" x14ac:dyDescent="0.25">
      <c r="A206" s="64" t="s">
        <v>385</v>
      </c>
      <c r="B206" s="64" t="s">
        <v>386</v>
      </c>
      <c r="C206" s="37">
        <v>4301060308</v>
      </c>
      <c r="D206" s="316">
        <v>4607091384482</v>
      </c>
      <c r="E206" s="316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81</v>
      </c>
      <c r="L206" s="38">
        <v>30</v>
      </c>
      <c r="M206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6" s="318"/>
      <c r="O206" s="318"/>
      <c r="P206" s="318"/>
      <c r="Q206" s="319"/>
      <c r="R206" s="40" t="s">
        <v>48</v>
      </c>
      <c r="S206" s="40" t="s">
        <v>48</v>
      </c>
      <c r="T206" s="41" t="s">
        <v>0</v>
      </c>
      <c r="U206" s="59">
        <v>109</v>
      </c>
      <c r="V206" s="56">
        <f t="shared" si="10"/>
        <v>109.2</v>
      </c>
      <c r="W206" s="42">
        <f>IFERROR(IF(V206=0,"",ROUNDUP(V206/H206,0)*0.02175),"")</f>
        <v>0.30449999999999999</v>
      </c>
      <c r="X206" s="69" t="s">
        <v>48</v>
      </c>
      <c r="Y206" s="70" t="s">
        <v>48</v>
      </c>
      <c r="AC206" s="194" t="s">
        <v>65</v>
      </c>
    </row>
    <row r="207" spans="1:29" ht="16.5" customHeight="1" x14ac:dyDescent="0.25">
      <c r="A207" s="64" t="s">
        <v>387</v>
      </c>
      <c r="B207" s="64" t="s">
        <v>388</v>
      </c>
      <c r="C207" s="37">
        <v>4301060325</v>
      </c>
      <c r="D207" s="316">
        <v>4607091380897</v>
      </c>
      <c r="E207" s="316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81</v>
      </c>
      <c r="L207" s="38">
        <v>30</v>
      </c>
      <c r="M207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7" s="318"/>
      <c r="O207" s="318"/>
      <c r="P207" s="318"/>
      <c r="Q207" s="319"/>
      <c r="R207" s="40" t="s">
        <v>48</v>
      </c>
      <c r="S207" s="40" t="s">
        <v>48</v>
      </c>
      <c r="T207" s="41" t="s">
        <v>0</v>
      </c>
      <c r="U207" s="59">
        <v>16</v>
      </c>
      <c r="V207" s="56">
        <f t="shared" si="10"/>
        <v>16.8</v>
      </c>
      <c r="W207" s="42">
        <f>IFERROR(IF(V207=0,"",ROUNDUP(V207/H207,0)*0.02175),"")</f>
        <v>4.3499999999999997E-2</v>
      </c>
      <c r="X207" s="69" t="s">
        <v>48</v>
      </c>
      <c r="Y207" s="70" t="s">
        <v>48</v>
      </c>
      <c r="AC207" s="195" t="s">
        <v>65</v>
      </c>
    </row>
    <row r="208" spans="1:29" ht="16.5" customHeight="1" x14ac:dyDescent="0.25">
      <c r="A208" s="64" t="s">
        <v>389</v>
      </c>
      <c r="B208" s="64" t="s">
        <v>390</v>
      </c>
      <c r="C208" s="37">
        <v>4301060338</v>
      </c>
      <c r="D208" s="316">
        <v>4680115880801</v>
      </c>
      <c r="E208" s="316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81</v>
      </c>
      <c r="L208" s="38">
        <v>40</v>
      </c>
      <c r="M208" s="435" t="s">
        <v>391</v>
      </c>
      <c r="N208" s="318"/>
      <c r="O208" s="318"/>
      <c r="P208" s="318"/>
      <c r="Q208" s="319"/>
      <c r="R208" s="40" t="s">
        <v>48</v>
      </c>
      <c r="S208" s="40" t="s">
        <v>48</v>
      </c>
      <c r="T208" s="41" t="s">
        <v>0</v>
      </c>
      <c r="U208" s="59">
        <v>4</v>
      </c>
      <c r="V208" s="56">
        <f t="shared" si="10"/>
        <v>4.8</v>
      </c>
      <c r="W208" s="42">
        <f>IFERROR(IF(V208=0,"",ROUNDUP(V208/H208,0)*0.00753),"")</f>
        <v>1.506E-2</v>
      </c>
      <c r="X208" s="69" t="s">
        <v>48</v>
      </c>
      <c r="Y208" s="70" t="s">
        <v>48</v>
      </c>
      <c r="AC208" s="196" t="s">
        <v>65</v>
      </c>
    </row>
    <row r="209" spans="1:29" ht="27" customHeight="1" x14ac:dyDescent="0.25">
      <c r="A209" s="64" t="s">
        <v>392</v>
      </c>
      <c r="B209" s="64" t="s">
        <v>393</v>
      </c>
      <c r="C209" s="37">
        <v>4301060339</v>
      </c>
      <c r="D209" s="316">
        <v>4680115880818</v>
      </c>
      <c r="E209" s="316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81</v>
      </c>
      <c r="L209" s="38">
        <v>40</v>
      </c>
      <c r="M209" s="436" t="s">
        <v>394</v>
      </c>
      <c r="N209" s="318"/>
      <c r="O209" s="318"/>
      <c r="P209" s="318"/>
      <c r="Q209" s="319"/>
      <c r="R209" s="40" t="s">
        <v>48</v>
      </c>
      <c r="S209" s="40" t="s">
        <v>48</v>
      </c>
      <c r="T209" s="41" t="s">
        <v>0</v>
      </c>
      <c r="U209" s="59">
        <v>9</v>
      </c>
      <c r="V209" s="56">
        <f t="shared" si="10"/>
        <v>9.6</v>
      </c>
      <c r="W209" s="42">
        <f>IFERROR(IF(V209=0,"",ROUNDUP(V209/H209,0)*0.00753),"")</f>
        <v>3.0120000000000001E-2</v>
      </c>
      <c r="X209" s="69" t="s">
        <v>48</v>
      </c>
      <c r="Y209" s="70" t="s">
        <v>48</v>
      </c>
      <c r="AC209" s="197" t="s">
        <v>65</v>
      </c>
    </row>
    <row r="210" spans="1:29" ht="16.5" customHeight="1" x14ac:dyDescent="0.25">
      <c r="A210" s="64" t="s">
        <v>395</v>
      </c>
      <c r="B210" s="64" t="s">
        <v>396</v>
      </c>
      <c r="C210" s="37">
        <v>4301060337</v>
      </c>
      <c r="D210" s="316">
        <v>4680115880368</v>
      </c>
      <c r="E210" s="316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142</v>
      </c>
      <c r="L210" s="38">
        <v>40</v>
      </c>
      <c r="M210" s="437" t="s">
        <v>397</v>
      </c>
      <c r="N210" s="318"/>
      <c r="O210" s="318"/>
      <c r="P210" s="318"/>
      <c r="Q210" s="319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  <c r="AC210" s="198" t="s">
        <v>65</v>
      </c>
    </row>
    <row r="211" spans="1:29" x14ac:dyDescent="0.2">
      <c r="A211" s="314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25"/>
      <c r="M211" s="322" t="s">
        <v>43</v>
      </c>
      <c r="N211" s="323"/>
      <c r="O211" s="323"/>
      <c r="P211" s="323"/>
      <c r="Q211" s="323"/>
      <c r="R211" s="323"/>
      <c r="S211" s="324"/>
      <c r="T211" s="43" t="s">
        <v>42</v>
      </c>
      <c r="U211" s="44">
        <f>IFERROR(U205/H205,"0")+IFERROR(U206/H206,"0")+IFERROR(U207/H207,"0")+IFERROR(U208/H208,"0")+IFERROR(U209/H209,"0")+IFERROR(U210/H210,"0")</f>
        <v>27.2481684981685</v>
      </c>
      <c r="V211" s="44">
        <f>IFERROR(V205/H205,"0")+IFERROR(V206/H206,"0")+IFERROR(V207/H207,"0")+IFERROR(V208/H208,"0")+IFERROR(V209/H209,"0")+IFERROR(V210/H210,"0")</f>
        <v>28</v>
      </c>
      <c r="W211" s="44">
        <f>IFERROR(IF(W205="",0,W205),"0")+IFERROR(IF(W206="",0,W206),"0")+IFERROR(IF(W207="",0,W207),"0")+IFERROR(IF(W208="",0,W208),"0")+IFERROR(IF(W209="",0,W209),"0")+IFERROR(IF(W210="",0,W210),"0")</f>
        <v>0.52368000000000003</v>
      </c>
      <c r="X211" s="68"/>
      <c r="Y211" s="68"/>
    </row>
    <row r="212" spans="1:29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25"/>
      <c r="M212" s="322" t="s">
        <v>43</v>
      </c>
      <c r="N212" s="323"/>
      <c r="O212" s="323"/>
      <c r="P212" s="323"/>
      <c r="Q212" s="323"/>
      <c r="R212" s="323"/>
      <c r="S212" s="324"/>
      <c r="T212" s="43" t="s">
        <v>0</v>
      </c>
      <c r="U212" s="44">
        <f>IFERROR(SUM(U205:U210),"0")</f>
        <v>188</v>
      </c>
      <c r="V212" s="44">
        <f>IFERROR(SUM(V205:V210),"0")</f>
        <v>190.80000000000004</v>
      </c>
      <c r="W212" s="43"/>
      <c r="X212" s="68"/>
      <c r="Y212" s="68"/>
    </row>
    <row r="213" spans="1:29" ht="14.25" customHeight="1" x14ac:dyDescent="0.25">
      <c r="A213" s="326" t="s">
        <v>96</v>
      </c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67"/>
      <c r="Y213" s="67"/>
    </row>
    <row r="214" spans="1:29" ht="16.5" customHeight="1" x14ac:dyDescent="0.25">
      <c r="A214" s="64" t="s">
        <v>398</v>
      </c>
      <c r="B214" s="64" t="s">
        <v>399</v>
      </c>
      <c r="C214" s="37">
        <v>4301030232</v>
      </c>
      <c r="D214" s="316">
        <v>4607091388374</v>
      </c>
      <c r="E214" s="316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100</v>
      </c>
      <c r="L214" s="38">
        <v>180</v>
      </c>
      <c r="M214" s="432" t="s">
        <v>400</v>
      </c>
      <c r="N214" s="318"/>
      <c r="O214" s="318"/>
      <c r="P214" s="318"/>
      <c r="Q214" s="319"/>
      <c r="R214" s="40" t="s">
        <v>48</v>
      </c>
      <c r="S214" s="40" t="s">
        <v>48</v>
      </c>
      <c r="T214" s="41" t="s">
        <v>0</v>
      </c>
      <c r="U214" s="59">
        <v>3</v>
      </c>
      <c r="V214" s="56">
        <f>IFERROR(IF(U214="",0,CEILING((U214/$H214),1)*$H214),"")</f>
        <v>3.04</v>
      </c>
      <c r="W214" s="42">
        <f>IFERROR(IF(V214=0,"",ROUNDUP(V214/H214,0)*0.00753),"")</f>
        <v>7.5300000000000002E-3</v>
      </c>
      <c r="X214" s="69" t="s">
        <v>48</v>
      </c>
      <c r="Y214" s="70" t="s">
        <v>48</v>
      </c>
      <c r="AC214" s="199" t="s">
        <v>65</v>
      </c>
    </row>
    <row r="215" spans="1:29" ht="27" customHeight="1" x14ac:dyDescent="0.25">
      <c r="A215" s="64" t="s">
        <v>401</v>
      </c>
      <c r="B215" s="64" t="s">
        <v>402</v>
      </c>
      <c r="C215" s="37">
        <v>4301030235</v>
      </c>
      <c r="D215" s="316">
        <v>4607091388381</v>
      </c>
      <c r="E215" s="316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100</v>
      </c>
      <c r="L215" s="38">
        <v>180</v>
      </c>
      <c r="M215" s="433" t="s">
        <v>403</v>
      </c>
      <c r="N215" s="318"/>
      <c r="O215" s="318"/>
      <c r="P215" s="318"/>
      <c r="Q215" s="319"/>
      <c r="R215" s="40" t="s">
        <v>48</v>
      </c>
      <c r="S215" s="40" t="s">
        <v>48</v>
      </c>
      <c r="T215" s="41" t="s">
        <v>0</v>
      </c>
      <c r="U215" s="59">
        <v>6</v>
      </c>
      <c r="V215" s="56">
        <f>IFERROR(IF(U215="",0,CEILING((U215/$H215),1)*$H215),"")</f>
        <v>6.08</v>
      </c>
      <c r="W215" s="42">
        <f>IFERROR(IF(V215=0,"",ROUNDUP(V215/H215,0)*0.00753),"")</f>
        <v>1.506E-2</v>
      </c>
      <c r="X215" s="69" t="s">
        <v>48</v>
      </c>
      <c r="Y215" s="70" t="s">
        <v>48</v>
      </c>
      <c r="AC215" s="200" t="s">
        <v>65</v>
      </c>
    </row>
    <row r="216" spans="1:29" ht="27" customHeight="1" x14ac:dyDescent="0.25">
      <c r="A216" s="64" t="s">
        <v>404</v>
      </c>
      <c r="B216" s="64" t="s">
        <v>405</v>
      </c>
      <c r="C216" s="37">
        <v>4301030233</v>
      </c>
      <c r="D216" s="316">
        <v>4607091388404</v>
      </c>
      <c r="E216" s="316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100</v>
      </c>
      <c r="L216" s="38">
        <v>180</v>
      </c>
      <c r="M21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6" s="318"/>
      <c r="O216" s="318"/>
      <c r="P216" s="318"/>
      <c r="Q216" s="319"/>
      <c r="R216" s="40" t="s">
        <v>48</v>
      </c>
      <c r="S216" s="40" t="s">
        <v>48</v>
      </c>
      <c r="T216" s="41" t="s">
        <v>0</v>
      </c>
      <c r="U216" s="59">
        <v>5</v>
      </c>
      <c r="V216" s="56">
        <f>IFERROR(IF(U216="",0,CEILING((U216/$H216),1)*$H216),"")</f>
        <v>5.0999999999999996</v>
      </c>
      <c r="W216" s="42">
        <f>IFERROR(IF(V216=0,"",ROUNDUP(V216/H216,0)*0.00753),"")</f>
        <v>1.506E-2</v>
      </c>
      <c r="X216" s="69" t="s">
        <v>48</v>
      </c>
      <c r="Y216" s="70" t="s">
        <v>48</v>
      </c>
      <c r="AC216" s="201" t="s">
        <v>65</v>
      </c>
    </row>
    <row r="217" spans="1:29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25"/>
      <c r="M217" s="322" t="s">
        <v>43</v>
      </c>
      <c r="N217" s="323"/>
      <c r="O217" s="323"/>
      <c r="P217" s="323"/>
      <c r="Q217" s="323"/>
      <c r="R217" s="323"/>
      <c r="S217" s="324"/>
      <c r="T217" s="43" t="s">
        <v>42</v>
      </c>
      <c r="U217" s="44">
        <f>IFERROR(U214/H214,"0")+IFERROR(U215/H215,"0")+IFERROR(U216/H216,"0")</f>
        <v>4.9213106295149638</v>
      </c>
      <c r="V217" s="44">
        <f>IFERROR(V214/H214,"0")+IFERROR(V215/H215,"0")+IFERROR(V216/H216,"0")</f>
        <v>5</v>
      </c>
      <c r="W217" s="44">
        <f>IFERROR(IF(W214="",0,W214),"0")+IFERROR(IF(W215="",0,W215),"0")+IFERROR(IF(W216="",0,W216),"0")</f>
        <v>3.7650000000000003E-2</v>
      </c>
      <c r="X217" s="68"/>
      <c r="Y217" s="68"/>
    </row>
    <row r="218" spans="1:29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25"/>
      <c r="M218" s="322" t="s">
        <v>43</v>
      </c>
      <c r="N218" s="323"/>
      <c r="O218" s="323"/>
      <c r="P218" s="323"/>
      <c r="Q218" s="323"/>
      <c r="R218" s="323"/>
      <c r="S218" s="324"/>
      <c r="T218" s="43" t="s">
        <v>0</v>
      </c>
      <c r="U218" s="44">
        <f>IFERROR(SUM(U214:U216),"0")</f>
        <v>14</v>
      </c>
      <c r="V218" s="44">
        <f>IFERROR(SUM(V214:V216),"0")</f>
        <v>14.22</v>
      </c>
      <c r="W218" s="43"/>
      <c r="X218" s="68"/>
      <c r="Y218" s="68"/>
    </row>
    <row r="219" spans="1:29" ht="14.25" customHeight="1" x14ac:dyDescent="0.25">
      <c r="A219" s="326" t="s">
        <v>406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67"/>
      <c r="Y219" s="67"/>
    </row>
    <row r="220" spans="1:29" ht="16.5" customHeight="1" x14ac:dyDescent="0.25">
      <c r="A220" s="64" t="s">
        <v>407</v>
      </c>
      <c r="B220" s="64" t="s">
        <v>408</v>
      </c>
      <c r="C220" s="37">
        <v>4301180002</v>
      </c>
      <c r="D220" s="316">
        <v>4680115880122</v>
      </c>
      <c r="E220" s="316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409</v>
      </c>
      <c r="L220" s="38">
        <v>730</v>
      </c>
      <c r="M220" s="428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0" s="318"/>
      <c r="O220" s="318"/>
      <c r="P220" s="318"/>
      <c r="Q220" s="319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2" t="s">
        <v>65</v>
      </c>
    </row>
    <row r="221" spans="1:29" ht="16.5" customHeight="1" x14ac:dyDescent="0.25">
      <c r="A221" s="64" t="s">
        <v>410</v>
      </c>
      <c r="B221" s="64" t="s">
        <v>411</v>
      </c>
      <c r="C221" s="37">
        <v>4301180007</v>
      </c>
      <c r="D221" s="316">
        <v>4680115881808</v>
      </c>
      <c r="E221" s="316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409</v>
      </c>
      <c r="L221" s="38">
        <v>730</v>
      </c>
      <c r="M221" s="429" t="s">
        <v>412</v>
      </c>
      <c r="N221" s="318"/>
      <c r="O221" s="318"/>
      <c r="P221" s="318"/>
      <c r="Q221" s="319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3" t="s">
        <v>65</v>
      </c>
    </row>
    <row r="222" spans="1:29" ht="27" customHeight="1" x14ac:dyDescent="0.25">
      <c r="A222" s="64" t="s">
        <v>413</v>
      </c>
      <c r="B222" s="64" t="s">
        <v>414</v>
      </c>
      <c r="C222" s="37">
        <v>4301180006</v>
      </c>
      <c r="D222" s="316">
        <v>4680115881822</v>
      </c>
      <c r="E222" s="316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409</v>
      </c>
      <c r="L222" s="38">
        <v>730</v>
      </c>
      <c r="M222" s="430" t="s">
        <v>415</v>
      </c>
      <c r="N222" s="318"/>
      <c r="O222" s="318"/>
      <c r="P222" s="318"/>
      <c r="Q222" s="319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t="27" customHeight="1" x14ac:dyDescent="0.25">
      <c r="A223" s="64" t="s">
        <v>416</v>
      </c>
      <c r="B223" s="64" t="s">
        <v>417</v>
      </c>
      <c r="C223" s="37">
        <v>4301180001</v>
      </c>
      <c r="D223" s="316">
        <v>4680115880016</v>
      </c>
      <c r="E223" s="316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409</v>
      </c>
      <c r="L223" s="38">
        <v>730</v>
      </c>
      <c r="M223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3" s="318"/>
      <c r="O223" s="318"/>
      <c r="P223" s="318"/>
      <c r="Q223" s="319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  <c r="AC223" s="205" t="s">
        <v>65</v>
      </c>
    </row>
    <row r="224" spans="1:29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25"/>
      <c r="M224" s="322" t="s">
        <v>43</v>
      </c>
      <c r="N224" s="323"/>
      <c r="O224" s="323"/>
      <c r="P224" s="323"/>
      <c r="Q224" s="323"/>
      <c r="R224" s="323"/>
      <c r="S224" s="324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9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25"/>
      <c r="M225" s="322" t="s">
        <v>43</v>
      </c>
      <c r="N225" s="323"/>
      <c r="O225" s="323"/>
      <c r="P225" s="323"/>
      <c r="Q225" s="323"/>
      <c r="R225" s="323"/>
      <c r="S225" s="324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9" ht="16.5" customHeight="1" x14ac:dyDescent="0.25">
      <c r="A226" s="332" t="s">
        <v>418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66"/>
      <c r="Y226" s="66"/>
    </row>
    <row r="227" spans="1:29" ht="14.25" customHeight="1" x14ac:dyDescent="0.25">
      <c r="A227" s="326" t="s">
        <v>118</v>
      </c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26"/>
      <c r="W227" s="326"/>
      <c r="X227" s="67"/>
      <c r="Y227" s="67"/>
    </row>
    <row r="228" spans="1:29" ht="27" customHeight="1" x14ac:dyDescent="0.25">
      <c r="A228" s="64" t="s">
        <v>419</v>
      </c>
      <c r="B228" s="64" t="s">
        <v>420</v>
      </c>
      <c r="C228" s="37">
        <v>4301011315</v>
      </c>
      <c r="D228" s="316">
        <v>4607091387421</v>
      </c>
      <c r="E228" s="316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116</v>
      </c>
      <c r="L228" s="38">
        <v>55</v>
      </c>
      <c r="M22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8"/>
      <c r="O228" s="318"/>
      <c r="P228" s="318"/>
      <c r="Q228" s="319"/>
      <c r="R228" s="40" t="s">
        <v>48</v>
      </c>
      <c r="S228" s="40" t="s">
        <v>48</v>
      </c>
      <c r="T228" s="41" t="s">
        <v>0</v>
      </c>
      <c r="U228" s="59">
        <v>21</v>
      </c>
      <c r="V228" s="56">
        <f t="shared" ref="V228:V234" si="11">IFERROR(IF(U228="",0,CEILING((U228/$H228),1)*$H228),"")</f>
        <v>21.6</v>
      </c>
      <c r="W228" s="42">
        <f>IFERROR(IF(V228=0,"",ROUNDUP(V228/H228,0)*0.02175),"")</f>
        <v>4.3499999999999997E-2</v>
      </c>
      <c r="X228" s="69" t="s">
        <v>48</v>
      </c>
      <c r="Y228" s="70" t="s">
        <v>48</v>
      </c>
      <c r="AC228" s="206" t="s">
        <v>65</v>
      </c>
    </row>
    <row r="229" spans="1:29" ht="27" customHeight="1" x14ac:dyDescent="0.25">
      <c r="A229" s="64" t="s">
        <v>419</v>
      </c>
      <c r="B229" s="64" t="s">
        <v>421</v>
      </c>
      <c r="C229" s="37">
        <v>4301011121</v>
      </c>
      <c r="D229" s="316">
        <v>4607091387421</v>
      </c>
      <c r="E229" s="316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243</v>
      </c>
      <c r="L229" s="38">
        <v>55</v>
      </c>
      <c r="M22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9" s="318"/>
      <c r="O229" s="318"/>
      <c r="P229" s="318"/>
      <c r="Q229" s="319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1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07" t="s">
        <v>65</v>
      </c>
    </row>
    <row r="230" spans="1:29" ht="27" customHeight="1" x14ac:dyDescent="0.25">
      <c r="A230" s="64" t="s">
        <v>422</v>
      </c>
      <c r="B230" s="64" t="s">
        <v>423</v>
      </c>
      <c r="C230" s="37">
        <v>4301011396</v>
      </c>
      <c r="D230" s="316">
        <v>4607091387452</v>
      </c>
      <c r="E230" s="316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9" t="s">
        <v>243</v>
      </c>
      <c r="L230" s="38">
        <v>55</v>
      </c>
      <c r="M230" s="4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8"/>
      <c r="O230" s="318"/>
      <c r="P230" s="318"/>
      <c r="Q230" s="319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1"/>
        <v>0</v>
      </c>
      <c r="W230" s="42" t="str">
        <f>IFERROR(IF(V230=0,"",ROUNDUP(V230/H230,0)*0.02039),"")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422</v>
      </c>
      <c r="B231" s="64" t="s">
        <v>424</v>
      </c>
      <c r="C231" s="37">
        <v>4301011322</v>
      </c>
      <c r="D231" s="316">
        <v>4607091387452</v>
      </c>
      <c r="E231" s="316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142</v>
      </c>
      <c r="L231" s="38">
        <v>55</v>
      </c>
      <c r="M231" s="4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1" s="318"/>
      <c r="O231" s="318"/>
      <c r="P231" s="318"/>
      <c r="Q231" s="319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1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425</v>
      </c>
      <c r="B232" s="64" t="s">
        <v>426</v>
      </c>
      <c r="C232" s="37">
        <v>4301011313</v>
      </c>
      <c r="D232" s="316">
        <v>4607091385984</v>
      </c>
      <c r="E232" s="31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116</v>
      </c>
      <c r="L232" s="38">
        <v>55</v>
      </c>
      <c r="M23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2" s="318"/>
      <c r="O232" s="318"/>
      <c r="P232" s="318"/>
      <c r="Q232" s="319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1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427</v>
      </c>
      <c r="B233" s="64" t="s">
        <v>428</v>
      </c>
      <c r="C233" s="37">
        <v>4301011316</v>
      </c>
      <c r="D233" s="316">
        <v>4607091387438</v>
      </c>
      <c r="E233" s="316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116</v>
      </c>
      <c r="L233" s="38">
        <v>55</v>
      </c>
      <c r="M23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3" s="318"/>
      <c r="O233" s="318"/>
      <c r="P233" s="318"/>
      <c r="Q233" s="319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1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429</v>
      </c>
      <c r="B234" s="64" t="s">
        <v>430</v>
      </c>
      <c r="C234" s="37">
        <v>4301011318</v>
      </c>
      <c r="D234" s="316">
        <v>4607091387469</v>
      </c>
      <c r="E234" s="316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81</v>
      </c>
      <c r="L234" s="38">
        <v>55</v>
      </c>
      <c r="M23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4" s="318"/>
      <c r="O234" s="318"/>
      <c r="P234" s="318"/>
      <c r="Q234" s="319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1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  <c r="AC234" s="212" t="s">
        <v>65</v>
      </c>
    </row>
    <row r="235" spans="1:29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25"/>
      <c r="M235" s="322" t="s">
        <v>43</v>
      </c>
      <c r="N235" s="323"/>
      <c r="O235" s="323"/>
      <c r="P235" s="323"/>
      <c r="Q235" s="323"/>
      <c r="R235" s="323"/>
      <c r="S235" s="324"/>
      <c r="T235" s="43" t="s">
        <v>42</v>
      </c>
      <c r="U235" s="44">
        <f>IFERROR(U228/H228,"0")+IFERROR(U229/H229,"0")+IFERROR(U230/H230,"0")+IFERROR(U231/H231,"0")+IFERROR(U232/H232,"0")+IFERROR(U233/H233,"0")+IFERROR(U234/H234,"0")</f>
        <v>1.9444444444444444</v>
      </c>
      <c r="V235" s="44">
        <f>IFERROR(V228/H228,"0")+IFERROR(V229/H229,"0")+IFERROR(V230/H230,"0")+IFERROR(V231/H231,"0")+IFERROR(V232/H232,"0")+IFERROR(V233/H233,"0")+IFERROR(V234/H234,"0")</f>
        <v>2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4.3499999999999997E-2</v>
      </c>
      <c r="X235" s="68"/>
      <c r="Y235" s="68"/>
    </row>
    <row r="236" spans="1:29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25"/>
      <c r="M236" s="322" t="s">
        <v>43</v>
      </c>
      <c r="N236" s="323"/>
      <c r="O236" s="323"/>
      <c r="P236" s="323"/>
      <c r="Q236" s="323"/>
      <c r="R236" s="323"/>
      <c r="S236" s="324"/>
      <c r="T236" s="43" t="s">
        <v>0</v>
      </c>
      <c r="U236" s="44">
        <f>IFERROR(SUM(U228:U234),"0")</f>
        <v>21</v>
      </c>
      <c r="V236" s="44">
        <f>IFERROR(SUM(V228:V234),"0")</f>
        <v>21.6</v>
      </c>
      <c r="W236" s="43"/>
      <c r="X236" s="68"/>
      <c r="Y236" s="68"/>
    </row>
    <row r="237" spans="1:29" ht="14.25" customHeight="1" x14ac:dyDescent="0.25">
      <c r="A237" s="326" t="s">
        <v>77</v>
      </c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67"/>
      <c r="Y237" s="67"/>
    </row>
    <row r="238" spans="1:29" ht="27" customHeight="1" x14ac:dyDescent="0.25">
      <c r="A238" s="64" t="s">
        <v>431</v>
      </c>
      <c r="B238" s="64" t="s">
        <v>432</v>
      </c>
      <c r="C238" s="37">
        <v>4301031154</v>
      </c>
      <c r="D238" s="316">
        <v>4607091387292</v>
      </c>
      <c r="E238" s="316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81</v>
      </c>
      <c r="L238" s="38">
        <v>45</v>
      </c>
      <c r="M238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8" s="318"/>
      <c r="O238" s="318"/>
      <c r="P238" s="318"/>
      <c r="Q238" s="319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3" t="s">
        <v>65</v>
      </c>
    </row>
    <row r="239" spans="1:29" ht="27" customHeight="1" x14ac:dyDescent="0.25">
      <c r="A239" s="64" t="s">
        <v>433</v>
      </c>
      <c r="B239" s="64" t="s">
        <v>434</v>
      </c>
      <c r="C239" s="37">
        <v>4301031155</v>
      </c>
      <c r="D239" s="316">
        <v>4607091387315</v>
      </c>
      <c r="E239" s="316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81</v>
      </c>
      <c r="L239" s="38">
        <v>45</v>
      </c>
      <c r="M239" s="4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9" s="318"/>
      <c r="O239" s="318"/>
      <c r="P239" s="318"/>
      <c r="Q239" s="319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14" t="s">
        <v>65</v>
      </c>
    </row>
    <row r="240" spans="1:29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25"/>
      <c r="M240" s="322" t="s">
        <v>43</v>
      </c>
      <c r="N240" s="323"/>
      <c r="O240" s="323"/>
      <c r="P240" s="323"/>
      <c r="Q240" s="323"/>
      <c r="R240" s="323"/>
      <c r="S240" s="324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9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25"/>
      <c r="M241" s="322" t="s">
        <v>43</v>
      </c>
      <c r="N241" s="323"/>
      <c r="O241" s="323"/>
      <c r="P241" s="323"/>
      <c r="Q241" s="323"/>
      <c r="R241" s="323"/>
      <c r="S241" s="324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9" ht="16.5" customHeight="1" x14ac:dyDescent="0.25">
      <c r="A242" s="332" t="s">
        <v>435</v>
      </c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2"/>
      <c r="P242" s="332"/>
      <c r="Q242" s="332"/>
      <c r="R242" s="332"/>
      <c r="S242" s="332"/>
      <c r="T242" s="332"/>
      <c r="U242" s="332"/>
      <c r="V242" s="332"/>
      <c r="W242" s="332"/>
      <c r="X242" s="66"/>
      <c r="Y242" s="66"/>
    </row>
    <row r="243" spans="1:29" ht="14.25" customHeight="1" x14ac:dyDescent="0.25">
      <c r="A243" s="326" t="s">
        <v>77</v>
      </c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67"/>
      <c r="Y243" s="67"/>
    </row>
    <row r="244" spans="1:29" ht="37.5" customHeight="1" x14ac:dyDescent="0.25">
      <c r="A244" s="64" t="s">
        <v>436</v>
      </c>
      <c r="B244" s="64" t="s">
        <v>437</v>
      </c>
      <c r="C244" s="37">
        <v>4301030368</v>
      </c>
      <c r="D244" s="316">
        <v>4607091383232</v>
      </c>
      <c r="E244" s="316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81</v>
      </c>
      <c r="L244" s="38">
        <v>35</v>
      </c>
      <c r="M244" s="41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4" s="318"/>
      <c r="O244" s="318"/>
      <c r="P244" s="318"/>
      <c r="Q244" s="319"/>
      <c r="R244" s="40" t="s">
        <v>48</v>
      </c>
      <c r="S244" s="40" t="s">
        <v>48</v>
      </c>
      <c r="T244" s="41" t="s">
        <v>0</v>
      </c>
      <c r="U244" s="59">
        <v>117</v>
      </c>
      <c r="V244" s="56">
        <f>IFERROR(IF(U244="",0,CEILING((U244/$H244),1)*$H244),"")</f>
        <v>117.6</v>
      </c>
      <c r="W244" s="42">
        <f>IFERROR(IF(V244=0,"",ROUNDUP(V244/H244,0)*0.00753),"")</f>
        <v>0.52710000000000001</v>
      </c>
      <c r="X244" s="69" t="s">
        <v>48</v>
      </c>
      <c r="Y244" s="70" t="s">
        <v>48</v>
      </c>
      <c r="AC244" s="215" t="s">
        <v>65</v>
      </c>
    </row>
    <row r="245" spans="1:29" ht="27" customHeight="1" x14ac:dyDescent="0.25">
      <c r="A245" s="64" t="s">
        <v>438</v>
      </c>
      <c r="B245" s="64" t="s">
        <v>439</v>
      </c>
      <c r="C245" s="37">
        <v>4301031066</v>
      </c>
      <c r="D245" s="316">
        <v>4607091383836</v>
      </c>
      <c r="E245" s="316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81</v>
      </c>
      <c r="L245" s="38">
        <v>40</v>
      </c>
      <c r="M245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5" s="318"/>
      <c r="O245" s="318"/>
      <c r="P245" s="318"/>
      <c r="Q245" s="319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216" t="s">
        <v>65</v>
      </c>
    </row>
    <row r="246" spans="1:29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25"/>
      <c r="M246" s="322" t="s">
        <v>43</v>
      </c>
      <c r="N246" s="323"/>
      <c r="O246" s="323"/>
      <c r="P246" s="323"/>
      <c r="Q246" s="323"/>
      <c r="R246" s="323"/>
      <c r="S246" s="324"/>
      <c r="T246" s="43" t="s">
        <v>42</v>
      </c>
      <c r="U246" s="44">
        <f>IFERROR(U244/H244,"0")+IFERROR(U245/H245,"0")</f>
        <v>69.642857142857139</v>
      </c>
      <c r="V246" s="44">
        <f>IFERROR(V244/H244,"0")+IFERROR(V245/H245,"0")</f>
        <v>70</v>
      </c>
      <c r="W246" s="44">
        <f>IFERROR(IF(W244="",0,W244),"0")+IFERROR(IF(W245="",0,W245),"0")</f>
        <v>0.52710000000000001</v>
      </c>
      <c r="X246" s="68"/>
      <c r="Y246" s="68"/>
    </row>
    <row r="247" spans="1:29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25"/>
      <c r="M247" s="322" t="s">
        <v>43</v>
      </c>
      <c r="N247" s="323"/>
      <c r="O247" s="323"/>
      <c r="P247" s="323"/>
      <c r="Q247" s="323"/>
      <c r="R247" s="323"/>
      <c r="S247" s="324"/>
      <c r="T247" s="43" t="s">
        <v>0</v>
      </c>
      <c r="U247" s="44">
        <f>IFERROR(SUM(U244:U245),"0")</f>
        <v>117</v>
      </c>
      <c r="V247" s="44">
        <f>IFERROR(SUM(V244:V245),"0")</f>
        <v>117.6</v>
      </c>
      <c r="W247" s="43"/>
      <c r="X247" s="68"/>
      <c r="Y247" s="68"/>
    </row>
    <row r="248" spans="1:29" ht="14.25" customHeight="1" x14ac:dyDescent="0.25">
      <c r="A248" s="326" t="s">
        <v>82</v>
      </c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67"/>
      <c r="Y248" s="67"/>
    </row>
    <row r="249" spans="1:29" ht="27" customHeight="1" x14ac:dyDescent="0.25">
      <c r="A249" s="64" t="s">
        <v>440</v>
      </c>
      <c r="B249" s="64" t="s">
        <v>441</v>
      </c>
      <c r="C249" s="37">
        <v>4301051142</v>
      </c>
      <c r="D249" s="316">
        <v>4607091387919</v>
      </c>
      <c r="E249" s="316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81</v>
      </c>
      <c r="L249" s="38">
        <v>45</v>
      </c>
      <c r="M249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9" s="318"/>
      <c r="O249" s="318"/>
      <c r="P249" s="318"/>
      <c r="Q249" s="319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217" t="s">
        <v>65</v>
      </c>
    </row>
    <row r="250" spans="1:29" ht="27" customHeight="1" x14ac:dyDescent="0.25">
      <c r="A250" s="64" t="s">
        <v>442</v>
      </c>
      <c r="B250" s="64" t="s">
        <v>443</v>
      </c>
      <c r="C250" s="37">
        <v>4301051109</v>
      </c>
      <c r="D250" s="316">
        <v>4607091383942</v>
      </c>
      <c r="E250" s="316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142</v>
      </c>
      <c r="L250" s="38">
        <v>45</v>
      </c>
      <c r="M250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0" s="318"/>
      <c r="O250" s="318"/>
      <c r="P250" s="318"/>
      <c r="Q250" s="319"/>
      <c r="R250" s="40" t="s">
        <v>48</v>
      </c>
      <c r="S250" s="40" t="s">
        <v>48</v>
      </c>
      <c r="T250" s="41" t="s">
        <v>0</v>
      </c>
      <c r="U250" s="59">
        <v>635</v>
      </c>
      <c r="V250" s="56">
        <f>IFERROR(IF(U250="",0,CEILING((U250/$H250),1)*$H250),"")</f>
        <v>635.04</v>
      </c>
      <c r="W250" s="42">
        <f>IFERROR(IF(V250=0,"",ROUNDUP(V250/H250,0)*0.00753),"")</f>
        <v>1.8975600000000001</v>
      </c>
      <c r="X250" s="69" t="s">
        <v>48</v>
      </c>
      <c r="Y250" s="70" t="s">
        <v>48</v>
      </c>
      <c r="AC250" s="218" t="s">
        <v>65</v>
      </c>
    </row>
    <row r="251" spans="1:29" ht="27" customHeight="1" x14ac:dyDescent="0.25">
      <c r="A251" s="64" t="s">
        <v>444</v>
      </c>
      <c r="B251" s="64" t="s">
        <v>445</v>
      </c>
      <c r="C251" s="37">
        <v>4301051300</v>
      </c>
      <c r="D251" s="316">
        <v>4607091383959</v>
      </c>
      <c r="E251" s="316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81</v>
      </c>
      <c r="L251" s="38">
        <v>35</v>
      </c>
      <c r="M251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1" s="318"/>
      <c r="O251" s="318"/>
      <c r="P251" s="318"/>
      <c r="Q251" s="319"/>
      <c r="R251" s="40" t="s">
        <v>48</v>
      </c>
      <c r="S251" s="40" t="s">
        <v>48</v>
      </c>
      <c r="T251" s="41" t="s">
        <v>0</v>
      </c>
      <c r="U251" s="59">
        <v>262</v>
      </c>
      <c r="V251" s="56">
        <f>IFERROR(IF(U251="",0,CEILING((U251/$H251),1)*$H251),"")</f>
        <v>262.08</v>
      </c>
      <c r="W251" s="42">
        <f>IFERROR(IF(V251=0,"",ROUNDUP(V251/H251,0)*0.00753),"")</f>
        <v>0.78312000000000004</v>
      </c>
      <c r="X251" s="69" t="s">
        <v>48</v>
      </c>
      <c r="Y251" s="70" t="s">
        <v>48</v>
      </c>
      <c r="AC251" s="219" t="s">
        <v>65</v>
      </c>
    </row>
    <row r="252" spans="1:29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25"/>
      <c r="M252" s="322" t="s">
        <v>43</v>
      </c>
      <c r="N252" s="323"/>
      <c r="O252" s="323"/>
      <c r="P252" s="323"/>
      <c r="Q252" s="323"/>
      <c r="R252" s="323"/>
      <c r="S252" s="324"/>
      <c r="T252" s="43" t="s">
        <v>42</v>
      </c>
      <c r="U252" s="44">
        <f>IFERROR(U249/H249,"0")+IFERROR(U250/H250,"0")+IFERROR(U251/H251,"0")</f>
        <v>355.95238095238096</v>
      </c>
      <c r="V252" s="44">
        <f>IFERROR(V249/H249,"0")+IFERROR(V250/H250,"0")+IFERROR(V251/H251,"0")</f>
        <v>356</v>
      </c>
      <c r="W252" s="44">
        <f>IFERROR(IF(W249="",0,W249),"0")+IFERROR(IF(W250="",0,W250),"0")+IFERROR(IF(W251="",0,W251),"0")</f>
        <v>2.6806800000000002</v>
      </c>
      <c r="X252" s="68"/>
      <c r="Y252" s="68"/>
    </row>
    <row r="253" spans="1:29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25"/>
      <c r="M253" s="322" t="s">
        <v>43</v>
      </c>
      <c r="N253" s="323"/>
      <c r="O253" s="323"/>
      <c r="P253" s="323"/>
      <c r="Q253" s="323"/>
      <c r="R253" s="323"/>
      <c r="S253" s="324"/>
      <c r="T253" s="43" t="s">
        <v>0</v>
      </c>
      <c r="U253" s="44">
        <f>IFERROR(SUM(U249:U251),"0")</f>
        <v>897</v>
      </c>
      <c r="V253" s="44">
        <f>IFERROR(SUM(V249:V251),"0")</f>
        <v>897.11999999999989</v>
      </c>
      <c r="W253" s="43"/>
      <c r="X253" s="68"/>
      <c r="Y253" s="68"/>
    </row>
    <row r="254" spans="1:29" ht="14.25" customHeight="1" x14ac:dyDescent="0.25">
      <c r="A254" s="326" t="s">
        <v>210</v>
      </c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67"/>
      <c r="Y254" s="67"/>
    </row>
    <row r="255" spans="1:29" ht="27" customHeight="1" x14ac:dyDescent="0.25">
      <c r="A255" s="64" t="s">
        <v>446</v>
      </c>
      <c r="B255" s="64" t="s">
        <v>447</v>
      </c>
      <c r="C255" s="37">
        <v>4301060324</v>
      </c>
      <c r="D255" s="316">
        <v>4607091388831</v>
      </c>
      <c r="E255" s="316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81</v>
      </c>
      <c r="L255" s="38">
        <v>40</v>
      </c>
      <c r="M255" s="4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318"/>
      <c r="O255" s="318"/>
      <c r="P255" s="318"/>
      <c r="Q255" s="319"/>
      <c r="R255" s="40" t="s">
        <v>48</v>
      </c>
      <c r="S255" s="40" t="s">
        <v>48</v>
      </c>
      <c r="T255" s="41" t="s">
        <v>0</v>
      </c>
      <c r="U255" s="59">
        <v>15</v>
      </c>
      <c r="V255" s="56">
        <f>IFERROR(IF(U255="",0,CEILING((U255/$H255),1)*$H255),"")</f>
        <v>15.959999999999999</v>
      </c>
      <c r="W255" s="42">
        <f>IFERROR(IF(V255=0,"",ROUNDUP(V255/H255,0)*0.00753),"")</f>
        <v>5.271E-2</v>
      </c>
      <c r="X255" s="69" t="s">
        <v>48</v>
      </c>
      <c r="Y255" s="70" t="s">
        <v>48</v>
      </c>
      <c r="AC255" s="220" t="s">
        <v>65</v>
      </c>
    </row>
    <row r="256" spans="1:29" x14ac:dyDescent="0.2">
      <c r="A256" s="314"/>
      <c r="B256" s="314"/>
      <c r="C256" s="314"/>
      <c r="D256" s="314"/>
      <c r="E256" s="314"/>
      <c r="F256" s="314"/>
      <c r="G256" s="314"/>
      <c r="H256" s="314"/>
      <c r="I256" s="314"/>
      <c r="J256" s="314"/>
      <c r="K256" s="314"/>
      <c r="L256" s="325"/>
      <c r="M256" s="322" t="s">
        <v>43</v>
      </c>
      <c r="N256" s="323"/>
      <c r="O256" s="323"/>
      <c r="P256" s="323"/>
      <c r="Q256" s="323"/>
      <c r="R256" s="323"/>
      <c r="S256" s="324"/>
      <c r="T256" s="43" t="s">
        <v>42</v>
      </c>
      <c r="U256" s="44">
        <f>IFERROR(U255/H255,"0")</f>
        <v>6.5789473684210531</v>
      </c>
      <c r="V256" s="44">
        <f>IFERROR(V255/H255,"0")</f>
        <v>7</v>
      </c>
      <c r="W256" s="44">
        <f>IFERROR(IF(W255="",0,W255),"0")</f>
        <v>5.271E-2</v>
      </c>
      <c r="X256" s="68"/>
      <c r="Y256" s="68"/>
    </row>
    <row r="257" spans="1:29" x14ac:dyDescent="0.2">
      <c r="A257" s="314"/>
      <c r="B257" s="314"/>
      <c r="C257" s="314"/>
      <c r="D257" s="314"/>
      <c r="E257" s="314"/>
      <c r="F257" s="314"/>
      <c r="G257" s="314"/>
      <c r="H257" s="314"/>
      <c r="I257" s="314"/>
      <c r="J257" s="314"/>
      <c r="K257" s="314"/>
      <c r="L257" s="325"/>
      <c r="M257" s="322" t="s">
        <v>43</v>
      </c>
      <c r="N257" s="323"/>
      <c r="O257" s="323"/>
      <c r="P257" s="323"/>
      <c r="Q257" s="323"/>
      <c r="R257" s="323"/>
      <c r="S257" s="324"/>
      <c r="T257" s="43" t="s">
        <v>0</v>
      </c>
      <c r="U257" s="44">
        <f>IFERROR(SUM(U255:U255),"0")</f>
        <v>15</v>
      </c>
      <c r="V257" s="44">
        <f>IFERROR(SUM(V255:V255),"0")</f>
        <v>15.959999999999999</v>
      </c>
      <c r="W257" s="43"/>
      <c r="X257" s="68"/>
      <c r="Y257" s="68"/>
    </row>
    <row r="258" spans="1:29" ht="14.25" customHeight="1" x14ac:dyDescent="0.25">
      <c r="A258" s="326" t="s">
        <v>96</v>
      </c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67"/>
      <c r="Y258" s="67"/>
    </row>
    <row r="259" spans="1:29" ht="27" customHeight="1" x14ac:dyDescent="0.25">
      <c r="A259" s="64" t="s">
        <v>448</v>
      </c>
      <c r="B259" s="64" t="s">
        <v>449</v>
      </c>
      <c r="C259" s="37">
        <v>4301032015</v>
      </c>
      <c r="D259" s="316">
        <v>4607091383102</v>
      </c>
      <c r="E259" s="316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100</v>
      </c>
      <c r="L259" s="38">
        <v>180</v>
      </c>
      <c r="M259" s="4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9" s="318"/>
      <c r="O259" s="318"/>
      <c r="P259" s="318"/>
      <c r="Q259" s="319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1" t="s">
        <v>65</v>
      </c>
    </row>
    <row r="260" spans="1:29" x14ac:dyDescent="0.2">
      <c r="A260" s="314"/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25"/>
      <c r="M260" s="322" t="s">
        <v>43</v>
      </c>
      <c r="N260" s="323"/>
      <c r="O260" s="323"/>
      <c r="P260" s="323"/>
      <c r="Q260" s="323"/>
      <c r="R260" s="323"/>
      <c r="S260" s="324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14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25"/>
      <c r="M261" s="322" t="s">
        <v>43</v>
      </c>
      <c r="N261" s="323"/>
      <c r="O261" s="323"/>
      <c r="P261" s="323"/>
      <c r="Q261" s="323"/>
      <c r="R261" s="323"/>
      <c r="S261" s="324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27.75" customHeight="1" x14ac:dyDescent="0.2">
      <c r="A262" s="331" t="s">
        <v>450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55"/>
      <c r="Y262" s="55"/>
    </row>
    <row r="263" spans="1:29" ht="16.5" customHeight="1" x14ac:dyDescent="0.25">
      <c r="A263" s="332" t="s">
        <v>451</v>
      </c>
      <c r="B263" s="332"/>
      <c r="C263" s="332"/>
      <c r="D263" s="332"/>
      <c r="E263" s="332"/>
      <c r="F263" s="332"/>
      <c r="G263" s="332"/>
      <c r="H263" s="332"/>
      <c r="I263" s="332"/>
      <c r="J263" s="332"/>
      <c r="K263" s="332"/>
      <c r="L263" s="332"/>
      <c r="M263" s="332"/>
      <c r="N263" s="332"/>
      <c r="O263" s="332"/>
      <c r="P263" s="332"/>
      <c r="Q263" s="332"/>
      <c r="R263" s="332"/>
      <c r="S263" s="332"/>
      <c r="T263" s="332"/>
      <c r="U263" s="332"/>
      <c r="V263" s="332"/>
      <c r="W263" s="332"/>
      <c r="X263" s="66"/>
      <c r="Y263" s="66"/>
    </row>
    <row r="264" spans="1:29" ht="14.25" customHeight="1" x14ac:dyDescent="0.25">
      <c r="A264" s="326" t="s">
        <v>118</v>
      </c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67"/>
      <c r="Y264" s="67"/>
    </row>
    <row r="265" spans="1:29" ht="27" customHeight="1" x14ac:dyDescent="0.25">
      <c r="A265" s="64" t="s">
        <v>452</v>
      </c>
      <c r="B265" s="64" t="s">
        <v>453</v>
      </c>
      <c r="C265" s="37">
        <v>4301011239</v>
      </c>
      <c r="D265" s="316">
        <v>4607091383997</v>
      </c>
      <c r="E265" s="316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243</v>
      </c>
      <c r="L265" s="38">
        <v>60</v>
      </c>
      <c r="M265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18"/>
      <c r="O265" s="318"/>
      <c r="P265" s="318"/>
      <c r="Q265" s="319"/>
      <c r="R265" s="40" t="s">
        <v>48</v>
      </c>
      <c r="S265" s="40" t="s">
        <v>48</v>
      </c>
      <c r="T265" s="41" t="s">
        <v>0</v>
      </c>
      <c r="U265" s="59">
        <v>3700</v>
      </c>
      <c r="V265" s="56">
        <f t="shared" ref="V265:V272" si="12">IFERROR(IF(U265="",0,CEILING((U265/$H265),1)*$H265),"")</f>
        <v>3705</v>
      </c>
      <c r="W265" s="42">
        <f>IFERROR(IF(V265=0,"",ROUNDUP(V265/H265,0)*0.02039),"")</f>
        <v>5.0363299999999995</v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452</v>
      </c>
      <c r="B266" s="64" t="s">
        <v>454</v>
      </c>
      <c r="C266" s="37">
        <v>4301011339</v>
      </c>
      <c r="D266" s="316">
        <v>4607091383997</v>
      </c>
      <c r="E266" s="316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81</v>
      </c>
      <c r="L266" s="38">
        <v>60</v>
      </c>
      <c r="M266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6" s="318"/>
      <c r="O266" s="318"/>
      <c r="P266" s="318"/>
      <c r="Q266" s="319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2"/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  <c r="AC266" s="223" t="s">
        <v>65</v>
      </c>
    </row>
    <row r="267" spans="1:29" ht="27" customHeight="1" x14ac:dyDescent="0.25">
      <c r="A267" s="64" t="s">
        <v>455</v>
      </c>
      <c r="B267" s="64" t="s">
        <v>456</v>
      </c>
      <c r="C267" s="37">
        <v>4301011326</v>
      </c>
      <c r="D267" s="316">
        <v>4607091384130</v>
      </c>
      <c r="E267" s="316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81</v>
      </c>
      <c r="L267" s="38">
        <v>60</v>
      </c>
      <c r="M267" s="4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18"/>
      <c r="O267" s="318"/>
      <c r="P267" s="318"/>
      <c r="Q267" s="319"/>
      <c r="R267" s="40" t="s">
        <v>48</v>
      </c>
      <c r="S267" s="40" t="s">
        <v>48</v>
      </c>
      <c r="T267" s="41" t="s">
        <v>0</v>
      </c>
      <c r="U267" s="59">
        <v>120</v>
      </c>
      <c r="V267" s="56">
        <f t="shared" si="12"/>
        <v>120</v>
      </c>
      <c r="W267" s="42">
        <f>IFERROR(IF(V267=0,"",ROUNDUP(V267/H267,0)*0.02175),"")</f>
        <v>0.17399999999999999</v>
      </c>
      <c r="X267" s="69" t="s">
        <v>48</v>
      </c>
      <c r="Y267" s="70" t="s">
        <v>48</v>
      </c>
      <c r="AC267" s="224" t="s">
        <v>65</v>
      </c>
    </row>
    <row r="268" spans="1:29" ht="27" customHeight="1" x14ac:dyDescent="0.25">
      <c r="A268" s="64" t="s">
        <v>455</v>
      </c>
      <c r="B268" s="64" t="s">
        <v>457</v>
      </c>
      <c r="C268" s="37">
        <v>4301011240</v>
      </c>
      <c r="D268" s="316">
        <v>4607091384130</v>
      </c>
      <c r="E268" s="316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243</v>
      </c>
      <c r="L268" s="38">
        <v>60</v>
      </c>
      <c r="M268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8" s="318"/>
      <c r="O268" s="318"/>
      <c r="P268" s="318"/>
      <c r="Q268" s="319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2"/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65</v>
      </c>
    </row>
    <row r="269" spans="1:29" ht="16.5" customHeight="1" x14ac:dyDescent="0.25">
      <c r="A269" s="64" t="s">
        <v>458</v>
      </c>
      <c r="B269" s="64" t="s">
        <v>459</v>
      </c>
      <c r="C269" s="37">
        <v>4301011330</v>
      </c>
      <c r="D269" s="316">
        <v>4607091384147</v>
      </c>
      <c r="E269" s="316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81</v>
      </c>
      <c r="L269" s="38">
        <v>60</v>
      </c>
      <c r="M269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9" s="318"/>
      <c r="O269" s="318"/>
      <c r="P269" s="318"/>
      <c r="Q269" s="319"/>
      <c r="R269" s="40" t="s">
        <v>48</v>
      </c>
      <c r="S269" s="40" t="s">
        <v>48</v>
      </c>
      <c r="T269" s="41" t="s">
        <v>0</v>
      </c>
      <c r="U269" s="59">
        <v>400</v>
      </c>
      <c r="V269" s="56">
        <f t="shared" si="12"/>
        <v>405</v>
      </c>
      <c r="W269" s="42">
        <f>IFERROR(IF(V269=0,"",ROUNDUP(V269/H269,0)*0.02175),"")</f>
        <v>0.58724999999999994</v>
      </c>
      <c r="X269" s="69" t="s">
        <v>48</v>
      </c>
      <c r="Y269" s="70" t="s">
        <v>48</v>
      </c>
      <c r="AC269" s="226" t="s">
        <v>65</v>
      </c>
    </row>
    <row r="270" spans="1:29" ht="16.5" customHeight="1" x14ac:dyDescent="0.25">
      <c r="A270" s="64" t="s">
        <v>458</v>
      </c>
      <c r="B270" s="64" t="s">
        <v>460</v>
      </c>
      <c r="C270" s="37">
        <v>4301011238</v>
      </c>
      <c r="D270" s="316">
        <v>4607091384147</v>
      </c>
      <c r="E270" s="316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243</v>
      </c>
      <c r="L270" s="38">
        <v>60</v>
      </c>
      <c r="M270" s="408" t="s">
        <v>461</v>
      </c>
      <c r="N270" s="318"/>
      <c r="O270" s="318"/>
      <c r="P270" s="318"/>
      <c r="Q270" s="319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2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462</v>
      </c>
      <c r="B271" s="64" t="s">
        <v>463</v>
      </c>
      <c r="C271" s="37">
        <v>4301011327</v>
      </c>
      <c r="D271" s="316">
        <v>4607091384154</v>
      </c>
      <c r="E271" s="316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81</v>
      </c>
      <c r="L271" s="38">
        <v>60</v>
      </c>
      <c r="M271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1" s="318"/>
      <c r="O271" s="318"/>
      <c r="P271" s="318"/>
      <c r="Q271" s="319"/>
      <c r="R271" s="40" t="s">
        <v>48</v>
      </c>
      <c r="S271" s="40" t="s">
        <v>48</v>
      </c>
      <c r="T271" s="41" t="s">
        <v>0</v>
      </c>
      <c r="U271" s="59">
        <v>10</v>
      </c>
      <c r="V271" s="56">
        <f t="shared" si="12"/>
        <v>10</v>
      </c>
      <c r="W271" s="42">
        <f>IFERROR(IF(V271=0,"",ROUNDUP(V271/H271,0)*0.00937),"")</f>
        <v>1.874E-2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464</v>
      </c>
      <c r="B272" s="64" t="s">
        <v>465</v>
      </c>
      <c r="C272" s="37">
        <v>4301011332</v>
      </c>
      <c r="D272" s="316">
        <v>4607091384161</v>
      </c>
      <c r="E272" s="316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81</v>
      </c>
      <c r="L272" s="38">
        <v>60</v>
      </c>
      <c r="M272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2" s="318"/>
      <c r="O272" s="318"/>
      <c r="P272" s="318"/>
      <c r="Q272" s="319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2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  <c r="AC272" s="229" t="s">
        <v>65</v>
      </c>
    </row>
    <row r="273" spans="1:29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25"/>
      <c r="M273" s="322" t="s">
        <v>43</v>
      </c>
      <c r="N273" s="323"/>
      <c r="O273" s="323"/>
      <c r="P273" s="323"/>
      <c r="Q273" s="323"/>
      <c r="R273" s="323"/>
      <c r="S273" s="324"/>
      <c r="T273" s="43" t="s">
        <v>42</v>
      </c>
      <c r="U273" s="44">
        <f>IFERROR(U265/H265,"0")+IFERROR(U266/H266,"0")+IFERROR(U267/H267,"0")+IFERROR(U268/H268,"0")+IFERROR(U269/H269,"0")+IFERROR(U270/H270,"0")+IFERROR(U271/H271,"0")+IFERROR(U272/H272,"0")</f>
        <v>283.33333333333331</v>
      </c>
      <c r="V273" s="44">
        <f>IFERROR(V265/H265,"0")+IFERROR(V266/H266,"0")+IFERROR(V267/H267,"0")+IFERROR(V268/H268,"0")+IFERROR(V269/H269,"0")+IFERROR(V270/H270,"0")+IFERROR(V271/H271,"0")+IFERROR(V272/H272,"0")</f>
        <v>284</v>
      </c>
      <c r="W273" s="44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5.8163200000000002</v>
      </c>
      <c r="X273" s="68"/>
      <c r="Y273" s="68"/>
    </row>
    <row r="274" spans="1:29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25"/>
      <c r="M274" s="322" t="s">
        <v>43</v>
      </c>
      <c r="N274" s="323"/>
      <c r="O274" s="323"/>
      <c r="P274" s="323"/>
      <c r="Q274" s="323"/>
      <c r="R274" s="323"/>
      <c r="S274" s="324"/>
      <c r="T274" s="43" t="s">
        <v>0</v>
      </c>
      <c r="U274" s="44">
        <f>IFERROR(SUM(U265:U272),"0")</f>
        <v>4230</v>
      </c>
      <c r="V274" s="44">
        <f>IFERROR(SUM(V265:V272),"0")</f>
        <v>4240</v>
      </c>
      <c r="W274" s="43"/>
      <c r="X274" s="68"/>
      <c r="Y274" s="68"/>
    </row>
    <row r="275" spans="1:29" ht="14.25" customHeight="1" x14ac:dyDescent="0.25">
      <c r="A275" s="326" t="s">
        <v>113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67"/>
      <c r="Y275" s="67"/>
    </row>
    <row r="276" spans="1:29" ht="27" customHeight="1" x14ac:dyDescent="0.25">
      <c r="A276" s="64" t="s">
        <v>466</v>
      </c>
      <c r="B276" s="64" t="s">
        <v>467</v>
      </c>
      <c r="C276" s="37">
        <v>4301020178</v>
      </c>
      <c r="D276" s="316">
        <v>4607091383980</v>
      </c>
      <c r="E276" s="316"/>
      <c r="F276" s="63">
        <v>2.5</v>
      </c>
      <c r="G276" s="38">
        <v>6</v>
      </c>
      <c r="H276" s="63">
        <v>15</v>
      </c>
      <c r="I276" s="63">
        <v>15.48</v>
      </c>
      <c r="J276" s="38">
        <v>48</v>
      </c>
      <c r="K276" s="39" t="s">
        <v>116</v>
      </c>
      <c r="L276" s="38">
        <v>50</v>
      </c>
      <c r="M27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6" s="318"/>
      <c r="O276" s="318"/>
      <c r="P276" s="318"/>
      <c r="Q276" s="319"/>
      <c r="R276" s="40" t="s">
        <v>48</v>
      </c>
      <c r="S276" s="40" t="s">
        <v>48</v>
      </c>
      <c r="T276" s="41" t="s">
        <v>0</v>
      </c>
      <c r="U276" s="59">
        <v>555</v>
      </c>
      <c r="V276" s="56">
        <f>IFERROR(IF(U276="",0,CEILING((U276/$H276),1)*$H276),"")</f>
        <v>555</v>
      </c>
      <c r="W276" s="42">
        <f>IFERROR(IF(V276=0,"",ROUNDUP(V276/H276,0)*0.02175),"")</f>
        <v>0.80474999999999997</v>
      </c>
      <c r="X276" s="69" t="s">
        <v>48</v>
      </c>
      <c r="Y276" s="70" t="s">
        <v>48</v>
      </c>
      <c r="AC276" s="230" t="s">
        <v>65</v>
      </c>
    </row>
    <row r="277" spans="1:29" ht="27" customHeight="1" x14ac:dyDescent="0.25">
      <c r="A277" s="64" t="s">
        <v>468</v>
      </c>
      <c r="B277" s="64" t="s">
        <v>469</v>
      </c>
      <c r="C277" s="37">
        <v>4301020179</v>
      </c>
      <c r="D277" s="316">
        <v>4607091384178</v>
      </c>
      <c r="E277" s="31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9" t="s">
        <v>116</v>
      </c>
      <c r="L277" s="38">
        <v>50</v>
      </c>
      <c r="M277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7" s="318"/>
      <c r="O277" s="318"/>
      <c r="P277" s="318"/>
      <c r="Q277" s="319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IFERROR(IF(V277=0,"",ROUNDUP(V277/H277,0)*0.00937),"")</f>
        <v/>
      </c>
      <c r="X277" s="69" t="s">
        <v>48</v>
      </c>
      <c r="Y277" s="70" t="s">
        <v>48</v>
      </c>
      <c r="AC277" s="231" t="s">
        <v>65</v>
      </c>
    </row>
    <row r="278" spans="1:29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25"/>
      <c r="M278" s="322" t="s">
        <v>43</v>
      </c>
      <c r="N278" s="323"/>
      <c r="O278" s="323"/>
      <c r="P278" s="323"/>
      <c r="Q278" s="323"/>
      <c r="R278" s="323"/>
      <c r="S278" s="324"/>
      <c r="T278" s="43" t="s">
        <v>42</v>
      </c>
      <c r="U278" s="44">
        <f>IFERROR(U276/H276,"0")+IFERROR(U277/H277,"0")</f>
        <v>37</v>
      </c>
      <c r="V278" s="44">
        <f>IFERROR(V276/H276,"0")+IFERROR(V277/H277,"0")</f>
        <v>37</v>
      </c>
      <c r="W278" s="44">
        <f>IFERROR(IF(W276="",0,W276),"0")+IFERROR(IF(W277="",0,W277),"0")</f>
        <v>0.80474999999999997</v>
      </c>
      <c r="X278" s="68"/>
      <c r="Y278" s="68"/>
    </row>
    <row r="279" spans="1:29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25"/>
      <c r="M279" s="322" t="s">
        <v>43</v>
      </c>
      <c r="N279" s="323"/>
      <c r="O279" s="323"/>
      <c r="P279" s="323"/>
      <c r="Q279" s="323"/>
      <c r="R279" s="323"/>
      <c r="S279" s="324"/>
      <c r="T279" s="43" t="s">
        <v>0</v>
      </c>
      <c r="U279" s="44">
        <f>IFERROR(SUM(U276:U277),"0")</f>
        <v>555</v>
      </c>
      <c r="V279" s="44">
        <f>IFERROR(SUM(V276:V277),"0")</f>
        <v>555</v>
      </c>
      <c r="W279" s="43"/>
      <c r="X279" s="68"/>
      <c r="Y279" s="68"/>
    </row>
    <row r="280" spans="1:29" ht="14.25" customHeight="1" x14ac:dyDescent="0.25">
      <c r="A280" s="326" t="s">
        <v>77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67"/>
      <c r="Y280" s="67"/>
    </row>
    <row r="281" spans="1:29" ht="27" customHeight="1" x14ac:dyDescent="0.25">
      <c r="A281" s="64" t="s">
        <v>470</v>
      </c>
      <c r="B281" s="64" t="s">
        <v>471</v>
      </c>
      <c r="C281" s="37">
        <v>4301031137</v>
      </c>
      <c r="D281" s="316">
        <v>4607091384857</v>
      </c>
      <c r="E281" s="316"/>
      <c r="F281" s="63">
        <v>0.73</v>
      </c>
      <c r="G281" s="38">
        <v>6</v>
      </c>
      <c r="H281" s="63">
        <v>4.38</v>
      </c>
      <c r="I281" s="63">
        <v>4.58</v>
      </c>
      <c r="J281" s="38">
        <v>156</v>
      </c>
      <c r="K281" s="39" t="s">
        <v>81</v>
      </c>
      <c r="L281" s="38">
        <v>35</v>
      </c>
      <c r="M281" s="40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318"/>
      <c r="O281" s="318"/>
      <c r="P281" s="318"/>
      <c r="Q281" s="319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IFERROR(IF(V281=0,"",ROUNDUP(V281/H281,0)*0.00753),"")</f>
        <v/>
      </c>
      <c r="X281" s="69" t="s">
        <v>48</v>
      </c>
      <c r="Y281" s="70" t="s">
        <v>48</v>
      </c>
      <c r="AC281" s="232" t="s">
        <v>65</v>
      </c>
    </row>
    <row r="282" spans="1:29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25"/>
      <c r="M282" s="322" t="s">
        <v>43</v>
      </c>
      <c r="N282" s="323"/>
      <c r="O282" s="323"/>
      <c r="P282" s="323"/>
      <c r="Q282" s="323"/>
      <c r="R282" s="323"/>
      <c r="S282" s="324"/>
      <c r="T282" s="43" t="s">
        <v>42</v>
      </c>
      <c r="U282" s="44">
        <f>IFERROR(U281/H281,"0")</f>
        <v>0</v>
      </c>
      <c r="V282" s="44">
        <f>IFERROR(V281/H281,"0")</f>
        <v>0</v>
      </c>
      <c r="W282" s="44">
        <f>IFERROR(IF(W281="",0,W281),"0")</f>
        <v>0</v>
      </c>
      <c r="X282" s="68"/>
      <c r="Y282" s="68"/>
    </row>
    <row r="283" spans="1:29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25"/>
      <c r="M283" s="322" t="s">
        <v>43</v>
      </c>
      <c r="N283" s="323"/>
      <c r="O283" s="323"/>
      <c r="P283" s="323"/>
      <c r="Q283" s="323"/>
      <c r="R283" s="323"/>
      <c r="S283" s="324"/>
      <c r="T283" s="43" t="s">
        <v>0</v>
      </c>
      <c r="U283" s="44">
        <f>IFERROR(SUM(U281:U281),"0")</f>
        <v>0</v>
      </c>
      <c r="V283" s="44">
        <f>IFERROR(SUM(V281:V281),"0")</f>
        <v>0</v>
      </c>
      <c r="W283" s="43"/>
      <c r="X283" s="68"/>
      <c r="Y283" s="68"/>
    </row>
    <row r="284" spans="1:29" ht="14.25" customHeight="1" x14ac:dyDescent="0.25">
      <c r="A284" s="326" t="s">
        <v>82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67"/>
      <c r="Y284" s="67"/>
    </row>
    <row r="285" spans="1:29" ht="27" customHeight="1" x14ac:dyDescent="0.25">
      <c r="A285" s="64" t="s">
        <v>472</v>
      </c>
      <c r="B285" s="64" t="s">
        <v>473</v>
      </c>
      <c r="C285" s="37">
        <v>4301051298</v>
      </c>
      <c r="D285" s="316">
        <v>4607091384260</v>
      </c>
      <c r="E285" s="316"/>
      <c r="F285" s="63">
        <v>1.3</v>
      </c>
      <c r="G285" s="38">
        <v>6</v>
      </c>
      <c r="H285" s="63">
        <v>7.8</v>
      </c>
      <c r="I285" s="63">
        <v>8.3640000000000008</v>
      </c>
      <c r="J285" s="38">
        <v>56</v>
      </c>
      <c r="K285" s="39" t="s">
        <v>81</v>
      </c>
      <c r="L285" s="38">
        <v>35</v>
      </c>
      <c r="M285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318"/>
      <c r="O285" s="318"/>
      <c r="P285" s="318"/>
      <c r="Q285" s="319"/>
      <c r="R285" s="40" t="s">
        <v>48</v>
      </c>
      <c r="S285" s="40" t="s">
        <v>48</v>
      </c>
      <c r="T285" s="41" t="s">
        <v>0</v>
      </c>
      <c r="U285" s="59">
        <v>93</v>
      </c>
      <c r="V285" s="56">
        <f>IFERROR(IF(U285="",0,CEILING((U285/$H285),1)*$H285),"")</f>
        <v>93.6</v>
      </c>
      <c r="W285" s="42">
        <f>IFERROR(IF(V285=0,"",ROUNDUP(V285/H285,0)*0.02175),"")</f>
        <v>0.26100000000000001</v>
      </c>
      <c r="X285" s="69" t="s">
        <v>48</v>
      </c>
      <c r="Y285" s="70" t="s">
        <v>48</v>
      </c>
      <c r="AC285" s="233" t="s">
        <v>65</v>
      </c>
    </row>
    <row r="286" spans="1:29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25"/>
      <c r="M286" s="322" t="s">
        <v>43</v>
      </c>
      <c r="N286" s="323"/>
      <c r="O286" s="323"/>
      <c r="P286" s="323"/>
      <c r="Q286" s="323"/>
      <c r="R286" s="323"/>
      <c r="S286" s="324"/>
      <c r="T286" s="43" t="s">
        <v>42</v>
      </c>
      <c r="U286" s="44">
        <f>IFERROR(U285/H285,"0")</f>
        <v>11.923076923076923</v>
      </c>
      <c r="V286" s="44">
        <f>IFERROR(V285/H285,"0")</f>
        <v>12</v>
      </c>
      <c r="W286" s="44">
        <f>IFERROR(IF(W285="",0,W285),"0")</f>
        <v>0.26100000000000001</v>
      </c>
      <c r="X286" s="68"/>
      <c r="Y286" s="68"/>
    </row>
    <row r="287" spans="1:29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25"/>
      <c r="M287" s="322" t="s">
        <v>43</v>
      </c>
      <c r="N287" s="323"/>
      <c r="O287" s="323"/>
      <c r="P287" s="323"/>
      <c r="Q287" s="323"/>
      <c r="R287" s="323"/>
      <c r="S287" s="324"/>
      <c r="T287" s="43" t="s">
        <v>0</v>
      </c>
      <c r="U287" s="44">
        <f>IFERROR(SUM(U285:U285),"0")</f>
        <v>93</v>
      </c>
      <c r="V287" s="44">
        <f>IFERROR(SUM(V285:V285),"0")</f>
        <v>93.6</v>
      </c>
      <c r="W287" s="43"/>
      <c r="X287" s="68"/>
      <c r="Y287" s="68"/>
    </row>
    <row r="288" spans="1:29" ht="14.25" customHeight="1" x14ac:dyDescent="0.25">
      <c r="A288" s="326" t="s">
        <v>210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67"/>
      <c r="Y288" s="67"/>
    </row>
    <row r="289" spans="1:29" ht="16.5" customHeight="1" x14ac:dyDescent="0.25">
      <c r="A289" s="64" t="s">
        <v>474</v>
      </c>
      <c r="B289" s="64" t="s">
        <v>475</v>
      </c>
      <c r="C289" s="37">
        <v>4301060314</v>
      </c>
      <c r="D289" s="316">
        <v>4607091384673</v>
      </c>
      <c r="E289" s="316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81</v>
      </c>
      <c r="L289" s="38">
        <v>30</v>
      </c>
      <c r="M289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318"/>
      <c r="O289" s="318"/>
      <c r="P289" s="318"/>
      <c r="Q289" s="319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4" t="s">
        <v>65</v>
      </c>
    </row>
    <row r="290" spans="1:29" x14ac:dyDescent="0.2">
      <c r="A290" s="314"/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25"/>
      <c r="M290" s="322" t="s">
        <v>43</v>
      </c>
      <c r="N290" s="323"/>
      <c r="O290" s="323"/>
      <c r="P290" s="323"/>
      <c r="Q290" s="323"/>
      <c r="R290" s="323"/>
      <c r="S290" s="324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14"/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25"/>
      <c r="M291" s="322" t="s">
        <v>43</v>
      </c>
      <c r="N291" s="323"/>
      <c r="O291" s="323"/>
      <c r="P291" s="323"/>
      <c r="Q291" s="323"/>
      <c r="R291" s="323"/>
      <c r="S291" s="324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6.5" customHeight="1" x14ac:dyDescent="0.25">
      <c r="A292" s="332" t="s">
        <v>476</v>
      </c>
      <c r="B292" s="332"/>
      <c r="C292" s="332"/>
      <c r="D292" s="332"/>
      <c r="E292" s="332"/>
      <c r="F292" s="332"/>
      <c r="G292" s="332"/>
      <c r="H292" s="332"/>
      <c r="I292" s="332"/>
      <c r="J292" s="332"/>
      <c r="K292" s="332"/>
      <c r="L292" s="332"/>
      <c r="M292" s="332"/>
      <c r="N292" s="332"/>
      <c r="O292" s="332"/>
      <c r="P292" s="332"/>
      <c r="Q292" s="332"/>
      <c r="R292" s="332"/>
      <c r="S292" s="332"/>
      <c r="T292" s="332"/>
      <c r="U292" s="332"/>
      <c r="V292" s="332"/>
      <c r="W292" s="332"/>
      <c r="X292" s="66"/>
      <c r="Y292" s="66"/>
    </row>
    <row r="293" spans="1:29" ht="14.25" customHeight="1" x14ac:dyDescent="0.25">
      <c r="A293" s="326" t="s">
        <v>118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67"/>
      <c r="Y293" s="67"/>
    </row>
    <row r="294" spans="1:29" ht="27" customHeight="1" x14ac:dyDescent="0.25">
      <c r="A294" s="64" t="s">
        <v>477</v>
      </c>
      <c r="B294" s="64" t="s">
        <v>478</v>
      </c>
      <c r="C294" s="37">
        <v>4301011324</v>
      </c>
      <c r="D294" s="316">
        <v>4607091384185</v>
      </c>
      <c r="E294" s="316"/>
      <c r="F294" s="63">
        <v>0.8</v>
      </c>
      <c r="G294" s="38">
        <v>15</v>
      </c>
      <c r="H294" s="63">
        <v>12</v>
      </c>
      <c r="I294" s="63">
        <v>12.48</v>
      </c>
      <c r="J294" s="38">
        <v>56</v>
      </c>
      <c r="K294" s="39" t="s">
        <v>81</v>
      </c>
      <c r="L294" s="38">
        <v>60</v>
      </c>
      <c r="M294" s="3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318"/>
      <c r="O294" s="318"/>
      <c r="P294" s="318"/>
      <c r="Q294" s="319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235" t="s">
        <v>65</v>
      </c>
    </row>
    <row r="295" spans="1:29" ht="27" customHeight="1" x14ac:dyDescent="0.25">
      <c r="A295" s="64" t="s">
        <v>479</v>
      </c>
      <c r="B295" s="64" t="s">
        <v>480</v>
      </c>
      <c r="C295" s="37">
        <v>4301011312</v>
      </c>
      <c r="D295" s="316">
        <v>4607091384192</v>
      </c>
      <c r="E295" s="316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116</v>
      </c>
      <c r="L295" s="38">
        <v>60</v>
      </c>
      <c r="M295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318"/>
      <c r="O295" s="318"/>
      <c r="P295" s="318"/>
      <c r="Q295" s="319"/>
      <c r="R295" s="40" t="s">
        <v>48</v>
      </c>
      <c r="S295" s="40" t="s">
        <v>48</v>
      </c>
      <c r="T295" s="41" t="s">
        <v>0</v>
      </c>
      <c r="U295" s="59">
        <v>76</v>
      </c>
      <c r="V295" s="56">
        <f>IFERROR(IF(U295="",0,CEILING((U295/$H295),1)*$H295),"")</f>
        <v>86.4</v>
      </c>
      <c r="W295" s="42">
        <f>IFERROR(IF(V295=0,"",ROUNDUP(V295/H295,0)*0.02175),"")</f>
        <v>0.17399999999999999</v>
      </c>
      <c r="X295" s="69" t="s">
        <v>48</v>
      </c>
      <c r="Y295" s="70" t="s">
        <v>48</v>
      </c>
      <c r="AC295" s="236" t="s">
        <v>65</v>
      </c>
    </row>
    <row r="296" spans="1:29" ht="27" customHeight="1" x14ac:dyDescent="0.25">
      <c r="A296" s="64" t="s">
        <v>481</v>
      </c>
      <c r="B296" s="64" t="s">
        <v>482</v>
      </c>
      <c r="C296" s="37">
        <v>4301011483</v>
      </c>
      <c r="D296" s="316">
        <v>4680115881907</v>
      </c>
      <c r="E296" s="316"/>
      <c r="F296" s="63">
        <v>1.8</v>
      </c>
      <c r="G296" s="38">
        <v>6</v>
      </c>
      <c r="H296" s="63">
        <v>10.8</v>
      </c>
      <c r="I296" s="63">
        <v>11.28</v>
      </c>
      <c r="J296" s="38">
        <v>56</v>
      </c>
      <c r="K296" s="39" t="s">
        <v>81</v>
      </c>
      <c r="L296" s="38">
        <v>60</v>
      </c>
      <c r="M296" s="394" t="s">
        <v>483</v>
      </c>
      <c r="N296" s="318"/>
      <c r="O296" s="318"/>
      <c r="P296" s="318"/>
      <c r="Q296" s="319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237" t="s">
        <v>65</v>
      </c>
    </row>
    <row r="297" spans="1:29" ht="27" customHeight="1" x14ac:dyDescent="0.25">
      <c r="A297" s="64" t="s">
        <v>484</v>
      </c>
      <c r="B297" s="64" t="s">
        <v>485</v>
      </c>
      <c r="C297" s="37">
        <v>4301011303</v>
      </c>
      <c r="D297" s="316">
        <v>4607091384680</v>
      </c>
      <c r="E297" s="316"/>
      <c r="F297" s="63">
        <v>0.4</v>
      </c>
      <c r="G297" s="38">
        <v>10</v>
      </c>
      <c r="H297" s="63">
        <v>4</v>
      </c>
      <c r="I297" s="63">
        <v>4.21</v>
      </c>
      <c r="J297" s="38">
        <v>120</v>
      </c>
      <c r="K297" s="39" t="s">
        <v>81</v>
      </c>
      <c r="L297" s="38">
        <v>60</v>
      </c>
      <c r="M297" s="3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318"/>
      <c r="O297" s="318"/>
      <c r="P297" s="318"/>
      <c r="Q297" s="319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238" t="s">
        <v>65</v>
      </c>
    </row>
    <row r="298" spans="1:29" x14ac:dyDescent="0.2">
      <c r="A298" s="314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25"/>
      <c r="M298" s="322" t="s">
        <v>43</v>
      </c>
      <c r="N298" s="323"/>
      <c r="O298" s="323"/>
      <c r="P298" s="323"/>
      <c r="Q298" s="323"/>
      <c r="R298" s="323"/>
      <c r="S298" s="324"/>
      <c r="T298" s="43" t="s">
        <v>42</v>
      </c>
      <c r="U298" s="44">
        <f>IFERROR(U294/H294,"0")+IFERROR(U295/H295,"0")+IFERROR(U296/H296,"0")+IFERROR(U297/H297,"0")</f>
        <v>7.0370370370370363</v>
      </c>
      <c r="V298" s="44">
        <f>IFERROR(V294/H294,"0")+IFERROR(V295/H295,"0")+IFERROR(V296/H296,"0")+IFERROR(V297/H297,"0")</f>
        <v>8</v>
      </c>
      <c r="W298" s="44">
        <f>IFERROR(IF(W294="",0,W294),"0")+IFERROR(IF(W295="",0,W295),"0")+IFERROR(IF(W296="",0,W296),"0")+IFERROR(IF(W297="",0,W297),"0")</f>
        <v>0.17399999999999999</v>
      </c>
      <c r="X298" s="68"/>
      <c r="Y298" s="68"/>
    </row>
    <row r="299" spans="1:29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25"/>
      <c r="M299" s="322" t="s">
        <v>43</v>
      </c>
      <c r="N299" s="323"/>
      <c r="O299" s="323"/>
      <c r="P299" s="323"/>
      <c r="Q299" s="323"/>
      <c r="R299" s="323"/>
      <c r="S299" s="324"/>
      <c r="T299" s="43" t="s">
        <v>0</v>
      </c>
      <c r="U299" s="44">
        <f>IFERROR(SUM(U294:U297),"0")</f>
        <v>76</v>
      </c>
      <c r="V299" s="44">
        <f>IFERROR(SUM(V294:V297),"0")</f>
        <v>86.4</v>
      </c>
      <c r="W299" s="43"/>
      <c r="X299" s="68"/>
      <c r="Y299" s="68"/>
    </row>
    <row r="300" spans="1:29" ht="14.25" customHeight="1" x14ac:dyDescent="0.25">
      <c r="A300" s="326" t="s">
        <v>77</v>
      </c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X300" s="67"/>
      <c r="Y300" s="67"/>
    </row>
    <row r="301" spans="1:29" ht="27" customHeight="1" x14ac:dyDescent="0.25">
      <c r="A301" s="64" t="s">
        <v>486</v>
      </c>
      <c r="B301" s="64" t="s">
        <v>487</v>
      </c>
      <c r="C301" s="37">
        <v>4301031139</v>
      </c>
      <c r="D301" s="316">
        <v>4607091384802</v>
      </c>
      <c r="E301" s="316"/>
      <c r="F301" s="63">
        <v>0.73</v>
      </c>
      <c r="G301" s="38">
        <v>6</v>
      </c>
      <c r="H301" s="63">
        <v>4.38</v>
      </c>
      <c r="I301" s="63">
        <v>4.58</v>
      </c>
      <c r="J301" s="38">
        <v>156</v>
      </c>
      <c r="K301" s="39" t="s">
        <v>81</v>
      </c>
      <c r="L301" s="38">
        <v>35</v>
      </c>
      <c r="M301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318"/>
      <c r="O301" s="318"/>
      <c r="P301" s="318"/>
      <c r="Q301" s="319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IFERROR(IF(V301=0,"",ROUNDUP(V301/H301,0)*0.00753),"")</f>
        <v/>
      </c>
      <c r="X301" s="69" t="s">
        <v>48</v>
      </c>
      <c r="Y301" s="70" t="s">
        <v>48</v>
      </c>
      <c r="AC301" s="239" t="s">
        <v>65</v>
      </c>
    </row>
    <row r="302" spans="1:29" ht="27" customHeight="1" x14ac:dyDescent="0.25">
      <c r="A302" s="64" t="s">
        <v>488</v>
      </c>
      <c r="B302" s="64" t="s">
        <v>489</v>
      </c>
      <c r="C302" s="37">
        <v>4301031140</v>
      </c>
      <c r="D302" s="316">
        <v>4607091384826</v>
      </c>
      <c r="E302" s="316"/>
      <c r="F302" s="63">
        <v>0.35</v>
      </c>
      <c r="G302" s="38">
        <v>8</v>
      </c>
      <c r="H302" s="63">
        <v>2.8</v>
      </c>
      <c r="I302" s="63">
        <v>2.9</v>
      </c>
      <c r="J302" s="38">
        <v>234</v>
      </c>
      <c r="K302" s="39" t="s">
        <v>81</v>
      </c>
      <c r="L302" s="38">
        <v>35</v>
      </c>
      <c r="M302" s="3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318"/>
      <c r="O302" s="318"/>
      <c r="P302" s="318"/>
      <c r="Q302" s="319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IFERROR(IF(V302=0,"",ROUNDUP(V302/H302,0)*0.00502),"")</f>
        <v/>
      </c>
      <c r="X302" s="69" t="s">
        <v>48</v>
      </c>
      <c r="Y302" s="70" t="s">
        <v>48</v>
      </c>
      <c r="AC302" s="240" t="s">
        <v>65</v>
      </c>
    </row>
    <row r="303" spans="1:29" x14ac:dyDescent="0.2">
      <c r="A303" s="314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25"/>
      <c r="M303" s="322" t="s">
        <v>43</v>
      </c>
      <c r="N303" s="323"/>
      <c r="O303" s="323"/>
      <c r="P303" s="323"/>
      <c r="Q303" s="323"/>
      <c r="R303" s="323"/>
      <c r="S303" s="324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29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25"/>
      <c r="M304" s="322" t="s">
        <v>43</v>
      </c>
      <c r="N304" s="323"/>
      <c r="O304" s="323"/>
      <c r="P304" s="323"/>
      <c r="Q304" s="323"/>
      <c r="R304" s="323"/>
      <c r="S304" s="324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29" ht="14.25" customHeight="1" x14ac:dyDescent="0.25">
      <c r="A305" s="326" t="s">
        <v>82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67"/>
      <c r="Y305" s="67"/>
    </row>
    <row r="306" spans="1:29" ht="27" customHeight="1" x14ac:dyDescent="0.25">
      <c r="A306" s="64" t="s">
        <v>490</v>
      </c>
      <c r="B306" s="64" t="s">
        <v>491</v>
      </c>
      <c r="C306" s="37">
        <v>4301051303</v>
      </c>
      <c r="D306" s="316">
        <v>4607091384246</v>
      </c>
      <c r="E306" s="316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81</v>
      </c>
      <c r="L306" s="38">
        <v>40</v>
      </c>
      <c r="M306" s="3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6" s="318"/>
      <c r="O306" s="318"/>
      <c r="P306" s="318"/>
      <c r="Q306" s="319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241" t="s">
        <v>65</v>
      </c>
    </row>
    <row r="307" spans="1:29" ht="27" customHeight="1" x14ac:dyDescent="0.25">
      <c r="A307" s="64" t="s">
        <v>492</v>
      </c>
      <c r="B307" s="64" t="s">
        <v>493</v>
      </c>
      <c r="C307" s="37">
        <v>4301051445</v>
      </c>
      <c r="D307" s="316">
        <v>4680115881976</v>
      </c>
      <c r="E307" s="316"/>
      <c r="F307" s="63">
        <v>1.3</v>
      </c>
      <c r="G307" s="38">
        <v>6</v>
      </c>
      <c r="H307" s="63">
        <v>7.8</v>
      </c>
      <c r="I307" s="63">
        <v>8.2799999999999994</v>
      </c>
      <c r="J307" s="38">
        <v>56</v>
      </c>
      <c r="K307" s="39" t="s">
        <v>81</v>
      </c>
      <c r="L307" s="38">
        <v>40</v>
      </c>
      <c r="M307" s="393" t="s">
        <v>494</v>
      </c>
      <c r="N307" s="318"/>
      <c r="O307" s="318"/>
      <c r="P307" s="318"/>
      <c r="Q307" s="319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48</v>
      </c>
      <c r="AC307" s="242" t="s">
        <v>65</v>
      </c>
    </row>
    <row r="308" spans="1:29" ht="27" customHeight="1" x14ac:dyDescent="0.25">
      <c r="A308" s="64" t="s">
        <v>495</v>
      </c>
      <c r="B308" s="64" t="s">
        <v>496</v>
      </c>
      <c r="C308" s="37">
        <v>4301051297</v>
      </c>
      <c r="D308" s="316">
        <v>4607091384253</v>
      </c>
      <c r="E308" s="316"/>
      <c r="F308" s="63">
        <v>0.4</v>
      </c>
      <c r="G308" s="38">
        <v>6</v>
      </c>
      <c r="H308" s="63">
        <v>2.4</v>
      </c>
      <c r="I308" s="63">
        <v>2.6840000000000002</v>
      </c>
      <c r="J308" s="38">
        <v>156</v>
      </c>
      <c r="K308" s="39" t="s">
        <v>81</v>
      </c>
      <c r="L308" s="38">
        <v>40</v>
      </c>
      <c r="M308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18"/>
      <c r="O308" s="318"/>
      <c r="P308" s="318"/>
      <c r="Q308" s="319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IFERROR(IF(V308=0,"",ROUNDUP(V308/H308,0)*0.00753),"")</f>
        <v/>
      </c>
      <c r="X308" s="69" t="s">
        <v>48</v>
      </c>
      <c r="Y308" s="70" t="s">
        <v>48</v>
      </c>
      <c r="AC308" s="243" t="s">
        <v>65</v>
      </c>
    </row>
    <row r="309" spans="1:29" ht="27" customHeight="1" x14ac:dyDescent="0.25">
      <c r="A309" s="64" t="s">
        <v>497</v>
      </c>
      <c r="B309" s="64" t="s">
        <v>498</v>
      </c>
      <c r="C309" s="37">
        <v>4301051444</v>
      </c>
      <c r="D309" s="316">
        <v>4680115881969</v>
      </c>
      <c r="E309" s="316"/>
      <c r="F309" s="63">
        <v>0.4</v>
      </c>
      <c r="G309" s="38">
        <v>6</v>
      </c>
      <c r="H309" s="63">
        <v>2.4</v>
      </c>
      <c r="I309" s="63">
        <v>2.6</v>
      </c>
      <c r="J309" s="38">
        <v>156</v>
      </c>
      <c r="K309" s="39" t="s">
        <v>81</v>
      </c>
      <c r="L309" s="38">
        <v>40</v>
      </c>
      <c r="M309" s="389" t="s">
        <v>499</v>
      </c>
      <c r="N309" s="318"/>
      <c r="O309" s="318"/>
      <c r="P309" s="318"/>
      <c r="Q309" s="319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  <c r="AC309" s="244" t="s">
        <v>65</v>
      </c>
    </row>
    <row r="310" spans="1:29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25"/>
      <c r="M310" s="322" t="s">
        <v>43</v>
      </c>
      <c r="N310" s="323"/>
      <c r="O310" s="323"/>
      <c r="P310" s="323"/>
      <c r="Q310" s="323"/>
      <c r="R310" s="323"/>
      <c r="S310" s="324"/>
      <c r="T310" s="43" t="s">
        <v>42</v>
      </c>
      <c r="U310" s="44">
        <f>IFERROR(U306/H306,"0")+IFERROR(U307/H307,"0")+IFERROR(U308/H308,"0")+IFERROR(U309/H309,"0")</f>
        <v>0</v>
      </c>
      <c r="V310" s="44">
        <f>IFERROR(V306/H306,"0")+IFERROR(V307/H307,"0")+IFERROR(V308/H308,"0")+IFERROR(V309/H309,"0")</f>
        <v>0</v>
      </c>
      <c r="W310" s="44">
        <f>IFERROR(IF(W306="",0,W306),"0")+IFERROR(IF(W307="",0,W307),"0")+IFERROR(IF(W308="",0,W308),"0")+IFERROR(IF(W309="",0,W309),"0")</f>
        <v>0</v>
      </c>
      <c r="X310" s="68"/>
      <c r="Y310" s="68"/>
    </row>
    <row r="311" spans="1:29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25"/>
      <c r="M311" s="322" t="s">
        <v>43</v>
      </c>
      <c r="N311" s="323"/>
      <c r="O311" s="323"/>
      <c r="P311" s="323"/>
      <c r="Q311" s="323"/>
      <c r="R311" s="323"/>
      <c r="S311" s="324"/>
      <c r="T311" s="43" t="s">
        <v>0</v>
      </c>
      <c r="U311" s="44">
        <f>IFERROR(SUM(U306:U309),"0")</f>
        <v>0</v>
      </c>
      <c r="V311" s="44">
        <f>IFERROR(SUM(V306:V309),"0")</f>
        <v>0</v>
      </c>
      <c r="W311" s="43"/>
      <c r="X311" s="68"/>
      <c r="Y311" s="68"/>
    </row>
    <row r="312" spans="1:29" ht="14.25" customHeight="1" x14ac:dyDescent="0.25">
      <c r="A312" s="326" t="s">
        <v>210</v>
      </c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67"/>
      <c r="Y312" s="67"/>
    </row>
    <row r="313" spans="1:29" ht="27" customHeight="1" x14ac:dyDescent="0.25">
      <c r="A313" s="64" t="s">
        <v>500</v>
      </c>
      <c r="B313" s="64" t="s">
        <v>501</v>
      </c>
      <c r="C313" s="37">
        <v>4301060322</v>
      </c>
      <c r="D313" s="316">
        <v>4607091389357</v>
      </c>
      <c r="E313" s="316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81</v>
      </c>
      <c r="L313" s="38">
        <v>40</v>
      </c>
      <c r="M313" s="390" t="s">
        <v>502</v>
      </c>
      <c r="N313" s="318"/>
      <c r="O313" s="318"/>
      <c r="P313" s="318"/>
      <c r="Q313" s="319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245" t="s">
        <v>65</v>
      </c>
    </row>
    <row r="314" spans="1:29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25"/>
      <c r="M314" s="322" t="s">
        <v>43</v>
      </c>
      <c r="N314" s="323"/>
      <c r="O314" s="323"/>
      <c r="P314" s="323"/>
      <c r="Q314" s="323"/>
      <c r="R314" s="323"/>
      <c r="S314" s="324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9" x14ac:dyDescent="0.2">
      <c r="A315" s="314"/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25"/>
      <c r="M315" s="322" t="s">
        <v>43</v>
      </c>
      <c r="N315" s="323"/>
      <c r="O315" s="323"/>
      <c r="P315" s="323"/>
      <c r="Q315" s="323"/>
      <c r="R315" s="323"/>
      <c r="S315" s="324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9" ht="27.75" customHeight="1" x14ac:dyDescent="0.2">
      <c r="A316" s="331" t="s">
        <v>503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55"/>
      <c r="Y316" s="55"/>
    </row>
    <row r="317" spans="1:29" ht="16.5" customHeight="1" x14ac:dyDescent="0.25">
      <c r="A317" s="332" t="s">
        <v>504</v>
      </c>
      <c r="B317" s="332"/>
      <c r="C317" s="332"/>
      <c r="D317" s="332"/>
      <c r="E317" s="332"/>
      <c r="F317" s="332"/>
      <c r="G317" s="332"/>
      <c r="H317" s="332"/>
      <c r="I317" s="332"/>
      <c r="J317" s="332"/>
      <c r="K317" s="332"/>
      <c r="L317" s="332"/>
      <c r="M317" s="332"/>
      <c r="N317" s="332"/>
      <c r="O317" s="332"/>
      <c r="P317" s="332"/>
      <c r="Q317" s="332"/>
      <c r="R317" s="332"/>
      <c r="S317" s="332"/>
      <c r="T317" s="332"/>
      <c r="U317" s="332"/>
      <c r="V317" s="332"/>
      <c r="W317" s="332"/>
      <c r="X317" s="66"/>
      <c r="Y317" s="66"/>
    </row>
    <row r="318" spans="1:29" ht="14.25" customHeight="1" x14ac:dyDescent="0.25">
      <c r="A318" s="326" t="s">
        <v>118</v>
      </c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326"/>
      <c r="W318" s="326"/>
      <c r="X318" s="67"/>
      <c r="Y318" s="67"/>
    </row>
    <row r="319" spans="1:29" ht="27" customHeight="1" x14ac:dyDescent="0.25">
      <c r="A319" s="64" t="s">
        <v>505</v>
      </c>
      <c r="B319" s="64" t="s">
        <v>506</v>
      </c>
      <c r="C319" s="37">
        <v>4301011428</v>
      </c>
      <c r="D319" s="316">
        <v>4607091389708</v>
      </c>
      <c r="E319" s="316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116</v>
      </c>
      <c r="L319" s="38">
        <v>50</v>
      </c>
      <c r="M319" s="3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318"/>
      <c r="O319" s="318"/>
      <c r="P319" s="318"/>
      <c r="Q319" s="319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6" t="s">
        <v>65</v>
      </c>
    </row>
    <row r="320" spans="1:29" ht="27" customHeight="1" x14ac:dyDescent="0.25">
      <c r="A320" s="64" t="s">
        <v>507</v>
      </c>
      <c r="B320" s="64" t="s">
        <v>508</v>
      </c>
      <c r="C320" s="37">
        <v>4301011427</v>
      </c>
      <c r="D320" s="316">
        <v>4607091389692</v>
      </c>
      <c r="E320" s="316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116</v>
      </c>
      <c r="L320" s="38">
        <v>50</v>
      </c>
      <c r="M320" s="387" t="s">
        <v>509</v>
      </c>
      <c r="N320" s="318"/>
      <c r="O320" s="318"/>
      <c r="P320" s="318"/>
      <c r="Q320" s="319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247" t="s">
        <v>65</v>
      </c>
    </row>
    <row r="321" spans="1:29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25"/>
      <c r="M321" s="322" t="s">
        <v>43</v>
      </c>
      <c r="N321" s="323"/>
      <c r="O321" s="323"/>
      <c r="P321" s="323"/>
      <c r="Q321" s="323"/>
      <c r="R321" s="323"/>
      <c r="S321" s="324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9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25"/>
      <c r="M322" s="322" t="s">
        <v>43</v>
      </c>
      <c r="N322" s="323"/>
      <c r="O322" s="323"/>
      <c r="P322" s="323"/>
      <c r="Q322" s="323"/>
      <c r="R322" s="323"/>
      <c r="S322" s="324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9" ht="14.25" customHeight="1" x14ac:dyDescent="0.25">
      <c r="A323" s="326" t="s">
        <v>77</v>
      </c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67"/>
      <c r="Y323" s="67"/>
    </row>
    <row r="324" spans="1:29" ht="37.5" customHeight="1" x14ac:dyDescent="0.25">
      <c r="A324" s="64" t="s">
        <v>510</v>
      </c>
      <c r="B324" s="64" t="s">
        <v>511</v>
      </c>
      <c r="C324" s="37">
        <v>4301031236</v>
      </c>
      <c r="D324" s="316">
        <v>4680115882928</v>
      </c>
      <c r="E324" s="316"/>
      <c r="F324" s="63">
        <v>0.28000000000000003</v>
      </c>
      <c r="G324" s="38">
        <v>6</v>
      </c>
      <c r="H324" s="63">
        <v>1.68</v>
      </c>
      <c r="I324" s="63">
        <v>2.6</v>
      </c>
      <c r="J324" s="38">
        <v>156</v>
      </c>
      <c r="K324" s="39" t="s">
        <v>81</v>
      </c>
      <c r="L324" s="38">
        <v>35</v>
      </c>
      <c r="M324" s="383" t="s">
        <v>512</v>
      </c>
      <c r="N324" s="318"/>
      <c r="O324" s="318"/>
      <c r="P324" s="318"/>
      <c r="Q324" s="319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ref="V324:V336" si="13"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277</v>
      </c>
      <c r="AC324" s="248" t="s">
        <v>65</v>
      </c>
    </row>
    <row r="325" spans="1:29" ht="27" customHeight="1" x14ac:dyDescent="0.25">
      <c r="A325" s="64" t="s">
        <v>513</v>
      </c>
      <c r="B325" s="64" t="s">
        <v>514</v>
      </c>
      <c r="C325" s="37">
        <v>4301031257</v>
      </c>
      <c r="D325" s="316">
        <v>4680115883147</v>
      </c>
      <c r="E325" s="316"/>
      <c r="F325" s="63">
        <v>0.28000000000000003</v>
      </c>
      <c r="G325" s="38">
        <v>6</v>
      </c>
      <c r="H325" s="63">
        <v>1.68</v>
      </c>
      <c r="I325" s="63">
        <v>1.81</v>
      </c>
      <c r="J325" s="38">
        <v>234</v>
      </c>
      <c r="K325" s="39" t="s">
        <v>81</v>
      </c>
      <c r="L325" s="38">
        <v>45</v>
      </c>
      <c r="M325" s="384" t="s">
        <v>515</v>
      </c>
      <c r="N325" s="318"/>
      <c r="O325" s="318"/>
      <c r="P325" s="318"/>
      <c r="Q325" s="319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3"/>
        <v>0</v>
      </c>
      <c r="W325" s="42" t="str">
        <f>IFERROR(IF(V325=0,"",ROUNDUP(V325/H325,0)*0.00502),"")</f>
        <v/>
      </c>
      <c r="X325" s="69" t="s">
        <v>48</v>
      </c>
      <c r="Y325" s="70" t="s">
        <v>277</v>
      </c>
      <c r="AC325" s="249" t="s">
        <v>65</v>
      </c>
    </row>
    <row r="326" spans="1:29" ht="37.5" customHeight="1" x14ac:dyDescent="0.25">
      <c r="A326" s="64" t="s">
        <v>516</v>
      </c>
      <c r="B326" s="64" t="s">
        <v>517</v>
      </c>
      <c r="C326" s="37">
        <v>4301031254</v>
      </c>
      <c r="D326" s="316">
        <v>4680115883154</v>
      </c>
      <c r="E326" s="316"/>
      <c r="F326" s="63">
        <v>0.28000000000000003</v>
      </c>
      <c r="G326" s="38">
        <v>6</v>
      </c>
      <c r="H326" s="63">
        <v>1.68</v>
      </c>
      <c r="I326" s="63">
        <v>1.81</v>
      </c>
      <c r="J326" s="38">
        <v>234</v>
      </c>
      <c r="K326" s="39" t="s">
        <v>81</v>
      </c>
      <c r="L326" s="38">
        <v>45</v>
      </c>
      <c r="M326" s="385" t="s">
        <v>518</v>
      </c>
      <c r="N326" s="318"/>
      <c r="O326" s="318"/>
      <c r="P326" s="318"/>
      <c r="Q326" s="319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3"/>
        <v>0</v>
      </c>
      <c r="W326" s="42" t="str">
        <f>IFERROR(IF(V326=0,"",ROUNDUP(V326/H326,0)*0.00502),"")</f>
        <v/>
      </c>
      <c r="X326" s="69" t="s">
        <v>48</v>
      </c>
      <c r="Y326" s="70" t="s">
        <v>277</v>
      </c>
      <c r="AC326" s="250" t="s">
        <v>65</v>
      </c>
    </row>
    <row r="327" spans="1:29" ht="27" customHeight="1" x14ac:dyDescent="0.25">
      <c r="A327" s="64" t="s">
        <v>519</v>
      </c>
      <c r="B327" s="64" t="s">
        <v>520</v>
      </c>
      <c r="C327" s="37">
        <v>4301031258</v>
      </c>
      <c r="D327" s="316">
        <v>4680115883161</v>
      </c>
      <c r="E327" s="316"/>
      <c r="F327" s="63">
        <v>0.28000000000000003</v>
      </c>
      <c r="G327" s="38">
        <v>6</v>
      </c>
      <c r="H327" s="63">
        <v>1.68</v>
      </c>
      <c r="I327" s="63">
        <v>1.81</v>
      </c>
      <c r="J327" s="38">
        <v>234</v>
      </c>
      <c r="K327" s="39" t="s">
        <v>81</v>
      </c>
      <c r="L327" s="38">
        <v>45</v>
      </c>
      <c r="M327" s="378" t="s">
        <v>521</v>
      </c>
      <c r="N327" s="318"/>
      <c r="O327" s="318"/>
      <c r="P327" s="318"/>
      <c r="Q327" s="319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3"/>
        <v>0</v>
      </c>
      <c r="W327" s="42" t="str">
        <f>IFERROR(IF(V327=0,"",ROUNDUP(V327/H327,0)*0.00502),"")</f>
        <v/>
      </c>
      <c r="X327" s="69" t="s">
        <v>48</v>
      </c>
      <c r="Y327" s="70" t="s">
        <v>277</v>
      </c>
      <c r="AC327" s="251" t="s">
        <v>65</v>
      </c>
    </row>
    <row r="328" spans="1:29" ht="27" customHeight="1" x14ac:dyDescent="0.25">
      <c r="A328" s="64" t="s">
        <v>522</v>
      </c>
      <c r="B328" s="64" t="s">
        <v>523</v>
      </c>
      <c r="C328" s="37">
        <v>4301031256</v>
      </c>
      <c r="D328" s="316">
        <v>4680115883178</v>
      </c>
      <c r="E328" s="316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81</v>
      </c>
      <c r="L328" s="38">
        <v>45</v>
      </c>
      <c r="M328" s="379" t="s">
        <v>524</v>
      </c>
      <c r="N328" s="318"/>
      <c r="O328" s="318"/>
      <c r="P328" s="318"/>
      <c r="Q328" s="319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3"/>
        <v>0</v>
      </c>
      <c r="W328" s="42" t="str">
        <f>IFERROR(IF(V328=0,"",ROUNDUP(V328/H328,0)*0.00502),"")</f>
        <v/>
      </c>
      <c r="X328" s="69" t="s">
        <v>48</v>
      </c>
      <c r="Y328" s="70" t="s">
        <v>277</v>
      </c>
      <c r="AC328" s="252" t="s">
        <v>65</v>
      </c>
    </row>
    <row r="329" spans="1:29" ht="27" customHeight="1" x14ac:dyDescent="0.25">
      <c r="A329" s="64" t="s">
        <v>525</v>
      </c>
      <c r="B329" s="64" t="s">
        <v>526</v>
      </c>
      <c r="C329" s="37">
        <v>4301031255</v>
      </c>
      <c r="D329" s="316">
        <v>4680115883185</v>
      </c>
      <c r="E329" s="316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81</v>
      </c>
      <c r="L329" s="38">
        <v>45</v>
      </c>
      <c r="M329" s="380" t="s">
        <v>527</v>
      </c>
      <c r="N329" s="318"/>
      <c r="O329" s="318"/>
      <c r="P329" s="318"/>
      <c r="Q329" s="319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3"/>
        <v>0</v>
      </c>
      <c r="W329" s="42" t="str">
        <f>IFERROR(IF(V329=0,"",ROUNDUP(V329/H329,0)*0.00502),"")</f>
        <v/>
      </c>
      <c r="X329" s="69" t="s">
        <v>48</v>
      </c>
      <c r="Y329" s="70" t="s">
        <v>277</v>
      </c>
      <c r="AC329" s="253" t="s">
        <v>65</v>
      </c>
    </row>
    <row r="330" spans="1:29" ht="27" customHeight="1" x14ac:dyDescent="0.25">
      <c r="A330" s="64" t="s">
        <v>528</v>
      </c>
      <c r="B330" s="64" t="s">
        <v>529</v>
      </c>
      <c r="C330" s="37">
        <v>4301031177</v>
      </c>
      <c r="D330" s="316">
        <v>4607091389753</v>
      </c>
      <c r="E330" s="316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81</v>
      </c>
      <c r="L330" s="38">
        <v>45</v>
      </c>
      <c r="M33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8"/>
      <c r="O330" s="318"/>
      <c r="P330" s="318"/>
      <c r="Q330" s="319"/>
      <c r="R330" s="40" t="s">
        <v>48</v>
      </c>
      <c r="S330" s="40" t="s">
        <v>48</v>
      </c>
      <c r="T330" s="41" t="s">
        <v>0</v>
      </c>
      <c r="U330" s="59">
        <v>84</v>
      </c>
      <c r="V330" s="56">
        <f t="shared" si="13"/>
        <v>84</v>
      </c>
      <c r="W330" s="42">
        <f>IFERROR(IF(V330=0,"",ROUNDUP(V330/H330,0)*0.00753),"")</f>
        <v>0.15060000000000001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530</v>
      </c>
      <c r="B331" s="64" t="s">
        <v>531</v>
      </c>
      <c r="C331" s="37">
        <v>4301031174</v>
      </c>
      <c r="D331" s="316">
        <v>4607091389760</v>
      </c>
      <c r="E331" s="316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81</v>
      </c>
      <c r="L331" s="38">
        <v>45</v>
      </c>
      <c r="M331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8"/>
      <c r="O331" s="318"/>
      <c r="P331" s="318"/>
      <c r="Q331" s="319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3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532</v>
      </c>
      <c r="B332" s="64" t="s">
        <v>533</v>
      </c>
      <c r="C332" s="37">
        <v>4301031175</v>
      </c>
      <c r="D332" s="316">
        <v>4607091389746</v>
      </c>
      <c r="E332" s="316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81</v>
      </c>
      <c r="L332" s="38">
        <v>45</v>
      </c>
      <c r="M332" s="3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8"/>
      <c r="O332" s="318"/>
      <c r="P332" s="318"/>
      <c r="Q332" s="319"/>
      <c r="R332" s="40" t="s">
        <v>48</v>
      </c>
      <c r="S332" s="40" t="s">
        <v>48</v>
      </c>
      <c r="T332" s="41" t="s">
        <v>0</v>
      </c>
      <c r="U332" s="59">
        <v>21</v>
      </c>
      <c r="V332" s="56">
        <f t="shared" si="13"/>
        <v>21</v>
      </c>
      <c r="W332" s="42">
        <f>IFERROR(IF(V332=0,"",ROUNDUP(V332/H332,0)*0.00753),"")</f>
        <v>3.7650000000000003E-2</v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534</v>
      </c>
      <c r="B333" s="64" t="s">
        <v>535</v>
      </c>
      <c r="C333" s="37">
        <v>4301031178</v>
      </c>
      <c r="D333" s="316">
        <v>4607091384338</v>
      </c>
      <c r="E333" s="316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81</v>
      </c>
      <c r="L333" s="38">
        <v>45</v>
      </c>
      <c r="M333" s="3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8"/>
      <c r="O333" s="318"/>
      <c r="P333" s="318"/>
      <c r="Q333" s="319"/>
      <c r="R333" s="40" t="s">
        <v>48</v>
      </c>
      <c r="S333" s="40" t="s">
        <v>48</v>
      </c>
      <c r="T333" s="41" t="s">
        <v>0</v>
      </c>
      <c r="U333" s="59">
        <v>56</v>
      </c>
      <c r="V333" s="56">
        <f t="shared" si="13"/>
        <v>56.7</v>
      </c>
      <c r="W333" s="42">
        <f>IFERROR(IF(V333=0,"",ROUNDUP(V333/H333,0)*0.00502),"")</f>
        <v>0.13553999999999999</v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536</v>
      </c>
      <c r="B334" s="64" t="s">
        <v>537</v>
      </c>
      <c r="C334" s="37">
        <v>4301031171</v>
      </c>
      <c r="D334" s="316">
        <v>4607091389524</v>
      </c>
      <c r="E334" s="316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81</v>
      </c>
      <c r="L334" s="38">
        <v>45</v>
      </c>
      <c r="M334" s="3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8"/>
      <c r="O334" s="318"/>
      <c r="P334" s="318"/>
      <c r="Q334" s="319"/>
      <c r="R334" s="40" t="s">
        <v>48</v>
      </c>
      <c r="S334" s="40" t="s">
        <v>48</v>
      </c>
      <c r="T334" s="41" t="s">
        <v>0</v>
      </c>
      <c r="U334" s="59">
        <v>8</v>
      </c>
      <c r="V334" s="56">
        <f t="shared" si="13"/>
        <v>8.4</v>
      </c>
      <c r="W334" s="42">
        <f>IFERROR(IF(V334=0,"",ROUNDUP(V334/H334,0)*0.00502),"")</f>
        <v>2.0080000000000001E-2</v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538</v>
      </c>
      <c r="B335" s="64" t="s">
        <v>539</v>
      </c>
      <c r="C335" s="37">
        <v>4301031170</v>
      </c>
      <c r="D335" s="316">
        <v>4607091384345</v>
      </c>
      <c r="E335" s="316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81</v>
      </c>
      <c r="L335" s="38">
        <v>45</v>
      </c>
      <c r="M335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8"/>
      <c r="O335" s="318"/>
      <c r="P335" s="318"/>
      <c r="Q335" s="319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3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540</v>
      </c>
      <c r="B336" s="64" t="s">
        <v>541</v>
      </c>
      <c r="C336" s="37">
        <v>4301031172</v>
      </c>
      <c r="D336" s="316">
        <v>4607091389531</v>
      </c>
      <c r="E336" s="316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81</v>
      </c>
      <c r="L336" s="38">
        <v>45</v>
      </c>
      <c r="M336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8"/>
      <c r="O336" s="318"/>
      <c r="P336" s="318"/>
      <c r="Q336" s="319"/>
      <c r="R336" s="40" t="s">
        <v>48</v>
      </c>
      <c r="S336" s="40" t="s">
        <v>48</v>
      </c>
      <c r="T336" s="41" t="s">
        <v>0</v>
      </c>
      <c r="U336" s="59">
        <v>21</v>
      </c>
      <c r="V336" s="56">
        <f t="shared" si="13"/>
        <v>21</v>
      </c>
      <c r="W336" s="42">
        <f>IFERROR(IF(V336=0,"",ROUNDUP(V336/H336,0)*0.00502),"")</f>
        <v>5.0200000000000002E-2</v>
      </c>
      <c r="X336" s="69" t="s">
        <v>48</v>
      </c>
      <c r="Y336" s="70" t="s">
        <v>48</v>
      </c>
      <c r="AC336" s="260" t="s">
        <v>65</v>
      </c>
    </row>
    <row r="337" spans="1:29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25"/>
      <c r="M337" s="322" t="s">
        <v>43</v>
      </c>
      <c r="N337" s="323"/>
      <c r="O337" s="323"/>
      <c r="P337" s="323"/>
      <c r="Q337" s="323"/>
      <c r="R337" s="323"/>
      <c r="S337" s="324"/>
      <c r="T337" s="43" t="s">
        <v>42</v>
      </c>
      <c r="U337" s="44">
        <f>IFERROR(U324/H324,"0")+IFERROR(U325/H325,"0")+IFERROR(U326/H326,"0")+IFERROR(U327/H327,"0")+IFERROR(U328/H328,"0")+IFERROR(U329/H329,"0")+IFERROR(U330/H330,"0")+IFERROR(U331/H331,"0")+IFERROR(U332/H332,"0")+IFERROR(U333/H333,"0")+IFERROR(U334/H334,"0")+IFERROR(U335/H335,"0")+IFERROR(U336/H336,"0")</f>
        <v>65.476190476190482</v>
      </c>
      <c r="V337" s="44">
        <f>IFERROR(V324/H324,"0")+IFERROR(V325/H325,"0")+IFERROR(V326/H326,"0")+IFERROR(V327/H327,"0")+IFERROR(V328/H328,"0")+IFERROR(V329/H329,"0")+IFERROR(V330/H330,"0")+IFERROR(V331/H331,"0")+IFERROR(V332/H332,"0")+IFERROR(V333/H333,"0")+IFERROR(V334/H334,"0")+IFERROR(V335/H335,"0")+IFERROR(V336/H336,"0")</f>
        <v>66</v>
      </c>
      <c r="W337" s="44">
        <f>IFERROR(IF(W324="",0,W324),"0")+IFERROR(IF(W325="",0,W325),"0")+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0.39407000000000003</v>
      </c>
      <c r="X337" s="68"/>
      <c r="Y337" s="68"/>
    </row>
    <row r="338" spans="1:29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25"/>
      <c r="M338" s="322" t="s">
        <v>43</v>
      </c>
      <c r="N338" s="323"/>
      <c r="O338" s="323"/>
      <c r="P338" s="323"/>
      <c r="Q338" s="323"/>
      <c r="R338" s="323"/>
      <c r="S338" s="324"/>
      <c r="T338" s="43" t="s">
        <v>0</v>
      </c>
      <c r="U338" s="44">
        <f>IFERROR(SUM(U324:U336),"0")</f>
        <v>190</v>
      </c>
      <c r="V338" s="44">
        <f>IFERROR(SUM(V324:V336),"0")</f>
        <v>191.1</v>
      </c>
      <c r="W338" s="43"/>
      <c r="X338" s="68"/>
      <c r="Y338" s="68"/>
    </row>
    <row r="339" spans="1:29" ht="14.25" customHeight="1" x14ac:dyDescent="0.25">
      <c r="A339" s="326" t="s">
        <v>82</v>
      </c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67"/>
      <c r="Y339" s="67"/>
    </row>
    <row r="340" spans="1:29" ht="27" customHeight="1" x14ac:dyDescent="0.25">
      <c r="A340" s="64" t="s">
        <v>542</v>
      </c>
      <c r="B340" s="64" t="s">
        <v>543</v>
      </c>
      <c r="C340" s="37">
        <v>4301051258</v>
      </c>
      <c r="D340" s="316">
        <v>4607091389685</v>
      </c>
      <c r="E340" s="316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142</v>
      </c>
      <c r="L340" s="38">
        <v>45</v>
      </c>
      <c r="M340" s="3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8"/>
      <c r="O340" s="318"/>
      <c r="P340" s="318"/>
      <c r="Q340" s="319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  <c r="AC340" s="261" t="s">
        <v>65</v>
      </c>
    </row>
    <row r="341" spans="1:29" ht="27" customHeight="1" x14ac:dyDescent="0.25">
      <c r="A341" s="64" t="s">
        <v>544</v>
      </c>
      <c r="B341" s="64" t="s">
        <v>545</v>
      </c>
      <c r="C341" s="37">
        <v>4301051431</v>
      </c>
      <c r="D341" s="316">
        <v>4607091389654</v>
      </c>
      <c r="E341" s="316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142</v>
      </c>
      <c r="L341" s="38">
        <v>45</v>
      </c>
      <c r="M341" s="371" t="s">
        <v>546</v>
      </c>
      <c r="N341" s="318"/>
      <c r="O341" s="318"/>
      <c r="P341" s="318"/>
      <c r="Q341" s="319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262" t="s">
        <v>65</v>
      </c>
    </row>
    <row r="342" spans="1:29" ht="27" customHeight="1" x14ac:dyDescent="0.25">
      <c r="A342" s="64" t="s">
        <v>547</v>
      </c>
      <c r="B342" s="64" t="s">
        <v>548</v>
      </c>
      <c r="C342" s="37">
        <v>4301051284</v>
      </c>
      <c r="D342" s="316">
        <v>4607091384352</v>
      </c>
      <c r="E342" s="316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142</v>
      </c>
      <c r="L342" s="38">
        <v>45</v>
      </c>
      <c r="M342" s="3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8"/>
      <c r="O342" s="318"/>
      <c r="P342" s="318"/>
      <c r="Q342" s="319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  <c r="AC342" s="263" t="s">
        <v>65</v>
      </c>
    </row>
    <row r="343" spans="1:29" ht="27" customHeight="1" x14ac:dyDescent="0.25">
      <c r="A343" s="64" t="s">
        <v>549</v>
      </c>
      <c r="B343" s="64" t="s">
        <v>550</v>
      </c>
      <c r="C343" s="37">
        <v>4301051257</v>
      </c>
      <c r="D343" s="316">
        <v>4607091389661</v>
      </c>
      <c r="E343" s="316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142</v>
      </c>
      <c r="L343" s="38">
        <v>45</v>
      </c>
      <c r="M343" s="3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8"/>
      <c r="O343" s="318"/>
      <c r="P343" s="318"/>
      <c r="Q343" s="319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  <c r="AC343" s="264" t="s">
        <v>65</v>
      </c>
    </row>
    <row r="344" spans="1:29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25"/>
      <c r="M344" s="322" t="s">
        <v>43</v>
      </c>
      <c r="N344" s="323"/>
      <c r="O344" s="323"/>
      <c r="P344" s="323"/>
      <c r="Q344" s="323"/>
      <c r="R344" s="323"/>
      <c r="S344" s="324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9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25"/>
      <c r="M345" s="322" t="s">
        <v>43</v>
      </c>
      <c r="N345" s="323"/>
      <c r="O345" s="323"/>
      <c r="P345" s="323"/>
      <c r="Q345" s="323"/>
      <c r="R345" s="323"/>
      <c r="S345" s="324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9" ht="14.25" customHeight="1" x14ac:dyDescent="0.25">
      <c r="A346" s="326" t="s">
        <v>210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67"/>
      <c r="Y346" s="67"/>
    </row>
    <row r="347" spans="1:29" ht="27" customHeight="1" x14ac:dyDescent="0.25">
      <c r="A347" s="64" t="s">
        <v>551</v>
      </c>
      <c r="B347" s="64" t="s">
        <v>552</v>
      </c>
      <c r="C347" s="37">
        <v>4301060352</v>
      </c>
      <c r="D347" s="316">
        <v>4680115881648</v>
      </c>
      <c r="E347" s="316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81</v>
      </c>
      <c r="L347" s="38">
        <v>35</v>
      </c>
      <c r="M347" s="369" t="s">
        <v>553</v>
      </c>
      <c r="N347" s="318"/>
      <c r="O347" s="318"/>
      <c r="P347" s="318"/>
      <c r="Q347" s="319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  <c r="AC347" s="265" t="s">
        <v>65</v>
      </c>
    </row>
    <row r="348" spans="1:29" x14ac:dyDescent="0.2">
      <c r="A348" s="314"/>
      <c r="B348" s="314"/>
      <c r="C348" s="314"/>
      <c r="D348" s="314"/>
      <c r="E348" s="314"/>
      <c r="F348" s="314"/>
      <c r="G348" s="314"/>
      <c r="H348" s="314"/>
      <c r="I348" s="314"/>
      <c r="J348" s="314"/>
      <c r="K348" s="314"/>
      <c r="L348" s="325"/>
      <c r="M348" s="322" t="s">
        <v>43</v>
      </c>
      <c r="N348" s="323"/>
      <c r="O348" s="323"/>
      <c r="P348" s="323"/>
      <c r="Q348" s="323"/>
      <c r="R348" s="323"/>
      <c r="S348" s="324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9" x14ac:dyDescent="0.2">
      <c r="A349" s="314"/>
      <c r="B349" s="314"/>
      <c r="C349" s="314"/>
      <c r="D349" s="314"/>
      <c r="E349" s="314"/>
      <c r="F349" s="314"/>
      <c r="G349" s="314"/>
      <c r="H349" s="314"/>
      <c r="I349" s="314"/>
      <c r="J349" s="314"/>
      <c r="K349" s="314"/>
      <c r="L349" s="325"/>
      <c r="M349" s="322" t="s">
        <v>43</v>
      </c>
      <c r="N349" s="323"/>
      <c r="O349" s="323"/>
      <c r="P349" s="323"/>
      <c r="Q349" s="323"/>
      <c r="R349" s="323"/>
      <c r="S349" s="324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9" ht="14.25" customHeight="1" x14ac:dyDescent="0.25">
      <c r="A350" s="326" t="s">
        <v>96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67"/>
      <c r="Y350" s="67"/>
    </row>
    <row r="351" spans="1:29" ht="27" customHeight="1" x14ac:dyDescent="0.25">
      <c r="A351" s="64" t="s">
        <v>554</v>
      </c>
      <c r="B351" s="64" t="s">
        <v>555</v>
      </c>
      <c r="C351" s="37">
        <v>4301032042</v>
      </c>
      <c r="D351" s="316">
        <v>4680115883017</v>
      </c>
      <c r="E351" s="316"/>
      <c r="F351" s="63">
        <v>0.03</v>
      </c>
      <c r="G351" s="38">
        <v>20</v>
      </c>
      <c r="H351" s="63">
        <v>0.6</v>
      </c>
      <c r="I351" s="63">
        <v>0.63</v>
      </c>
      <c r="J351" s="38">
        <v>350</v>
      </c>
      <c r="K351" s="39" t="s">
        <v>557</v>
      </c>
      <c r="L351" s="38">
        <v>60</v>
      </c>
      <c r="M351" s="365" t="s">
        <v>556</v>
      </c>
      <c r="N351" s="318"/>
      <c r="O351" s="318"/>
      <c r="P351" s="318"/>
      <c r="Q351" s="319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IFERROR(IF(V351=0,"",ROUNDUP(V351/H351,0)*0.00349),"")</f>
        <v/>
      </c>
      <c r="X351" s="69" t="s">
        <v>48</v>
      </c>
      <c r="Y351" s="70" t="s">
        <v>277</v>
      </c>
      <c r="AC351" s="266" t="s">
        <v>65</v>
      </c>
    </row>
    <row r="352" spans="1:29" ht="27" customHeight="1" x14ac:dyDescent="0.25">
      <c r="A352" s="64" t="s">
        <v>558</v>
      </c>
      <c r="B352" s="64" t="s">
        <v>559</v>
      </c>
      <c r="C352" s="37">
        <v>4301032043</v>
      </c>
      <c r="D352" s="316">
        <v>4680115883031</v>
      </c>
      <c r="E352" s="316"/>
      <c r="F352" s="63">
        <v>0.03</v>
      </c>
      <c r="G352" s="38">
        <v>20</v>
      </c>
      <c r="H352" s="63">
        <v>0.6</v>
      </c>
      <c r="I352" s="63">
        <v>0.63</v>
      </c>
      <c r="J352" s="38">
        <v>350</v>
      </c>
      <c r="K352" s="39" t="s">
        <v>557</v>
      </c>
      <c r="L352" s="38">
        <v>60</v>
      </c>
      <c r="M352" s="366" t="s">
        <v>560</v>
      </c>
      <c r="N352" s="318"/>
      <c r="O352" s="318"/>
      <c r="P352" s="318"/>
      <c r="Q352" s="319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IFERROR(IF(V352=0,"",ROUNDUP(V352/H352,0)*0.00349),"")</f>
        <v/>
      </c>
      <c r="X352" s="69" t="s">
        <v>48</v>
      </c>
      <c r="Y352" s="70" t="s">
        <v>277</v>
      </c>
      <c r="AC352" s="267" t="s">
        <v>65</v>
      </c>
    </row>
    <row r="353" spans="1:29" ht="27" customHeight="1" x14ac:dyDescent="0.25">
      <c r="A353" s="64" t="s">
        <v>561</v>
      </c>
      <c r="B353" s="64" t="s">
        <v>562</v>
      </c>
      <c r="C353" s="37">
        <v>4301032041</v>
      </c>
      <c r="D353" s="316">
        <v>4680115883024</v>
      </c>
      <c r="E353" s="316"/>
      <c r="F353" s="63">
        <v>0.03</v>
      </c>
      <c r="G353" s="38">
        <v>20</v>
      </c>
      <c r="H353" s="63">
        <v>0.6</v>
      </c>
      <c r="I353" s="63">
        <v>0.63</v>
      </c>
      <c r="J353" s="38">
        <v>350</v>
      </c>
      <c r="K353" s="39" t="s">
        <v>557</v>
      </c>
      <c r="L353" s="38">
        <v>60</v>
      </c>
      <c r="M353" s="367" t="s">
        <v>563</v>
      </c>
      <c r="N353" s="318"/>
      <c r="O353" s="318"/>
      <c r="P353" s="318"/>
      <c r="Q353" s="319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IFERROR(IF(V353=0,"",ROUNDUP(V353/H353,0)*0.00349),"")</f>
        <v/>
      </c>
      <c r="X353" s="69" t="s">
        <v>48</v>
      </c>
      <c r="Y353" s="70" t="s">
        <v>277</v>
      </c>
      <c r="AC353" s="268" t="s">
        <v>65</v>
      </c>
    </row>
    <row r="354" spans="1:29" x14ac:dyDescent="0.2">
      <c r="A354" s="314"/>
      <c r="B354" s="314"/>
      <c r="C354" s="314"/>
      <c r="D354" s="314"/>
      <c r="E354" s="314"/>
      <c r="F354" s="314"/>
      <c r="G354" s="314"/>
      <c r="H354" s="314"/>
      <c r="I354" s="314"/>
      <c r="J354" s="314"/>
      <c r="K354" s="314"/>
      <c r="L354" s="325"/>
      <c r="M354" s="322" t="s">
        <v>43</v>
      </c>
      <c r="N354" s="323"/>
      <c r="O354" s="323"/>
      <c r="P354" s="323"/>
      <c r="Q354" s="323"/>
      <c r="R354" s="323"/>
      <c r="S354" s="324"/>
      <c r="T354" s="43" t="s">
        <v>42</v>
      </c>
      <c r="U354" s="44">
        <f>IFERROR(U351/H351,"0")+IFERROR(U352/H352,"0")+IFERROR(U353/H353,"0")</f>
        <v>0</v>
      </c>
      <c r="V354" s="44">
        <f>IFERROR(V351/H351,"0")+IFERROR(V352/H352,"0")+IFERROR(V353/H353,"0")</f>
        <v>0</v>
      </c>
      <c r="W354" s="44">
        <f>IFERROR(IF(W351="",0,W351),"0")+IFERROR(IF(W352="",0,W352),"0")+IFERROR(IF(W353="",0,W353),"0")</f>
        <v>0</v>
      </c>
      <c r="X354" s="68"/>
      <c r="Y354" s="68"/>
    </row>
    <row r="355" spans="1:29" x14ac:dyDescent="0.2">
      <c r="A355" s="314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25"/>
      <c r="M355" s="322" t="s">
        <v>43</v>
      </c>
      <c r="N355" s="323"/>
      <c r="O355" s="323"/>
      <c r="P355" s="323"/>
      <c r="Q355" s="323"/>
      <c r="R355" s="323"/>
      <c r="S355" s="324"/>
      <c r="T355" s="43" t="s">
        <v>0</v>
      </c>
      <c r="U355" s="44">
        <f>IFERROR(SUM(U351:U353),"0")</f>
        <v>0</v>
      </c>
      <c r="V355" s="44">
        <f>IFERROR(SUM(V351:V353),"0")</f>
        <v>0</v>
      </c>
      <c r="W355" s="43"/>
      <c r="X355" s="68"/>
      <c r="Y355" s="68"/>
    </row>
    <row r="356" spans="1:29" ht="14.25" customHeight="1" x14ac:dyDescent="0.25">
      <c r="A356" s="326" t="s">
        <v>108</v>
      </c>
      <c r="B356" s="326"/>
      <c r="C356" s="326"/>
      <c r="D356" s="326"/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67"/>
      <c r="Y356" s="67"/>
    </row>
    <row r="357" spans="1:29" ht="27" customHeight="1" x14ac:dyDescent="0.25">
      <c r="A357" s="64" t="s">
        <v>564</v>
      </c>
      <c r="B357" s="64" t="s">
        <v>565</v>
      </c>
      <c r="C357" s="37">
        <v>4301170009</v>
      </c>
      <c r="D357" s="316">
        <v>4680115882997</v>
      </c>
      <c r="E357" s="316"/>
      <c r="F357" s="63">
        <v>0.13</v>
      </c>
      <c r="G357" s="38">
        <v>10</v>
      </c>
      <c r="H357" s="63">
        <v>1.3</v>
      </c>
      <c r="I357" s="63">
        <v>1.43</v>
      </c>
      <c r="J357" s="38">
        <v>320</v>
      </c>
      <c r="K357" s="39" t="s">
        <v>557</v>
      </c>
      <c r="L357" s="38">
        <v>150</v>
      </c>
      <c r="M357" s="363" t="s">
        <v>566</v>
      </c>
      <c r="N357" s="318"/>
      <c r="O357" s="318"/>
      <c r="P357" s="318"/>
      <c r="Q357" s="319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IFERROR(IF(V357=0,"",ROUNDUP(V357/H357,0)*0.00266),"")</f>
        <v/>
      </c>
      <c r="X357" s="69" t="s">
        <v>48</v>
      </c>
      <c r="Y357" s="70" t="s">
        <v>277</v>
      </c>
      <c r="AC357" s="269" t="s">
        <v>65</v>
      </c>
    </row>
    <row r="358" spans="1:29" x14ac:dyDescent="0.2">
      <c r="A358" s="314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25"/>
      <c r="M358" s="322" t="s">
        <v>43</v>
      </c>
      <c r="N358" s="323"/>
      <c r="O358" s="323"/>
      <c r="P358" s="323"/>
      <c r="Q358" s="323"/>
      <c r="R358" s="323"/>
      <c r="S358" s="324"/>
      <c r="T358" s="43" t="s">
        <v>42</v>
      </c>
      <c r="U358" s="44">
        <f>IFERROR(U357/H357,"0")</f>
        <v>0</v>
      </c>
      <c r="V358" s="44">
        <f>IFERROR(V357/H357,"0")</f>
        <v>0</v>
      </c>
      <c r="W358" s="44">
        <f>IFERROR(IF(W357="",0,W357),"0")</f>
        <v>0</v>
      </c>
      <c r="X358" s="68"/>
      <c r="Y358" s="68"/>
    </row>
    <row r="359" spans="1:29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25"/>
      <c r="M359" s="322" t="s">
        <v>43</v>
      </c>
      <c r="N359" s="323"/>
      <c r="O359" s="323"/>
      <c r="P359" s="323"/>
      <c r="Q359" s="323"/>
      <c r="R359" s="323"/>
      <c r="S359" s="324"/>
      <c r="T359" s="43" t="s">
        <v>0</v>
      </c>
      <c r="U359" s="44">
        <f>IFERROR(SUM(U357:U357),"0")</f>
        <v>0</v>
      </c>
      <c r="V359" s="44">
        <f>IFERROR(SUM(V357:V357),"0")</f>
        <v>0</v>
      </c>
      <c r="W359" s="43"/>
      <c r="X359" s="68"/>
      <c r="Y359" s="68"/>
    </row>
    <row r="360" spans="1:29" ht="16.5" customHeight="1" x14ac:dyDescent="0.25">
      <c r="A360" s="332" t="s">
        <v>567</v>
      </c>
      <c r="B360" s="332"/>
      <c r="C360" s="332"/>
      <c r="D360" s="332"/>
      <c r="E360" s="332"/>
      <c r="F360" s="332"/>
      <c r="G360" s="332"/>
      <c r="H360" s="332"/>
      <c r="I360" s="332"/>
      <c r="J360" s="332"/>
      <c r="K360" s="332"/>
      <c r="L360" s="332"/>
      <c r="M360" s="332"/>
      <c r="N360" s="332"/>
      <c r="O360" s="332"/>
      <c r="P360" s="332"/>
      <c r="Q360" s="332"/>
      <c r="R360" s="332"/>
      <c r="S360" s="332"/>
      <c r="T360" s="332"/>
      <c r="U360" s="332"/>
      <c r="V360" s="332"/>
      <c r="W360" s="332"/>
      <c r="X360" s="66"/>
      <c r="Y360" s="66"/>
    </row>
    <row r="361" spans="1:29" ht="14.25" customHeight="1" x14ac:dyDescent="0.25">
      <c r="A361" s="326" t="s">
        <v>113</v>
      </c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67"/>
      <c r="Y361" s="67"/>
    </row>
    <row r="362" spans="1:29" ht="27" customHeight="1" x14ac:dyDescent="0.25">
      <c r="A362" s="64" t="s">
        <v>568</v>
      </c>
      <c r="B362" s="64" t="s">
        <v>569</v>
      </c>
      <c r="C362" s="37">
        <v>4301020196</v>
      </c>
      <c r="D362" s="316">
        <v>4607091389388</v>
      </c>
      <c r="E362" s="316"/>
      <c r="F362" s="63">
        <v>1.3</v>
      </c>
      <c r="G362" s="38">
        <v>4</v>
      </c>
      <c r="H362" s="63">
        <v>5.2</v>
      </c>
      <c r="I362" s="63">
        <v>5.6079999999999997</v>
      </c>
      <c r="J362" s="38">
        <v>104</v>
      </c>
      <c r="K362" s="39" t="s">
        <v>142</v>
      </c>
      <c r="L362" s="38">
        <v>35</v>
      </c>
      <c r="M362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2" s="318"/>
      <c r="O362" s="318"/>
      <c r="P362" s="318"/>
      <c r="Q362" s="319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270" t="s">
        <v>65</v>
      </c>
    </row>
    <row r="363" spans="1:29" ht="27" customHeight="1" x14ac:dyDescent="0.25">
      <c r="A363" s="64" t="s">
        <v>570</v>
      </c>
      <c r="B363" s="64" t="s">
        <v>571</v>
      </c>
      <c r="C363" s="37">
        <v>4301020185</v>
      </c>
      <c r="D363" s="316">
        <v>4607091389364</v>
      </c>
      <c r="E363" s="316"/>
      <c r="F363" s="63">
        <v>0.42</v>
      </c>
      <c r="G363" s="38">
        <v>6</v>
      </c>
      <c r="H363" s="63">
        <v>2.52</v>
      </c>
      <c r="I363" s="63">
        <v>2.75</v>
      </c>
      <c r="J363" s="38">
        <v>156</v>
      </c>
      <c r="K363" s="39" t="s">
        <v>142</v>
      </c>
      <c r="L363" s="38">
        <v>35</v>
      </c>
      <c r="M363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3" s="318"/>
      <c r="O363" s="318"/>
      <c r="P363" s="318"/>
      <c r="Q363" s="319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IFERROR(IF(V363=0,"",ROUNDUP(V363/H363,0)*0.00753),"")</f>
        <v/>
      </c>
      <c r="X363" s="69" t="s">
        <v>48</v>
      </c>
      <c r="Y363" s="70" t="s">
        <v>48</v>
      </c>
      <c r="AC363" s="271" t="s">
        <v>65</v>
      </c>
    </row>
    <row r="364" spans="1:29" x14ac:dyDescent="0.2">
      <c r="A364" s="314"/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25"/>
      <c r="M364" s="322" t="s">
        <v>43</v>
      </c>
      <c r="N364" s="323"/>
      <c r="O364" s="323"/>
      <c r="P364" s="323"/>
      <c r="Q364" s="323"/>
      <c r="R364" s="323"/>
      <c r="S364" s="324"/>
      <c r="T364" s="43" t="s">
        <v>42</v>
      </c>
      <c r="U364" s="44">
        <f>IFERROR(U362/H362,"0")+IFERROR(U363/H363,"0")</f>
        <v>0</v>
      </c>
      <c r="V364" s="44">
        <f>IFERROR(V362/H362,"0")+IFERROR(V363/H363,"0")</f>
        <v>0</v>
      </c>
      <c r="W364" s="44">
        <f>IFERROR(IF(W362="",0,W362),"0")+IFERROR(IF(W363="",0,W363),"0")</f>
        <v>0</v>
      </c>
      <c r="X364" s="68"/>
      <c r="Y364" s="68"/>
    </row>
    <row r="365" spans="1:29" x14ac:dyDescent="0.2">
      <c r="A365" s="314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25"/>
      <c r="M365" s="322" t="s">
        <v>43</v>
      </c>
      <c r="N365" s="323"/>
      <c r="O365" s="323"/>
      <c r="P365" s="323"/>
      <c r="Q365" s="323"/>
      <c r="R365" s="323"/>
      <c r="S365" s="324"/>
      <c r="T365" s="43" t="s">
        <v>0</v>
      </c>
      <c r="U365" s="44">
        <f>IFERROR(SUM(U362:U363),"0")</f>
        <v>0</v>
      </c>
      <c r="V365" s="44">
        <f>IFERROR(SUM(V362:V363),"0")</f>
        <v>0</v>
      </c>
      <c r="W365" s="43"/>
      <c r="X365" s="68"/>
      <c r="Y365" s="68"/>
    </row>
    <row r="366" spans="1:29" ht="14.25" customHeight="1" x14ac:dyDescent="0.25">
      <c r="A366" s="326" t="s">
        <v>77</v>
      </c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67"/>
      <c r="Y366" s="67"/>
    </row>
    <row r="367" spans="1:29" ht="27" customHeight="1" x14ac:dyDescent="0.25">
      <c r="A367" s="64" t="s">
        <v>572</v>
      </c>
      <c r="B367" s="64" t="s">
        <v>573</v>
      </c>
      <c r="C367" s="37">
        <v>4301031179</v>
      </c>
      <c r="D367" s="316">
        <v>4607091389739</v>
      </c>
      <c r="E367" s="316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9" t="s">
        <v>81</v>
      </c>
      <c r="L367" s="38">
        <v>45</v>
      </c>
      <c r="M367" s="3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7" s="318"/>
      <c r="O367" s="318"/>
      <c r="P367" s="318"/>
      <c r="Q367" s="319"/>
      <c r="R367" s="40" t="s">
        <v>48</v>
      </c>
      <c r="S367" s="40" t="s">
        <v>48</v>
      </c>
      <c r="T367" s="41" t="s">
        <v>0</v>
      </c>
      <c r="U367" s="59">
        <v>71</v>
      </c>
      <c r="V367" s="56">
        <f>IFERROR(IF(U367="",0,CEILING((U367/$H367),1)*$H367),"")</f>
        <v>71.400000000000006</v>
      </c>
      <c r="W367" s="42">
        <f>IFERROR(IF(V367=0,"",ROUNDUP(V367/H367,0)*0.00753),"")</f>
        <v>0.12801000000000001</v>
      </c>
      <c r="X367" s="69" t="s">
        <v>48</v>
      </c>
      <c r="Y367" s="70" t="s">
        <v>48</v>
      </c>
      <c r="AC367" s="272" t="s">
        <v>65</v>
      </c>
    </row>
    <row r="368" spans="1:29" ht="27" customHeight="1" x14ac:dyDescent="0.25">
      <c r="A368" s="64" t="s">
        <v>574</v>
      </c>
      <c r="B368" s="64" t="s">
        <v>575</v>
      </c>
      <c r="C368" s="37">
        <v>4301031176</v>
      </c>
      <c r="D368" s="316">
        <v>4607091389425</v>
      </c>
      <c r="E368" s="316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81</v>
      </c>
      <c r="L368" s="38">
        <v>45</v>
      </c>
      <c r="M368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18"/>
      <c r="O368" s="318"/>
      <c r="P368" s="318"/>
      <c r="Q368" s="319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3" t="s">
        <v>65</v>
      </c>
    </row>
    <row r="369" spans="1:29" ht="27" customHeight="1" x14ac:dyDescent="0.25">
      <c r="A369" s="64" t="s">
        <v>576</v>
      </c>
      <c r="B369" s="64" t="s">
        <v>577</v>
      </c>
      <c r="C369" s="37">
        <v>4301031167</v>
      </c>
      <c r="D369" s="316">
        <v>4680115880771</v>
      </c>
      <c r="E369" s="316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81</v>
      </c>
      <c r="L369" s="38">
        <v>45</v>
      </c>
      <c r="M369" s="3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18"/>
      <c r="O369" s="318"/>
      <c r="P369" s="318"/>
      <c r="Q369" s="319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4" t="s">
        <v>65</v>
      </c>
    </row>
    <row r="370" spans="1:29" ht="27" customHeight="1" x14ac:dyDescent="0.25">
      <c r="A370" s="64" t="s">
        <v>578</v>
      </c>
      <c r="B370" s="64" t="s">
        <v>579</v>
      </c>
      <c r="C370" s="37">
        <v>4301031173</v>
      </c>
      <c r="D370" s="316">
        <v>4607091389500</v>
      </c>
      <c r="E370" s="316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81</v>
      </c>
      <c r="L370" s="38">
        <v>45</v>
      </c>
      <c r="M370" s="3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18"/>
      <c r="O370" s="318"/>
      <c r="P370" s="318"/>
      <c r="Q370" s="319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5" t="s">
        <v>65</v>
      </c>
    </row>
    <row r="371" spans="1:29" ht="27" customHeight="1" x14ac:dyDescent="0.25">
      <c r="A371" s="64" t="s">
        <v>580</v>
      </c>
      <c r="B371" s="64" t="s">
        <v>581</v>
      </c>
      <c r="C371" s="37">
        <v>4301031103</v>
      </c>
      <c r="D371" s="316">
        <v>4680115881983</v>
      </c>
      <c r="E371" s="316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81</v>
      </c>
      <c r="L371" s="38">
        <v>40</v>
      </c>
      <c r="M371" s="359" t="s">
        <v>582</v>
      </c>
      <c r="N371" s="318"/>
      <c r="O371" s="318"/>
      <c r="P371" s="318"/>
      <c r="Q371" s="319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6" t="s">
        <v>65</v>
      </c>
    </row>
    <row r="372" spans="1:29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25"/>
      <c r="M372" s="322" t="s">
        <v>43</v>
      </c>
      <c r="N372" s="323"/>
      <c r="O372" s="323"/>
      <c r="P372" s="323"/>
      <c r="Q372" s="323"/>
      <c r="R372" s="323"/>
      <c r="S372" s="324"/>
      <c r="T372" s="43" t="s">
        <v>42</v>
      </c>
      <c r="U372" s="44">
        <f>IFERROR(U367/H367,"0")+IFERROR(U368/H368,"0")+IFERROR(U369/H369,"0")+IFERROR(U370/H370,"0")+IFERROR(U371/H371,"0")</f>
        <v>16.904761904761905</v>
      </c>
      <c r="V372" s="44">
        <f>IFERROR(V367/H367,"0")+IFERROR(V368/H368,"0")+IFERROR(V369/H369,"0")+IFERROR(V370/H370,"0")+IFERROR(V371/H371,"0")</f>
        <v>17</v>
      </c>
      <c r="W372" s="44">
        <f>IFERROR(IF(W367="",0,W367),"0")+IFERROR(IF(W368="",0,W368),"0")+IFERROR(IF(W369="",0,W369),"0")+IFERROR(IF(W370="",0,W370),"0")+IFERROR(IF(W371="",0,W371),"0")</f>
        <v>0.12801000000000001</v>
      </c>
      <c r="X372" s="68"/>
      <c r="Y372" s="68"/>
    </row>
    <row r="373" spans="1:29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25"/>
      <c r="M373" s="322" t="s">
        <v>43</v>
      </c>
      <c r="N373" s="323"/>
      <c r="O373" s="323"/>
      <c r="P373" s="323"/>
      <c r="Q373" s="323"/>
      <c r="R373" s="323"/>
      <c r="S373" s="324"/>
      <c r="T373" s="43" t="s">
        <v>0</v>
      </c>
      <c r="U373" s="44">
        <f>IFERROR(SUM(U367:U371),"0")</f>
        <v>71</v>
      </c>
      <c r="V373" s="44">
        <f>IFERROR(SUM(V367:V371),"0")</f>
        <v>71.400000000000006</v>
      </c>
      <c r="W373" s="43"/>
      <c r="X373" s="68"/>
      <c r="Y373" s="68"/>
    </row>
    <row r="374" spans="1:29" ht="14.25" customHeight="1" x14ac:dyDescent="0.25">
      <c r="A374" s="326" t="s">
        <v>96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67"/>
      <c r="Y374" s="67"/>
    </row>
    <row r="375" spans="1:29" ht="27" customHeight="1" x14ac:dyDescent="0.25">
      <c r="A375" s="64" t="s">
        <v>583</v>
      </c>
      <c r="B375" s="64" t="s">
        <v>584</v>
      </c>
      <c r="C375" s="37">
        <v>4301032044</v>
      </c>
      <c r="D375" s="316">
        <v>4680115883000</v>
      </c>
      <c r="E375" s="316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557</v>
      </c>
      <c r="L375" s="38">
        <v>60</v>
      </c>
      <c r="M375" s="355" t="s">
        <v>585</v>
      </c>
      <c r="N375" s="318"/>
      <c r="O375" s="318"/>
      <c r="P375" s="318"/>
      <c r="Q375" s="319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277</v>
      </c>
      <c r="AC375" s="277" t="s">
        <v>65</v>
      </c>
    </row>
    <row r="376" spans="1:29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25"/>
      <c r="M376" s="322" t="s">
        <v>43</v>
      </c>
      <c r="N376" s="323"/>
      <c r="O376" s="323"/>
      <c r="P376" s="323"/>
      <c r="Q376" s="323"/>
      <c r="R376" s="323"/>
      <c r="S376" s="324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25"/>
      <c r="M377" s="322" t="s">
        <v>43</v>
      </c>
      <c r="N377" s="323"/>
      <c r="O377" s="323"/>
      <c r="P377" s="323"/>
      <c r="Q377" s="323"/>
      <c r="R377" s="323"/>
      <c r="S377" s="324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6" t="s">
        <v>108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67"/>
      <c r="Y378" s="67"/>
    </row>
    <row r="379" spans="1:29" ht="27" customHeight="1" x14ac:dyDescent="0.25">
      <c r="A379" s="64" t="s">
        <v>586</v>
      </c>
      <c r="B379" s="64" t="s">
        <v>587</v>
      </c>
      <c r="C379" s="37">
        <v>4301170008</v>
      </c>
      <c r="D379" s="316">
        <v>4680115882980</v>
      </c>
      <c r="E379" s="316"/>
      <c r="F379" s="63">
        <v>0.13</v>
      </c>
      <c r="G379" s="38">
        <v>10</v>
      </c>
      <c r="H379" s="63">
        <v>1.3</v>
      </c>
      <c r="I379" s="63">
        <v>1.43</v>
      </c>
      <c r="J379" s="38">
        <v>320</v>
      </c>
      <c r="K379" s="39" t="s">
        <v>557</v>
      </c>
      <c r="L379" s="38">
        <v>150</v>
      </c>
      <c r="M379" s="356" t="s">
        <v>588</v>
      </c>
      <c r="N379" s="318"/>
      <c r="O379" s="318"/>
      <c r="P379" s="318"/>
      <c r="Q379" s="319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IFERROR(IF(V379=0,"",ROUNDUP(V379/H379,0)*0.00266),"")</f>
        <v/>
      </c>
      <c r="X379" s="69" t="s">
        <v>48</v>
      </c>
      <c r="Y379" s="70" t="s">
        <v>277</v>
      </c>
      <c r="AC379" s="278" t="s">
        <v>65</v>
      </c>
    </row>
    <row r="380" spans="1:29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25"/>
      <c r="M380" s="322" t="s">
        <v>43</v>
      </c>
      <c r="N380" s="323"/>
      <c r="O380" s="323"/>
      <c r="P380" s="323"/>
      <c r="Q380" s="323"/>
      <c r="R380" s="323"/>
      <c r="S380" s="324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25"/>
      <c r="M381" s="322" t="s">
        <v>43</v>
      </c>
      <c r="N381" s="323"/>
      <c r="O381" s="323"/>
      <c r="P381" s="323"/>
      <c r="Q381" s="323"/>
      <c r="R381" s="323"/>
      <c r="S381" s="324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1" t="s">
        <v>589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55"/>
      <c r="Y382" s="55"/>
    </row>
    <row r="383" spans="1:29" ht="16.5" customHeight="1" x14ac:dyDescent="0.25">
      <c r="A383" s="332" t="s">
        <v>589</v>
      </c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2"/>
      <c r="N383" s="332"/>
      <c r="O383" s="332"/>
      <c r="P383" s="332"/>
      <c r="Q383" s="332"/>
      <c r="R383" s="332"/>
      <c r="S383" s="332"/>
      <c r="T383" s="332"/>
      <c r="U383" s="332"/>
      <c r="V383" s="332"/>
      <c r="W383" s="332"/>
      <c r="X383" s="66"/>
      <c r="Y383" s="66"/>
    </row>
    <row r="384" spans="1:29" ht="14.25" customHeight="1" x14ac:dyDescent="0.25">
      <c r="A384" s="326" t="s">
        <v>118</v>
      </c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67"/>
      <c r="Y384" s="67"/>
    </row>
    <row r="385" spans="1:29" ht="27" customHeight="1" x14ac:dyDescent="0.25">
      <c r="A385" s="64" t="s">
        <v>590</v>
      </c>
      <c r="B385" s="64" t="s">
        <v>591</v>
      </c>
      <c r="C385" s="37">
        <v>4301011371</v>
      </c>
      <c r="D385" s="316">
        <v>4607091389067</v>
      </c>
      <c r="E385" s="316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142</v>
      </c>
      <c r="L385" s="38">
        <v>55</v>
      </c>
      <c r="M385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18"/>
      <c r="O385" s="318"/>
      <c r="P385" s="318"/>
      <c r="Q385" s="319"/>
      <c r="R385" s="40" t="s">
        <v>48</v>
      </c>
      <c r="S385" s="40" t="s">
        <v>48</v>
      </c>
      <c r="T385" s="41" t="s">
        <v>0</v>
      </c>
      <c r="U385" s="59">
        <v>21</v>
      </c>
      <c r="V385" s="56">
        <f t="shared" ref="V385:V394" si="14">IFERROR(IF(U385="",0,CEILING((U385/$H385),1)*$H385),"")</f>
        <v>21.12</v>
      </c>
      <c r="W385" s="42">
        <f>IFERROR(IF(V385=0,"",ROUNDUP(V385/H385,0)*0.01196),"")</f>
        <v>4.7840000000000001E-2</v>
      </c>
      <c r="X385" s="69" t="s">
        <v>48</v>
      </c>
      <c r="Y385" s="70" t="s">
        <v>48</v>
      </c>
      <c r="AC385" s="279" t="s">
        <v>65</v>
      </c>
    </row>
    <row r="386" spans="1:29" ht="27" customHeight="1" x14ac:dyDescent="0.25">
      <c r="A386" s="64" t="s">
        <v>592</v>
      </c>
      <c r="B386" s="64" t="s">
        <v>593</v>
      </c>
      <c r="C386" s="37">
        <v>4301011363</v>
      </c>
      <c r="D386" s="316">
        <v>4607091383522</v>
      </c>
      <c r="E386" s="316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116</v>
      </c>
      <c r="L386" s="38">
        <v>55</v>
      </c>
      <c r="M386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18"/>
      <c r="O386" s="318"/>
      <c r="P386" s="318"/>
      <c r="Q386" s="319"/>
      <c r="R386" s="40" t="s">
        <v>48</v>
      </c>
      <c r="S386" s="40" t="s">
        <v>48</v>
      </c>
      <c r="T386" s="41" t="s">
        <v>0</v>
      </c>
      <c r="U386" s="59">
        <v>216</v>
      </c>
      <c r="V386" s="56">
        <f t="shared" si="14"/>
        <v>216.48000000000002</v>
      </c>
      <c r="W386" s="42">
        <f>IFERROR(IF(V386=0,"",ROUNDUP(V386/H386,0)*0.01196),"")</f>
        <v>0.49036000000000002</v>
      </c>
      <c r="X386" s="69" t="s">
        <v>48</v>
      </c>
      <c r="Y386" s="70" t="s">
        <v>48</v>
      </c>
      <c r="AC386" s="280" t="s">
        <v>65</v>
      </c>
    </row>
    <row r="387" spans="1:29" ht="27" customHeight="1" x14ac:dyDescent="0.25">
      <c r="A387" s="64" t="s">
        <v>594</v>
      </c>
      <c r="B387" s="64" t="s">
        <v>595</v>
      </c>
      <c r="C387" s="37">
        <v>4301011431</v>
      </c>
      <c r="D387" s="316">
        <v>4607091384437</v>
      </c>
      <c r="E387" s="316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116</v>
      </c>
      <c r="L387" s="38">
        <v>50</v>
      </c>
      <c r="M387" s="348" t="s">
        <v>596</v>
      </c>
      <c r="N387" s="318"/>
      <c r="O387" s="318"/>
      <c r="P387" s="318"/>
      <c r="Q387" s="31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4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1" t="s">
        <v>65</v>
      </c>
    </row>
    <row r="388" spans="1:29" ht="27" customHeight="1" x14ac:dyDescent="0.25">
      <c r="A388" s="64" t="s">
        <v>597</v>
      </c>
      <c r="B388" s="64" t="s">
        <v>598</v>
      </c>
      <c r="C388" s="37">
        <v>4301011365</v>
      </c>
      <c r="D388" s="316">
        <v>4607091389104</v>
      </c>
      <c r="E388" s="316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116</v>
      </c>
      <c r="L388" s="38">
        <v>55</v>
      </c>
      <c r="M388" s="3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18"/>
      <c r="O388" s="318"/>
      <c r="P388" s="318"/>
      <c r="Q388" s="319"/>
      <c r="R388" s="40" t="s">
        <v>48</v>
      </c>
      <c r="S388" s="40" t="s">
        <v>48</v>
      </c>
      <c r="T388" s="41" t="s">
        <v>0</v>
      </c>
      <c r="U388" s="59">
        <v>168</v>
      </c>
      <c r="V388" s="56">
        <f t="shared" si="14"/>
        <v>168.96</v>
      </c>
      <c r="W388" s="42">
        <f>IFERROR(IF(V388=0,"",ROUNDUP(V388/H388,0)*0.01196),"")</f>
        <v>0.38272</v>
      </c>
      <c r="X388" s="69" t="s">
        <v>48</v>
      </c>
      <c r="Y388" s="70" t="s">
        <v>48</v>
      </c>
      <c r="AC388" s="282" t="s">
        <v>65</v>
      </c>
    </row>
    <row r="389" spans="1:29" ht="27" customHeight="1" x14ac:dyDescent="0.25">
      <c r="A389" s="64" t="s">
        <v>599</v>
      </c>
      <c r="B389" s="64" t="s">
        <v>600</v>
      </c>
      <c r="C389" s="37">
        <v>4301011142</v>
      </c>
      <c r="D389" s="316">
        <v>4607091389036</v>
      </c>
      <c r="E389" s="316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142</v>
      </c>
      <c r="L389" s="38">
        <v>50</v>
      </c>
      <c r="M389" s="35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18"/>
      <c r="O389" s="318"/>
      <c r="P389" s="318"/>
      <c r="Q389" s="31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4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601</v>
      </c>
      <c r="B390" s="64" t="s">
        <v>602</v>
      </c>
      <c r="C390" s="37">
        <v>4301011367</v>
      </c>
      <c r="D390" s="316">
        <v>4680115880603</v>
      </c>
      <c r="E390" s="316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116</v>
      </c>
      <c r="L390" s="38">
        <v>55</v>
      </c>
      <c r="M390" s="351" t="s">
        <v>603</v>
      </c>
      <c r="N390" s="318"/>
      <c r="O390" s="318"/>
      <c r="P390" s="318"/>
      <c r="Q390" s="319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4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604</v>
      </c>
      <c r="B391" s="64" t="s">
        <v>605</v>
      </c>
      <c r="C391" s="37">
        <v>4301011168</v>
      </c>
      <c r="D391" s="316">
        <v>4607091389999</v>
      </c>
      <c r="E391" s="316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116</v>
      </c>
      <c r="L391" s="38">
        <v>55</v>
      </c>
      <c r="M391" s="352" t="s">
        <v>606</v>
      </c>
      <c r="N391" s="318"/>
      <c r="O391" s="318"/>
      <c r="P391" s="318"/>
      <c r="Q391" s="319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4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607</v>
      </c>
      <c r="B392" s="64" t="s">
        <v>608</v>
      </c>
      <c r="C392" s="37">
        <v>4301011372</v>
      </c>
      <c r="D392" s="316">
        <v>4680115882782</v>
      </c>
      <c r="E392" s="316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116</v>
      </c>
      <c r="L392" s="38">
        <v>50</v>
      </c>
      <c r="M392" s="345" t="s">
        <v>609</v>
      </c>
      <c r="N392" s="318"/>
      <c r="O392" s="318"/>
      <c r="P392" s="318"/>
      <c r="Q392" s="319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4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610</v>
      </c>
      <c r="B393" s="64" t="s">
        <v>611</v>
      </c>
      <c r="C393" s="37">
        <v>4301011190</v>
      </c>
      <c r="D393" s="316">
        <v>4607091389098</v>
      </c>
      <c r="E393" s="316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4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18"/>
      <c r="O393" s="318"/>
      <c r="P393" s="318"/>
      <c r="Q393" s="319"/>
      <c r="R393" s="40" t="s">
        <v>48</v>
      </c>
      <c r="S393" s="40" t="s">
        <v>48</v>
      </c>
      <c r="T393" s="41" t="s">
        <v>0</v>
      </c>
      <c r="U393" s="59">
        <v>16</v>
      </c>
      <c r="V393" s="56">
        <f t="shared" si="14"/>
        <v>16.8</v>
      </c>
      <c r="W393" s="42">
        <f>IFERROR(IF(V393=0,"",ROUNDUP(V393/H393,0)*0.00753),"")</f>
        <v>5.271E-2</v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612</v>
      </c>
      <c r="B394" s="64" t="s">
        <v>613</v>
      </c>
      <c r="C394" s="37">
        <v>4301011366</v>
      </c>
      <c r="D394" s="316">
        <v>4607091389982</v>
      </c>
      <c r="E394" s="316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116</v>
      </c>
      <c r="L394" s="38">
        <v>55</v>
      </c>
      <c r="M394" s="347" t="s">
        <v>614</v>
      </c>
      <c r="N394" s="318"/>
      <c r="O394" s="318"/>
      <c r="P394" s="318"/>
      <c r="Q394" s="319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4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25"/>
      <c r="M395" s="322" t="s">
        <v>43</v>
      </c>
      <c r="N395" s="323"/>
      <c r="O395" s="323"/>
      <c r="P395" s="323"/>
      <c r="Q395" s="323"/>
      <c r="R395" s="323"/>
      <c r="S395" s="324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83.371212121212125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84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0.97363</v>
      </c>
      <c r="X395" s="68"/>
      <c r="Y395" s="68"/>
    </row>
    <row r="396" spans="1:29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25"/>
      <c r="M396" s="322" t="s">
        <v>43</v>
      </c>
      <c r="N396" s="323"/>
      <c r="O396" s="323"/>
      <c r="P396" s="323"/>
      <c r="Q396" s="323"/>
      <c r="R396" s="323"/>
      <c r="S396" s="324"/>
      <c r="T396" s="43" t="s">
        <v>0</v>
      </c>
      <c r="U396" s="44">
        <f>IFERROR(SUM(U385:U394),"0")</f>
        <v>421</v>
      </c>
      <c r="V396" s="44">
        <f>IFERROR(SUM(V385:V394),"0")</f>
        <v>423.36000000000007</v>
      </c>
      <c r="W396" s="43"/>
      <c r="X396" s="68"/>
      <c r="Y396" s="68"/>
    </row>
    <row r="397" spans="1:29" ht="14.25" customHeight="1" x14ac:dyDescent="0.25">
      <c r="A397" s="326" t="s">
        <v>113</v>
      </c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67"/>
      <c r="Y397" s="67"/>
    </row>
    <row r="398" spans="1:29" ht="16.5" customHeight="1" x14ac:dyDescent="0.25">
      <c r="A398" s="64" t="s">
        <v>615</v>
      </c>
      <c r="B398" s="64" t="s">
        <v>616</v>
      </c>
      <c r="C398" s="37">
        <v>4301020222</v>
      </c>
      <c r="D398" s="316">
        <v>4607091388930</v>
      </c>
      <c r="E398" s="316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116</v>
      </c>
      <c r="L398" s="38">
        <v>55</v>
      </c>
      <c r="M398" s="3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18"/>
      <c r="O398" s="318"/>
      <c r="P398" s="318"/>
      <c r="Q398" s="319"/>
      <c r="R398" s="40" t="s">
        <v>48</v>
      </c>
      <c r="S398" s="40" t="s">
        <v>48</v>
      </c>
      <c r="T398" s="41" t="s">
        <v>0</v>
      </c>
      <c r="U398" s="59">
        <v>36</v>
      </c>
      <c r="V398" s="56">
        <f>IFERROR(IF(U398="",0,CEILING((U398/$H398),1)*$H398),"")</f>
        <v>36.96</v>
      </c>
      <c r="W398" s="42">
        <f>IFERROR(IF(V398=0,"",ROUNDUP(V398/H398,0)*0.01196),"")</f>
        <v>8.3720000000000003E-2</v>
      </c>
      <c r="X398" s="69" t="s">
        <v>48</v>
      </c>
      <c r="Y398" s="70" t="s">
        <v>48</v>
      </c>
      <c r="AC398" s="289" t="s">
        <v>65</v>
      </c>
    </row>
    <row r="399" spans="1:29" ht="16.5" customHeight="1" x14ac:dyDescent="0.25">
      <c r="A399" s="64" t="s">
        <v>617</v>
      </c>
      <c r="B399" s="64" t="s">
        <v>618</v>
      </c>
      <c r="C399" s="37">
        <v>4301020206</v>
      </c>
      <c r="D399" s="316">
        <v>4680115880054</v>
      </c>
      <c r="E399" s="316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116</v>
      </c>
      <c r="L399" s="38">
        <v>55</v>
      </c>
      <c r="M399" s="344" t="s">
        <v>619</v>
      </c>
      <c r="N399" s="318"/>
      <c r="O399" s="318"/>
      <c r="P399" s="318"/>
      <c r="Q399" s="319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0" t="s">
        <v>65</v>
      </c>
    </row>
    <row r="400" spans="1:29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25"/>
      <c r="M400" s="322" t="s">
        <v>43</v>
      </c>
      <c r="N400" s="323"/>
      <c r="O400" s="323"/>
      <c r="P400" s="323"/>
      <c r="Q400" s="323"/>
      <c r="R400" s="323"/>
      <c r="S400" s="324"/>
      <c r="T400" s="43" t="s">
        <v>42</v>
      </c>
      <c r="U400" s="44">
        <f>IFERROR(U398/H398,"0")+IFERROR(U399/H399,"0")</f>
        <v>6.8181818181818175</v>
      </c>
      <c r="V400" s="44">
        <f>IFERROR(V398/H398,"0")+IFERROR(V399/H399,"0")</f>
        <v>7</v>
      </c>
      <c r="W400" s="44">
        <f>IFERROR(IF(W398="",0,W398),"0")+IFERROR(IF(W399="",0,W399),"0")</f>
        <v>8.3720000000000003E-2</v>
      </c>
      <c r="X400" s="68"/>
      <c r="Y400" s="68"/>
    </row>
    <row r="401" spans="1:29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25"/>
      <c r="M401" s="322" t="s">
        <v>43</v>
      </c>
      <c r="N401" s="323"/>
      <c r="O401" s="323"/>
      <c r="P401" s="323"/>
      <c r="Q401" s="323"/>
      <c r="R401" s="323"/>
      <c r="S401" s="324"/>
      <c r="T401" s="43" t="s">
        <v>0</v>
      </c>
      <c r="U401" s="44">
        <f>IFERROR(SUM(U398:U399),"0")</f>
        <v>36</v>
      </c>
      <c r="V401" s="44">
        <f>IFERROR(SUM(V398:V399),"0")</f>
        <v>36.96</v>
      </c>
      <c r="W401" s="43"/>
      <c r="X401" s="68"/>
      <c r="Y401" s="68"/>
    </row>
    <row r="402" spans="1:29" ht="14.25" customHeight="1" x14ac:dyDescent="0.25">
      <c r="A402" s="326" t="s">
        <v>77</v>
      </c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67"/>
      <c r="Y402" s="67"/>
    </row>
    <row r="403" spans="1:29" ht="27" customHeight="1" x14ac:dyDescent="0.25">
      <c r="A403" s="64" t="s">
        <v>620</v>
      </c>
      <c r="B403" s="64" t="s">
        <v>621</v>
      </c>
      <c r="C403" s="37">
        <v>4301031198</v>
      </c>
      <c r="D403" s="316">
        <v>4607091383348</v>
      </c>
      <c r="E403" s="31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116</v>
      </c>
      <c r="L403" s="38">
        <v>55</v>
      </c>
      <c r="M403" s="33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3" s="318"/>
      <c r="O403" s="318"/>
      <c r="P403" s="318"/>
      <c r="Q403" s="319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08" si="15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1" t="s">
        <v>65</v>
      </c>
    </row>
    <row r="404" spans="1:29" ht="27" customHeight="1" x14ac:dyDescent="0.25">
      <c r="A404" s="64" t="s">
        <v>622</v>
      </c>
      <c r="B404" s="64" t="s">
        <v>623</v>
      </c>
      <c r="C404" s="37">
        <v>4301031188</v>
      </c>
      <c r="D404" s="316">
        <v>4607091383386</v>
      </c>
      <c r="E404" s="31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81</v>
      </c>
      <c r="L404" s="38">
        <v>55</v>
      </c>
      <c r="M404" s="33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4" s="318"/>
      <c r="O404" s="318"/>
      <c r="P404" s="318"/>
      <c r="Q404" s="319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5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2" t="s">
        <v>65</v>
      </c>
    </row>
    <row r="405" spans="1:29" ht="27" customHeight="1" x14ac:dyDescent="0.25">
      <c r="A405" s="64" t="s">
        <v>624</v>
      </c>
      <c r="B405" s="64" t="s">
        <v>625</v>
      </c>
      <c r="C405" s="37">
        <v>4301031189</v>
      </c>
      <c r="D405" s="316">
        <v>4607091383355</v>
      </c>
      <c r="E405" s="31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81</v>
      </c>
      <c r="L405" s="38">
        <v>55</v>
      </c>
      <c r="M405" s="34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5" s="318"/>
      <c r="O405" s="318"/>
      <c r="P405" s="318"/>
      <c r="Q405" s="319"/>
      <c r="R405" s="40" t="s">
        <v>48</v>
      </c>
      <c r="S405" s="40" t="s">
        <v>48</v>
      </c>
      <c r="T405" s="41" t="s">
        <v>0</v>
      </c>
      <c r="U405" s="59">
        <v>26</v>
      </c>
      <c r="V405" s="56">
        <f t="shared" si="15"/>
        <v>26.400000000000002</v>
      </c>
      <c r="W405" s="42">
        <f>IFERROR(IF(V405=0,"",ROUNDUP(V405/H405,0)*0.01196),"")</f>
        <v>5.9799999999999999E-2</v>
      </c>
      <c r="X405" s="69" t="s">
        <v>48</v>
      </c>
      <c r="Y405" s="70" t="s">
        <v>48</v>
      </c>
      <c r="AC405" s="293" t="s">
        <v>65</v>
      </c>
    </row>
    <row r="406" spans="1:29" ht="27" customHeight="1" x14ac:dyDescent="0.25">
      <c r="A406" s="64" t="s">
        <v>626</v>
      </c>
      <c r="B406" s="64" t="s">
        <v>627</v>
      </c>
      <c r="C406" s="37">
        <v>4301031214</v>
      </c>
      <c r="D406" s="316">
        <v>4680115882072</v>
      </c>
      <c r="E406" s="316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116</v>
      </c>
      <c r="L406" s="38">
        <v>55</v>
      </c>
      <c r="M406" s="341" t="s">
        <v>628</v>
      </c>
      <c r="N406" s="318"/>
      <c r="O406" s="318"/>
      <c r="P406" s="318"/>
      <c r="Q406" s="319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5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294" t="s">
        <v>65</v>
      </c>
    </row>
    <row r="407" spans="1:29" ht="27" customHeight="1" x14ac:dyDescent="0.25">
      <c r="A407" s="64" t="s">
        <v>629</v>
      </c>
      <c r="B407" s="64" t="s">
        <v>630</v>
      </c>
      <c r="C407" s="37">
        <v>4301031217</v>
      </c>
      <c r="D407" s="316">
        <v>4680115882102</v>
      </c>
      <c r="E407" s="316"/>
      <c r="F407" s="63">
        <v>0.6</v>
      </c>
      <c r="G407" s="38">
        <v>6</v>
      </c>
      <c r="H407" s="63">
        <v>3.6</v>
      </c>
      <c r="I407" s="63">
        <v>3.81</v>
      </c>
      <c r="J407" s="38">
        <v>120</v>
      </c>
      <c r="K407" s="39" t="s">
        <v>81</v>
      </c>
      <c r="L407" s="38">
        <v>55</v>
      </c>
      <c r="M407" s="342" t="s">
        <v>631</v>
      </c>
      <c r="N407" s="318"/>
      <c r="O407" s="318"/>
      <c r="P407" s="318"/>
      <c r="Q407" s="319"/>
      <c r="R407" s="40" t="s">
        <v>48</v>
      </c>
      <c r="S407" s="40" t="s">
        <v>48</v>
      </c>
      <c r="T407" s="41" t="s">
        <v>0</v>
      </c>
      <c r="U407" s="59">
        <v>21</v>
      </c>
      <c r="V407" s="56">
        <f t="shared" si="15"/>
        <v>21.6</v>
      </c>
      <c r="W407" s="42">
        <f>IFERROR(IF(V407=0,"",ROUNDUP(V407/H407,0)*0.00937),"")</f>
        <v>5.6219999999999999E-2</v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632</v>
      </c>
      <c r="B408" s="64" t="s">
        <v>633</v>
      </c>
      <c r="C408" s="37">
        <v>4301031216</v>
      </c>
      <c r="D408" s="316">
        <v>4680115882096</v>
      </c>
      <c r="E408" s="316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81</v>
      </c>
      <c r="L408" s="38">
        <v>55</v>
      </c>
      <c r="M408" s="335" t="s">
        <v>634</v>
      </c>
      <c r="N408" s="318"/>
      <c r="O408" s="318"/>
      <c r="P408" s="318"/>
      <c r="Q408" s="319"/>
      <c r="R408" s="40" t="s">
        <v>48</v>
      </c>
      <c r="S408" s="40" t="s">
        <v>48</v>
      </c>
      <c r="T408" s="41" t="s">
        <v>0</v>
      </c>
      <c r="U408" s="59">
        <v>26</v>
      </c>
      <c r="V408" s="56">
        <f t="shared" si="15"/>
        <v>28.8</v>
      </c>
      <c r="W408" s="42">
        <f>IFERROR(IF(V408=0,"",ROUNDUP(V408/H408,0)*0.00937),"")</f>
        <v>7.4959999999999999E-2</v>
      </c>
      <c r="X408" s="69" t="s">
        <v>48</v>
      </c>
      <c r="Y408" s="70" t="s">
        <v>48</v>
      </c>
      <c r="AC408" s="296" t="s">
        <v>65</v>
      </c>
    </row>
    <row r="409" spans="1:29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25"/>
      <c r="M409" s="322" t="s">
        <v>43</v>
      </c>
      <c r="N409" s="323"/>
      <c r="O409" s="323"/>
      <c r="P409" s="323"/>
      <c r="Q409" s="323"/>
      <c r="R409" s="323"/>
      <c r="S409" s="324"/>
      <c r="T409" s="43" t="s">
        <v>42</v>
      </c>
      <c r="U409" s="44">
        <f>IFERROR(U403/H403,"0")+IFERROR(U404/H404,"0")+IFERROR(U405/H405,"0")+IFERROR(U406/H406,"0")+IFERROR(U407/H407,"0")+IFERROR(U408/H408,"0")</f>
        <v>17.979797979797979</v>
      </c>
      <c r="V409" s="44">
        <f>IFERROR(V403/H403,"0")+IFERROR(V404/H404,"0")+IFERROR(V405/H405,"0")+IFERROR(V406/H406,"0")+IFERROR(V407/H407,"0")+IFERROR(V408/H408,"0")</f>
        <v>19</v>
      </c>
      <c r="W409" s="44">
        <f>IFERROR(IF(W403="",0,W403),"0")+IFERROR(IF(W404="",0,W404),"0")+IFERROR(IF(W405="",0,W405),"0")+IFERROR(IF(W406="",0,W406),"0")+IFERROR(IF(W407="",0,W407),"0")+IFERROR(IF(W408="",0,W408),"0")</f>
        <v>0.19097999999999998</v>
      </c>
      <c r="X409" s="68"/>
      <c r="Y409" s="68"/>
    </row>
    <row r="410" spans="1:29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25"/>
      <c r="M410" s="322" t="s">
        <v>43</v>
      </c>
      <c r="N410" s="323"/>
      <c r="O410" s="323"/>
      <c r="P410" s="323"/>
      <c r="Q410" s="323"/>
      <c r="R410" s="323"/>
      <c r="S410" s="324"/>
      <c r="T410" s="43" t="s">
        <v>0</v>
      </c>
      <c r="U410" s="44">
        <f>IFERROR(SUM(U403:U408),"0")</f>
        <v>73</v>
      </c>
      <c r="V410" s="44">
        <f>IFERROR(SUM(V403:V408),"0")</f>
        <v>76.8</v>
      </c>
      <c r="W410" s="43"/>
      <c r="X410" s="68"/>
      <c r="Y410" s="68"/>
    </row>
    <row r="411" spans="1:29" ht="14.25" customHeight="1" x14ac:dyDescent="0.25">
      <c r="A411" s="326" t="s">
        <v>82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67"/>
      <c r="Y411" s="67"/>
    </row>
    <row r="412" spans="1:29" ht="16.5" customHeight="1" x14ac:dyDescent="0.25">
      <c r="A412" s="64" t="s">
        <v>635</v>
      </c>
      <c r="B412" s="64" t="s">
        <v>636</v>
      </c>
      <c r="C412" s="37">
        <v>4301051230</v>
      </c>
      <c r="D412" s="316">
        <v>4607091383409</v>
      </c>
      <c r="E412" s="316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9" t="s">
        <v>81</v>
      </c>
      <c r="L412" s="38">
        <v>45</v>
      </c>
      <c r="M412" s="3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2" s="318"/>
      <c r="O412" s="318"/>
      <c r="P412" s="318"/>
      <c r="Q412" s="319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IFERROR(IF(V412=0,"",ROUNDUP(V412/H412,0)*0.02175),"")</f>
        <v/>
      </c>
      <c r="X412" s="69" t="s">
        <v>48</v>
      </c>
      <c r="Y412" s="70" t="s">
        <v>48</v>
      </c>
      <c r="AC412" s="297" t="s">
        <v>65</v>
      </c>
    </row>
    <row r="413" spans="1:29" ht="16.5" customHeight="1" x14ac:dyDescent="0.25">
      <c r="A413" s="64" t="s">
        <v>637</v>
      </c>
      <c r="B413" s="64" t="s">
        <v>638</v>
      </c>
      <c r="C413" s="37">
        <v>4301051231</v>
      </c>
      <c r="D413" s="316">
        <v>4607091383416</v>
      </c>
      <c r="E413" s="316"/>
      <c r="F413" s="63">
        <v>1.3</v>
      </c>
      <c r="G413" s="38">
        <v>6</v>
      </c>
      <c r="H413" s="63">
        <v>7.8</v>
      </c>
      <c r="I413" s="63">
        <v>8.3460000000000001</v>
      </c>
      <c r="J413" s="38">
        <v>56</v>
      </c>
      <c r="K413" s="39" t="s">
        <v>81</v>
      </c>
      <c r="L413" s="38">
        <v>45</v>
      </c>
      <c r="M413" s="3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3" s="318"/>
      <c r="O413" s="318"/>
      <c r="P413" s="318"/>
      <c r="Q413" s="319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IFERROR(IF(V413=0,"",ROUNDUP(V413/H413,0)*0.02175),"")</f>
        <v/>
      </c>
      <c r="X413" s="69" t="s">
        <v>48</v>
      </c>
      <c r="Y413" s="70" t="s">
        <v>48</v>
      </c>
      <c r="AC413" s="298" t="s">
        <v>65</v>
      </c>
    </row>
    <row r="414" spans="1:29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25"/>
      <c r="M414" s="322" t="s">
        <v>43</v>
      </c>
      <c r="N414" s="323"/>
      <c r="O414" s="323"/>
      <c r="P414" s="323"/>
      <c r="Q414" s="323"/>
      <c r="R414" s="323"/>
      <c r="S414" s="324"/>
      <c r="T414" s="43" t="s">
        <v>42</v>
      </c>
      <c r="U414" s="44">
        <f>IFERROR(U412/H412,"0")+IFERROR(U413/H413,"0")</f>
        <v>0</v>
      </c>
      <c r="V414" s="44">
        <f>IFERROR(V412/H412,"0")+IFERROR(V413/H413,"0")</f>
        <v>0</v>
      </c>
      <c r="W414" s="44">
        <f>IFERROR(IF(W412="",0,W412),"0")+IFERROR(IF(W413="",0,W413),"0")</f>
        <v>0</v>
      </c>
      <c r="X414" s="68"/>
      <c r="Y414" s="68"/>
    </row>
    <row r="415" spans="1:29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25"/>
      <c r="M415" s="322" t="s">
        <v>43</v>
      </c>
      <c r="N415" s="323"/>
      <c r="O415" s="323"/>
      <c r="P415" s="323"/>
      <c r="Q415" s="323"/>
      <c r="R415" s="323"/>
      <c r="S415" s="324"/>
      <c r="T415" s="43" t="s">
        <v>0</v>
      </c>
      <c r="U415" s="44">
        <f>IFERROR(SUM(U412:U413),"0")</f>
        <v>0</v>
      </c>
      <c r="V415" s="44">
        <f>IFERROR(SUM(V412:V413),"0")</f>
        <v>0</v>
      </c>
      <c r="W415" s="43"/>
      <c r="X415" s="68"/>
      <c r="Y415" s="68"/>
    </row>
    <row r="416" spans="1:29" ht="27.75" customHeight="1" x14ac:dyDescent="0.2">
      <c r="A416" s="331" t="s">
        <v>639</v>
      </c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55"/>
      <c r="Y416" s="55"/>
    </row>
    <row r="417" spans="1:29" ht="16.5" customHeight="1" x14ac:dyDescent="0.25">
      <c r="A417" s="332" t="s">
        <v>640</v>
      </c>
      <c r="B417" s="332"/>
      <c r="C417" s="332"/>
      <c r="D417" s="332"/>
      <c r="E417" s="332"/>
      <c r="F417" s="332"/>
      <c r="G417" s="332"/>
      <c r="H417" s="332"/>
      <c r="I417" s="332"/>
      <c r="J417" s="332"/>
      <c r="K417" s="332"/>
      <c r="L417" s="332"/>
      <c r="M417" s="332"/>
      <c r="N417" s="332"/>
      <c r="O417" s="332"/>
      <c r="P417" s="332"/>
      <c r="Q417" s="332"/>
      <c r="R417" s="332"/>
      <c r="S417" s="332"/>
      <c r="T417" s="332"/>
      <c r="U417" s="332"/>
      <c r="V417" s="332"/>
      <c r="W417" s="332"/>
      <c r="X417" s="66"/>
      <c r="Y417" s="66"/>
    </row>
    <row r="418" spans="1:29" ht="14.25" customHeight="1" x14ac:dyDescent="0.25">
      <c r="A418" s="326" t="s">
        <v>118</v>
      </c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67"/>
      <c r="Y418" s="67"/>
    </row>
    <row r="419" spans="1:29" ht="27" customHeight="1" x14ac:dyDescent="0.25">
      <c r="A419" s="64" t="s">
        <v>641</v>
      </c>
      <c r="B419" s="64" t="s">
        <v>642</v>
      </c>
      <c r="C419" s="37">
        <v>4301011434</v>
      </c>
      <c r="D419" s="316">
        <v>4680115881099</v>
      </c>
      <c r="E419" s="316"/>
      <c r="F419" s="63">
        <v>1.5</v>
      </c>
      <c r="G419" s="38">
        <v>8</v>
      </c>
      <c r="H419" s="63">
        <v>12</v>
      </c>
      <c r="I419" s="63">
        <v>12.48</v>
      </c>
      <c r="J419" s="38">
        <v>56</v>
      </c>
      <c r="K419" s="39" t="s">
        <v>116</v>
      </c>
      <c r="L419" s="38">
        <v>50</v>
      </c>
      <c r="M419" s="333" t="s">
        <v>643</v>
      </c>
      <c r="N419" s="318"/>
      <c r="O419" s="318"/>
      <c r="P419" s="318"/>
      <c r="Q419" s="319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IFERROR(IF(V419=0,"",ROUNDUP(V419/H419,0)*0.02175),"")</f>
        <v/>
      </c>
      <c r="X419" s="69" t="s">
        <v>48</v>
      </c>
      <c r="Y419" s="70" t="s">
        <v>48</v>
      </c>
      <c r="AC419" s="299" t="s">
        <v>65</v>
      </c>
    </row>
    <row r="420" spans="1:29" ht="27" customHeight="1" x14ac:dyDescent="0.25">
      <c r="A420" s="64" t="s">
        <v>644</v>
      </c>
      <c r="B420" s="64" t="s">
        <v>645</v>
      </c>
      <c r="C420" s="37">
        <v>4301011435</v>
      </c>
      <c r="D420" s="316">
        <v>4680115881150</v>
      </c>
      <c r="E420" s="316"/>
      <c r="F420" s="63">
        <v>1.5</v>
      </c>
      <c r="G420" s="38">
        <v>8</v>
      </c>
      <c r="H420" s="63">
        <v>12</v>
      </c>
      <c r="I420" s="63">
        <v>12.48</v>
      </c>
      <c r="J420" s="38">
        <v>56</v>
      </c>
      <c r="K420" s="39" t="s">
        <v>116</v>
      </c>
      <c r="L420" s="38">
        <v>50</v>
      </c>
      <c r="M420" s="334" t="s">
        <v>646</v>
      </c>
      <c r="N420" s="318"/>
      <c r="O420" s="318"/>
      <c r="P420" s="318"/>
      <c r="Q420" s="319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IFERROR(IF(V420=0,"",ROUNDUP(V420/H420,0)*0.02175),"")</f>
        <v/>
      </c>
      <c r="X420" s="69" t="s">
        <v>48</v>
      </c>
      <c r="Y420" s="70" t="s">
        <v>48</v>
      </c>
      <c r="AC420" s="300" t="s">
        <v>65</v>
      </c>
    </row>
    <row r="421" spans="1:29" x14ac:dyDescent="0.2">
      <c r="A421" s="314"/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25"/>
      <c r="M421" s="322" t="s">
        <v>43</v>
      </c>
      <c r="N421" s="323"/>
      <c r="O421" s="323"/>
      <c r="P421" s="323"/>
      <c r="Q421" s="323"/>
      <c r="R421" s="323"/>
      <c r="S421" s="324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14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25"/>
      <c r="M422" s="322" t="s">
        <v>43</v>
      </c>
      <c r="N422" s="323"/>
      <c r="O422" s="323"/>
      <c r="P422" s="323"/>
      <c r="Q422" s="323"/>
      <c r="R422" s="323"/>
      <c r="S422" s="324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26" t="s">
        <v>113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67"/>
      <c r="Y423" s="67"/>
    </row>
    <row r="424" spans="1:29" ht="16.5" customHeight="1" x14ac:dyDescent="0.25">
      <c r="A424" s="64" t="s">
        <v>647</v>
      </c>
      <c r="B424" s="64" t="s">
        <v>648</v>
      </c>
      <c r="C424" s="37">
        <v>4301020230</v>
      </c>
      <c r="D424" s="316">
        <v>4680115881112</v>
      </c>
      <c r="E424" s="316"/>
      <c r="F424" s="63">
        <v>1.35</v>
      </c>
      <c r="G424" s="38">
        <v>8</v>
      </c>
      <c r="H424" s="63">
        <v>10.8</v>
      </c>
      <c r="I424" s="63">
        <v>11.28</v>
      </c>
      <c r="J424" s="38">
        <v>56</v>
      </c>
      <c r="K424" s="39" t="s">
        <v>116</v>
      </c>
      <c r="L424" s="38">
        <v>50</v>
      </c>
      <c r="M424" s="329" t="s">
        <v>649</v>
      </c>
      <c r="N424" s="318"/>
      <c r="O424" s="318"/>
      <c r="P424" s="318"/>
      <c r="Q424" s="319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1" t="s">
        <v>65</v>
      </c>
    </row>
    <row r="425" spans="1:29" ht="27" customHeight="1" x14ac:dyDescent="0.25">
      <c r="A425" s="64" t="s">
        <v>650</v>
      </c>
      <c r="B425" s="64" t="s">
        <v>651</v>
      </c>
      <c r="C425" s="37">
        <v>4301020231</v>
      </c>
      <c r="D425" s="316">
        <v>4680115881129</v>
      </c>
      <c r="E425" s="316"/>
      <c r="F425" s="63">
        <v>1.8</v>
      </c>
      <c r="G425" s="38">
        <v>6</v>
      </c>
      <c r="H425" s="63">
        <v>10.8</v>
      </c>
      <c r="I425" s="63">
        <v>11.28</v>
      </c>
      <c r="J425" s="38">
        <v>56</v>
      </c>
      <c r="K425" s="39" t="s">
        <v>116</v>
      </c>
      <c r="L425" s="38">
        <v>50</v>
      </c>
      <c r="M425" s="330" t="s">
        <v>652</v>
      </c>
      <c r="N425" s="318"/>
      <c r="O425" s="318"/>
      <c r="P425" s="318"/>
      <c r="Q425" s="319"/>
      <c r="R425" s="40" t="s">
        <v>48</v>
      </c>
      <c r="S425" s="40" t="s">
        <v>48</v>
      </c>
      <c r="T425" s="41" t="s">
        <v>0</v>
      </c>
      <c r="U425" s="59">
        <v>0</v>
      </c>
      <c r="V425" s="56">
        <f>IFERROR(IF(U425="",0,CEILING((U425/$H425),1)*$H425),"")</f>
        <v>0</v>
      </c>
      <c r="W425" s="42" t="str">
        <f>IFERROR(IF(V425=0,"",ROUNDUP(V425/H425,0)*0.02175),"")</f>
        <v/>
      </c>
      <c r="X425" s="69" t="s">
        <v>48</v>
      </c>
      <c r="Y425" s="70" t="s">
        <v>48</v>
      </c>
      <c r="AC425" s="302" t="s">
        <v>65</v>
      </c>
    </row>
    <row r="426" spans="1:29" x14ac:dyDescent="0.2">
      <c r="A426" s="314"/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25"/>
      <c r="M426" s="322" t="s">
        <v>43</v>
      </c>
      <c r="N426" s="323"/>
      <c r="O426" s="323"/>
      <c r="P426" s="323"/>
      <c r="Q426" s="323"/>
      <c r="R426" s="323"/>
      <c r="S426" s="324"/>
      <c r="T426" s="43" t="s">
        <v>42</v>
      </c>
      <c r="U426" s="44">
        <f>IFERROR(U424/H424,"0")+IFERROR(U425/H425,"0")</f>
        <v>0</v>
      </c>
      <c r="V426" s="44">
        <f>IFERROR(V424/H424,"0")+IFERROR(V425/H425,"0")</f>
        <v>0</v>
      </c>
      <c r="W426" s="44">
        <f>IFERROR(IF(W424="",0,W424),"0")+IFERROR(IF(W425="",0,W425),"0")</f>
        <v>0</v>
      </c>
      <c r="X426" s="68"/>
      <c r="Y426" s="68"/>
    </row>
    <row r="427" spans="1:29" x14ac:dyDescent="0.2">
      <c r="A427" s="314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25"/>
      <c r="M427" s="322" t="s">
        <v>43</v>
      </c>
      <c r="N427" s="323"/>
      <c r="O427" s="323"/>
      <c r="P427" s="323"/>
      <c r="Q427" s="323"/>
      <c r="R427" s="323"/>
      <c r="S427" s="324"/>
      <c r="T427" s="43" t="s">
        <v>0</v>
      </c>
      <c r="U427" s="44">
        <f>IFERROR(SUM(U424:U425),"0")</f>
        <v>0</v>
      </c>
      <c r="V427" s="44">
        <f>IFERROR(SUM(V424:V425),"0")</f>
        <v>0</v>
      </c>
      <c r="W427" s="43"/>
      <c r="X427" s="68"/>
      <c r="Y427" s="68"/>
    </row>
    <row r="428" spans="1:29" ht="14.25" customHeight="1" x14ac:dyDescent="0.25">
      <c r="A428" s="326" t="s">
        <v>77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67"/>
      <c r="Y428" s="67"/>
    </row>
    <row r="429" spans="1:29" ht="27" customHeight="1" x14ac:dyDescent="0.25">
      <c r="A429" s="64" t="s">
        <v>653</v>
      </c>
      <c r="B429" s="64" t="s">
        <v>654</v>
      </c>
      <c r="C429" s="37">
        <v>4301031192</v>
      </c>
      <c r="D429" s="316">
        <v>4680115881167</v>
      </c>
      <c r="E429" s="316"/>
      <c r="F429" s="63">
        <v>0.63</v>
      </c>
      <c r="G429" s="38">
        <v>6</v>
      </c>
      <c r="H429" s="63">
        <v>3.78</v>
      </c>
      <c r="I429" s="63">
        <v>4.04</v>
      </c>
      <c r="J429" s="38">
        <v>156</v>
      </c>
      <c r="K429" s="39" t="s">
        <v>81</v>
      </c>
      <c r="L429" s="38">
        <v>40</v>
      </c>
      <c r="M429" s="327" t="s">
        <v>655</v>
      </c>
      <c r="N429" s="318"/>
      <c r="O429" s="318"/>
      <c r="P429" s="318"/>
      <c r="Q429" s="319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IFERROR(IF(V429=0,"",ROUNDUP(V429/H429,0)*0.00753),"")</f>
        <v/>
      </c>
      <c r="X429" s="69" t="s">
        <v>48</v>
      </c>
      <c r="Y429" s="70" t="s">
        <v>48</v>
      </c>
      <c r="AC429" s="303" t="s">
        <v>65</v>
      </c>
    </row>
    <row r="430" spans="1:29" ht="16.5" customHeight="1" x14ac:dyDescent="0.25">
      <c r="A430" s="64" t="s">
        <v>656</v>
      </c>
      <c r="B430" s="64" t="s">
        <v>657</v>
      </c>
      <c r="C430" s="37">
        <v>4301031193</v>
      </c>
      <c r="D430" s="316">
        <v>4680115881136</v>
      </c>
      <c r="E430" s="316"/>
      <c r="F430" s="63">
        <v>0.63</v>
      </c>
      <c r="G430" s="38">
        <v>6</v>
      </c>
      <c r="H430" s="63">
        <v>3.78</v>
      </c>
      <c r="I430" s="63">
        <v>4.04</v>
      </c>
      <c r="J430" s="38">
        <v>156</v>
      </c>
      <c r="K430" s="39" t="s">
        <v>81</v>
      </c>
      <c r="L430" s="38">
        <v>40</v>
      </c>
      <c r="M430" s="328" t="s">
        <v>658</v>
      </c>
      <c r="N430" s="318"/>
      <c r="O430" s="318"/>
      <c r="P430" s="318"/>
      <c r="Q430" s="319"/>
      <c r="R430" s="40" t="s">
        <v>48</v>
      </c>
      <c r="S430" s="40" t="s">
        <v>48</v>
      </c>
      <c r="T430" s="41" t="s">
        <v>0</v>
      </c>
      <c r="U430" s="59">
        <v>300</v>
      </c>
      <c r="V430" s="56">
        <f>IFERROR(IF(U430="",0,CEILING((U430/$H430),1)*$H430),"")</f>
        <v>302.39999999999998</v>
      </c>
      <c r="W430" s="42">
        <f>IFERROR(IF(V430=0,"",ROUNDUP(V430/H430,0)*0.00753),"")</f>
        <v>0.60240000000000005</v>
      </c>
      <c r="X430" s="69" t="s">
        <v>48</v>
      </c>
      <c r="Y430" s="70" t="s">
        <v>48</v>
      </c>
      <c r="AC430" s="304" t="s">
        <v>65</v>
      </c>
    </row>
    <row r="431" spans="1:29" x14ac:dyDescent="0.2">
      <c r="A431" s="314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25"/>
      <c r="M431" s="322" t="s">
        <v>43</v>
      </c>
      <c r="N431" s="323"/>
      <c r="O431" s="323"/>
      <c r="P431" s="323"/>
      <c r="Q431" s="323"/>
      <c r="R431" s="323"/>
      <c r="S431" s="324"/>
      <c r="T431" s="43" t="s">
        <v>42</v>
      </c>
      <c r="U431" s="44">
        <f>IFERROR(U429/H429,"0")+IFERROR(U430/H430,"0")</f>
        <v>79.365079365079367</v>
      </c>
      <c r="V431" s="44">
        <f>IFERROR(V429/H429,"0")+IFERROR(V430/H430,"0")</f>
        <v>80</v>
      </c>
      <c r="W431" s="44">
        <f>IFERROR(IF(W429="",0,W429),"0")+IFERROR(IF(W430="",0,W430),"0")</f>
        <v>0.60240000000000005</v>
      </c>
      <c r="X431" s="68"/>
      <c r="Y431" s="68"/>
    </row>
    <row r="432" spans="1:29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25"/>
      <c r="M432" s="322" t="s">
        <v>43</v>
      </c>
      <c r="N432" s="323"/>
      <c r="O432" s="323"/>
      <c r="P432" s="323"/>
      <c r="Q432" s="323"/>
      <c r="R432" s="323"/>
      <c r="S432" s="324"/>
      <c r="T432" s="43" t="s">
        <v>0</v>
      </c>
      <c r="U432" s="44">
        <f>IFERROR(SUM(U429:U430),"0")</f>
        <v>300</v>
      </c>
      <c r="V432" s="44">
        <f>IFERROR(SUM(V429:V430),"0")</f>
        <v>302.39999999999998</v>
      </c>
      <c r="W432" s="43"/>
      <c r="X432" s="68"/>
      <c r="Y432" s="68"/>
    </row>
    <row r="433" spans="1:29" ht="14.25" customHeight="1" x14ac:dyDescent="0.25">
      <c r="A433" s="326" t="s">
        <v>82</v>
      </c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67"/>
      <c r="Y433" s="67"/>
    </row>
    <row r="434" spans="1:29" ht="27" customHeight="1" x14ac:dyDescent="0.25">
      <c r="A434" s="64" t="s">
        <v>659</v>
      </c>
      <c r="B434" s="64" t="s">
        <v>660</v>
      </c>
      <c r="C434" s="37">
        <v>4301051383</v>
      </c>
      <c r="D434" s="316">
        <v>4680115881143</v>
      </c>
      <c r="E434" s="316"/>
      <c r="F434" s="63">
        <v>1.3</v>
      </c>
      <c r="G434" s="38">
        <v>6</v>
      </c>
      <c r="H434" s="63">
        <v>7.8</v>
      </c>
      <c r="I434" s="63">
        <v>8.3640000000000008</v>
      </c>
      <c r="J434" s="38">
        <v>56</v>
      </c>
      <c r="K434" s="39" t="s">
        <v>81</v>
      </c>
      <c r="L434" s="38">
        <v>40</v>
      </c>
      <c r="M434" s="317" t="s">
        <v>661</v>
      </c>
      <c r="N434" s="318"/>
      <c r="O434" s="318"/>
      <c r="P434" s="318"/>
      <c r="Q434" s="319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305" t="s">
        <v>65</v>
      </c>
    </row>
    <row r="435" spans="1:29" ht="27" customHeight="1" x14ac:dyDescent="0.25">
      <c r="A435" s="64" t="s">
        <v>662</v>
      </c>
      <c r="B435" s="64" t="s">
        <v>663</v>
      </c>
      <c r="C435" s="37">
        <v>4301051381</v>
      </c>
      <c r="D435" s="316">
        <v>4680115881068</v>
      </c>
      <c r="E435" s="316"/>
      <c r="F435" s="63">
        <v>1.3</v>
      </c>
      <c r="G435" s="38">
        <v>6</v>
      </c>
      <c r="H435" s="63">
        <v>7.8</v>
      </c>
      <c r="I435" s="63">
        <v>8.2799999999999994</v>
      </c>
      <c r="J435" s="38">
        <v>56</v>
      </c>
      <c r="K435" s="39" t="s">
        <v>81</v>
      </c>
      <c r="L435" s="38">
        <v>30</v>
      </c>
      <c r="M435" s="320" t="s">
        <v>664</v>
      </c>
      <c r="N435" s="318"/>
      <c r="O435" s="318"/>
      <c r="P435" s="318"/>
      <c r="Q435" s="319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306" t="s">
        <v>65</v>
      </c>
    </row>
    <row r="436" spans="1:29" ht="27" customHeight="1" x14ac:dyDescent="0.25">
      <c r="A436" s="64" t="s">
        <v>665</v>
      </c>
      <c r="B436" s="64" t="s">
        <v>666</v>
      </c>
      <c r="C436" s="37">
        <v>4301051382</v>
      </c>
      <c r="D436" s="316">
        <v>4680115881075</v>
      </c>
      <c r="E436" s="316"/>
      <c r="F436" s="63">
        <v>0.5</v>
      </c>
      <c r="G436" s="38">
        <v>6</v>
      </c>
      <c r="H436" s="63">
        <v>3</v>
      </c>
      <c r="I436" s="63">
        <v>3.2</v>
      </c>
      <c r="J436" s="38">
        <v>156</v>
      </c>
      <c r="K436" s="39" t="s">
        <v>81</v>
      </c>
      <c r="L436" s="38">
        <v>30</v>
      </c>
      <c r="M436" s="321" t="s">
        <v>667</v>
      </c>
      <c r="N436" s="318"/>
      <c r="O436" s="318"/>
      <c r="P436" s="318"/>
      <c r="Q436" s="319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IFERROR(IF(V436=0,"",ROUNDUP(V436/H436,0)*0.00753),"")</f>
        <v/>
      </c>
      <c r="X436" s="69" t="s">
        <v>48</v>
      </c>
      <c r="Y436" s="70" t="s">
        <v>48</v>
      </c>
      <c r="AC436" s="307" t="s">
        <v>65</v>
      </c>
    </row>
    <row r="437" spans="1:29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25"/>
      <c r="M437" s="322" t="s">
        <v>43</v>
      </c>
      <c r="N437" s="323"/>
      <c r="O437" s="323"/>
      <c r="P437" s="323"/>
      <c r="Q437" s="323"/>
      <c r="R437" s="323"/>
      <c r="S437" s="324"/>
      <c r="T437" s="43" t="s">
        <v>42</v>
      </c>
      <c r="U437" s="44">
        <f>IFERROR(U434/H434,"0")+IFERROR(U435/H435,"0")+IFERROR(U436/H436,"0")</f>
        <v>0</v>
      </c>
      <c r="V437" s="44">
        <f>IFERROR(V434/H434,"0")+IFERROR(V435/H435,"0")+IFERROR(V436/H436,"0")</f>
        <v>0</v>
      </c>
      <c r="W437" s="44">
        <f>IFERROR(IF(W434="",0,W434),"0")+IFERROR(IF(W435="",0,W435),"0")+IFERROR(IF(W436="",0,W436),"0")</f>
        <v>0</v>
      </c>
      <c r="X437" s="68"/>
      <c r="Y437" s="68"/>
    </row>
    <row r="438" spans="1:29" x14ac:dyDescent="0.2">
      <c r="A438" s="314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25"/>
      <c r="M438" s="322" t="s">
        <v>43</v>
      </c>
      <c r="N438" s="323"/>
      <c r="O438" s="323"/>
      <c r="P438" s="323"/>
      <c r="Q438" s="323"/>
      <c r="R438" s="323"/>
      <c r="S438" s="324"/>
      <c r="T438" s="43" t="s">
        <v>0</v>
      </c>
      <c r="U438" s="44">
        <f>IFERROR(SUM(U434:U436),"0")</f>
        <v>0</v>
      </c>
      <c r="V438" s="44">
        <f>IFERROR(SUM(V434:V436),"0")</f>
        <v>0</v>
      </c>
      <c r="W438" s="43"/>
      <c r="X438" s="68"/>
      <c r="Y438" s="68"/>
    </row>
    <row r="439" spans="1:29" ht="15" customHeight="1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5"/>
      <c r="M439" s="311" t="s">
        <v>36</v>
      </c>
      <c r="N439" s="312"/>
      <c r="O439" s="312"/>
      <c r="P439" s="312"/>
      <c r="Q439" s="312"/>
      <c r="R439" s="312"/>
      <c r="S439" s="313"/>
      <c r="T439" s="43" t="s">
        <v>0</v>
      </c>
      <c r="U439" s="44">
        <f>IFERROR(U24+U33+U38+U42+U46+U52+U59+U78+U87+U99+U109+U116+U124+U132+U152+U158+U177+U203+U212+U218+U225+U236+U241+U247+U253+U257+U261+U274+U279+U283+U287+U291+U299+U304+U311+U315+U322+U338+U345+U349+U355+U359+U365+U373+U377+U381+U396+U401+U410+U415+U422+U427+U432+U438,"0")</f>
        <v>18016.599999999999</v>
      </c>
      <c r="V439" s="44">
        <f>IFERROR(V24+V33+V38+V42+V46+V52+V59+V78+V87+V99+V109+V116+V124+V132+V152+V158+V177+V203+V212+V218+V225+V236+V241+V247+V253+V257+V261+V274+V279+V283+V287+V291+V299+V304+V311+V315+V322+V338+V345+V349+V355+V359+V365+V373+V377+V381+V396+V401+V410+V415+V422+V427+V432+V438,"0")</f>
        <v>18072.039999999997</v>
      </c>
      <c r="W439" s="43"/>
      <c r="X439" s="68"/>
      <c r="Y439" s="68"/>
    </row>
    <row r="440" spans="1:29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5"/>
      <c r="M440" s="311" t="s">
        <v>37</v>
      </c>
      <c r="N440" s="312"/>
      <c r="O440" s="312"/>
      <c r="P440" s="312"/>
      <c r="Q440" s="312"/>
      <c r="R440" s="312"/>
      <c r="S440" s="313"/>
      <c r="T440" s="43" t="s">
        <v>0</v>
      </c>
      <c r="U44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80*I80/H80,"0")+IFERROR(U81*I81/H81,"0")+IFERROR(U82*I82/H82,"0")+IFERROR(U83*I83/H83,"0")+IFERROR(U84*I84/H84,"0")+IFERROR(U85*I85/H85,"0")+IFERROR(U89*I89/H89,"0")+IFERROR(U90*I90/H90,"0")+IFERROR(U91*I91/H91,"0")+IFERROR(U92*I92/H92,"0")+IFERROR(U93*I93/H93,"0")+IFERROR(U94*I94/H94,"0")+IFERROR(U95*I95/H95,"0")+IFERROR(U96*I96/H96,"0")+IFERROR(U97*I97/H97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155*I155/H155,"0")+IFERROR(U156*I156/H156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351*I351/H351,"0")+IFERROR(U352*I352/H352,"0")+IFERROR(U353*I353/H353,"0")+IFERROR(U357*I357/H357,"0")+IFERROR(U362*I362/H362,"0")+IFERROR(U363*I363/H363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412*I412/H412,"0")+IFERROR(U413*I413/H413,"0")+IFERROR(U419*I419/H419,"0")+IFERROR(U420*I420/H420,"0")+IFERROR(U424*I424/H424,"0")+IFERROR(U425*I425/H425,"0")+IFERROR(U429*I429/H429,"0")+IFERROR(U430*I430/H430,"0")+IFERROR(U434*I434/H434,"0")+IFERROR(U435*I435/H435,"0")+IFERROR(U436*I436/H436,"0"),"0")</f>
        <v>19184.414546442549</v>
      </c>
      <c r="V44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155*I155/H155,"0")+IFERROR(V156*I156/H156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351*I351/H351,"0")+IFERROR(V352*I352/H352,"0")+IFERROR(V353*I353/H353,"0")+IFERROR(V357*I357/H357,"0")+IFERROR(V362*I362/H362,"0")+IFERROR(V363*I363/H363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412*I412/H412,"0")+IFERROR(V413*I413/H413,"0")+IFERROR(V419*I419/H419,"0")+IFERROR(V420*I420/H420,"0")+IFERROR(V424*I424/H424,"0")+IFERROR(V425*I425/H425,"0")+IFERROR(V429*I429/H429,"0")+IFERROR(V430*I430/H430,"0")+IFERROR(V434*I434/H434,"0")+IFERROR(V435*I435/H435,"0")+IFERROR(V436*I436/H436,"0"),"0")</f>
        <v>19243.429999999997</v>
      </c>
      <c r="W440" s="43"/>
      <c r="X440" s="68"/>
      <c r="Y440" s="68"/>
    </row>
    <row r="441" spans="1:29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5"/>
      <c r="M441" s="311" t="s">
        <v>38</v>
      </c>
      <c r="N441" s="312"/>
      <c r="O441" s="312"/>
      <c r="P441" s="312"/>
      <c r="Q441" s="312"/>
      <c r="R441" s="312"/>
      <c r="S441" s="313"/>
      <c r="T441" s="43" t="s">
        <v>23</v>
      </c>
      <c r="U44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76*(U62:U76/H62:H76)),"0")+IFERROR(SUMPRODUCT(1/J80:J85*(U80:U85/H80:H85)),"0")+IFERROR(SUMPRODUCT(1/J89:J97*(U89:U97/H89:H97)),"0")+IFERROR(SUMPRODUCT(1/J101:J107*(U101:U107/H101:H107)),"0")+IFERROR(SUMPRODUCT(1/J111:J114*(U111:U114/H111:H114)),"0")+IFERROR(SUMPRODUCT(1/J119:J122*(U119:U122/H119:H122)),"0")+IFERROR(SUMPRODUCT(1/J128:J130*(U128:U130/H128:H130)),"0")+IFERROR(SUMPRODUCT(1/J135:J150*(U135:U150/H135:H150)),"0")+IFERROR(SUMPRODUCT(1/J154:J156*(U154:U156/H154:H156)),"0")+IFERROR(SUMPRODUCT(1/J160:J175*(U160:U175/H160:H175)),"0")+IFERROR(SUMPRODUCT(1/J179:J201*(U179:U201/H179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265:J272*(U265:U272/H265:H272)),"0")+IFERROR(SUMPRODUCT(1/J276:J277*(U276:U277/H276:H277)),"0")+IFERROR(SUMPRODUCT(1/J281:J281*(U281:U281/H281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336*(U324:U336/H324:H336)),"0")+IFERROR(SUMPRODUCT(1/J340:J343*(U340:U343/H340:H343)),"0")+IFERROR(SUMPRODUCT(1/J347:J347*(U347:U347/H347:H347)),"0")+IFERROR(SUMPRODUCT(1/J351:J353*(U351:U353/H351:H353)),"0")+IFERROR(SUMPRODUCT(1/J357:J357*(U357:U357/H357:H357)),"0")+IFERROR(SUMPRODUCT(1/J362:J363*(U362:U363/H362:H363)),"0")+IFERROR(SUMPRODUCT(1/J367:J371*(U367:U371/H367:H371)),"0")+IFERROR(SUMPRODUCT(1/J375:J375*(U375:U375/H375:H375)),"0")+IFERROR(SUMPRODUCT(1/J379:J379*(U379:U379/H379:H379)),"0")+IFERROR(SUMPRODUCT(1/J385:J394*(U385:U394/H385:H394)),"0")+IFERROR(SUMPRODUCT(1/J398:J399*(U398:U399/H398:H399)),"0")+IFERROR(SUMPRODUCT(1/J403:J408*(U403:U408/H403:H408)),"0")+IFERROR(SUMPRODUCT(1/J412:J413*(U412:U413/H412:H413)),"0")+IFERROR(SUMPRODUCT(1/J419:J420*(U419:U420/H419:H420)),"0")+IFERROR(SUMPRODUCT(1/J424:J425*(U424:U425/H424:H425)),"0")+IFERROR(SUMPRODUCT(1/J429:J430*(U429:U430/H429:H430)),"0")+IFERROR(SUMPRODUCT(1/J434:J436*(U434:U436/H434:H436)),"0"),0)</f>
        <v>36</v>
      </c>
      <c r="V44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76*(V62:V76/H62:H76)),"0")+IFERROR(SUMPRODUCT(1/J80:J85*(V80:V85/H80:H85)),"0")+IFERROR(SUMPRODUCT(1/J89:J97*(V89:V97/H89:H97)),"0")+IFERROR(SUMPRODUCT(1/J101:J107*(V101:V107/H101:H107)),"0")+IFERROR(SUMPRODUCT(1/J111:J114*(V111:V114/H111:H114)),"0")+IFERROR(SUMPRODUCT(1/J119:J122*(V119:V122/H119:H122)),"0")+IFERROR(SUMPRODUCT(1/J128:J130*(V128:V130/H128:H130)),"0")+IFERROR(SUMPRODUCT(1/J135:J150*(V135:V150/H135:H150)),"0")+IFERROR(SUMPRODUCT(1/J154:J156*(V154:V156/H154:H156)),"0")+IFERROR(SUMPRODUCT(1/J160:J175*(V160:V175/H160:H175)),"0")+IFERROR(SUMPRODUCT(1/J179:J201*(V179:V201/H179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265:J272*(V265:V272/H265:H272)),"0")+IFERROR(SUMPRODUCT(1/J276:J277*(V276:V277/H276:H277)),"0")+IFERROR(SUMPRODUCT(1/J281:J281*(V281:V281/H281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336*(V324:V336/H324:H336)),"0")+IFERROR(SUMPRODUCT(1/J340:J343*(V340:V343/H340:H343)),"0")+IFERROR(SUMPRODUCT(1/J347:J347*(V347:V347/H347:H347)),"0")+IFERROR(SUMPRODUCT(1/J351:J353*(V351:V353/H351:H353)),"0")+IFERROR(SUMPRODUCT(1/J357:J357*(V357:V357/H357:H357)),"0")+IFERROR(SUMPRODUCT(1/J362:J363*(V362:V363/H362:H363)),"0")+IFERROR(SUMPRODUCT(1/J367:J371*(V367:V371/H367:H371)),"0")+IFERROR(SUMPRODUCT(1/J375:J375*(V375:V375/H375:H375)),"0")+IFERROR(SUMPRODUCT(1/J379:J379*(V379:V379/H379:H379)),"0")+IFERROR(SUMPRODUCT(1/J385:J394*(V385:V394/H385:H394)),"0")+IFERROR(SUMPRODUCT(1/J398:J399*(V398:V399/H398:H399)),"0")+IFERROR(SUMPRODUCT(1/J403:J408*(V403:V408/H403:H408)),"0")+IFERROR(SUMPRODUCT(1/J412:J413*(V412:V413/H412:H413)),"0")+IFERROR(SUMPRODUCT(1/J419:J420*(V419:V420/H419:H420)),"0")+IFERROR(SUMPRODUCT(1/J424:J425*(V424:V425/H424:H425)),"0")+IFERROR(SUMPRODUCT(1/J429:J430*(V429:V430/H429:H430)),"0")+IFERROR(SUMPRODUCT(1/J434:J436*(V434:V436/H434:H436)),"0"),0)</f>
        <v>37</v>
      </c>
      <c r="W441" s="43"/>
      <c r="X441" s="68"/>
      <c r="Y441" s="68"/>
    </row>
    <row r="442" spans="1:29" x14ac:dyDescent="0.2">
      <c r="A442" s="314"/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5"/>
      <c r="M442" s="311" t="s">
        <v>39</v>
      </c>
      <c r="N442" s="312"/>
      <c r="O442" s="312"/>
      <c r="P442" s="312"/>
      <c r="Q442" s="312"/>
      <c r="R442" s="312"/>
      <c r="S442" s="313"/>
      <c r="T442" s="43" t="s">
        <v>0</v>
      </c>
      <c r="U442" s="44">
        <f>GrossWeightTotal+PalletQtyTotal*25</f>
        <v>20084.414546442549</v>
      </c>
      <c r="V442" s="44">
        <f>GrossWeightTotalR+PalletQtyTotalR*25</f>
        <v>20168.429999999997</v>
      </c>
      <c r="W442" s="43"/>
      <c r="X442" s="68"/>
      <c r="Y442" s="68"/>
    </row>
    <row r="443" spans="1:29" x14ac:dyDescent="0.2">
      <c r="A443" s="314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11" t="s">
        <v>40</v>
      </c>
      <c r="N443" s="312"/>
      <c r="O443" s="312"/>
      <c r="P443" s="312"/>
      <c r="Q443" s="312"/>
      <c r="R443" s="312"/>
      <c r="S443" s="313"/>
      <c r="T443" s="43" t="s">
        <v>23</v>
      </c>
      <c r="U443" s="44">
        <f>IFERROR(U23+U32+U37+U41+U45+U51+U58+U77+U86+U98+U108+U115+U123+U131+U151+U157+U176+U202+U211+U217+U224+U235+U240+U246+U252+U256+U260+U273+U278+U282+U286+U290+U298+U303+U310+U314+U321+U337+U344+U348+U354+U358+U364+U372+U376+U380+U395+U400+U409+U414+U421+U426+U431+U437,"0")</f>
        <v>2939.1591022401144</v>
      </c>
      <c r="V443" s="44">
        <f>IFERROR(V23+V32+V37+V41+V45+V51+V58+V77+V86+V98+V108+V115+V123+V131+V151+V157+V176+V202+V211+V217+V224+V235+V240+V246+V252+V256+V260+V273+V278+V282+V286+V290+V298+V303+V310+V314+V321+V337+V344+V348+V354+V358+V364+V372+V376+V380+V395+V400+V409+V414+V421+V426+V431+V437,"0")</f>
        <v>2950</v>
      </c>
      <c r="W443" s="43"/>
      <c r="X443" s="68"/>
      <c r="Y443" s="68"/>
    </row>
    <row r="444" spans="1:29" ht="14.25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11" t="s">
        <v>41</v>
      </c>
      <c r="N444" s="312"/>
      <c r="O444" s="312"/>
      <c r="P444" s="312"/>
      <c r="Q444" s="312"/>
      <c r="R444" s="312"/>
      <c r="S444" s="313"/>
      <c r="T444" s="46" t="s">
        <v>54</v>
      </c>
      <c r="U444" s="43"/>
      <c r="V444" s="43"/>
      <c r="W444" s="43">
        <f>IFERROR(W23+W32+W37+W41+W45+W51+W58+W77+W86+W98+W108+W115+W123+W131+W151+W157+W176+W202+W211+W217+W224+W235+W240+W246+W252+W256+W260+W273+W278+W282+W286+W290+W298+W303+W310+W314+W321+W337+W344+W348+W354+W358+W364+W372+W376+W380+W395+W400+W409+W414+W421+W426+W431+W437,"0")</f>
        <v>41.981470000000002</v>
      </c>
      <c r="X444" s="68"/>
      <c r="Y444" s="68"/>
    </row>
    <row r="445" spans="1:29" ht="13.5" thickBot="1" x14ac:dyDescent="0.25"/>
    <row r="446" spans="1:29" ht="27" thickTop="1" thickBot="1" x14ac:dyDescent="0.25">
      <c r="A446" s="47" t="s">
        <v>9</v>
      </c>
      <c r="B446" s="71" t="s">
        <v>76</v>
      </c>
      <c r="C446" s="308" t="s">
        <v>111</v>
      </c>
      <c r="D446" s="308" t="s">
        <v>111</v>
      </c>
      <c r="E446" s="308" t="s">
        <v>111</v>
      </c>
      <c r="F446" s="308" t="s">
        <v>111</v>
      </c>
      <c r="G446" s="308" t="s">
        <v>230</v>
      </c>
      <c r="H446" s="308" t="s">
        <v>230</v>
      </c>
      <c r="I446" s="308" t="s">
        <v>230</v>
      </c>
      <c r="J446" s="308" t="s">
        <v>230</v>
      </c>
      <c r="K446" s="308" t="s">
        <v>450</v>
      </c>
      <c r="L446" s="308" t="s">
        <v>450</v>
      </c>
      <c r="M446" s="308" t="s">
        <v>503</v>
      </c>
      <c r="N446" s="308" t="s">
        <v>503</v>
      </c>
      <c r="O446" s="71" t="s">
        <v>589</v>
      </c>
      <c r="P446" s="71" t="s">
        <v>639</v>
      </c>
      <c r="Q446" s="1"/>
      <c r="R446" s="1"/>
      <c r="S446" s="1"/>
      <c r="T446" s="1"/>
      <c r="Y446" s="61"/>
      <c r="AB446" s="1"/>
    </row>
    <row r="447" spans="1:29" ht="14.25" customHeight="1" thickTop="1" x14ac:dyDescent="0.2">
      <c r="A447" s="309" t="s">
        <v>10</v>
      </c>
      <c r="B447" s="308" t="s">
        <v>76</v>
      </c>
      <c r="C447" s="308" t="s">
        <v>112</v>
      </c>
      <c r="D447" s="308" t="s">
        <v>117</v>
      </c>
      <c r="E447" s="308" t="s">
        <v>111</v>
      </c>
      <c r="F447" s="308" t="s">
        <v>221</v>
      </c>
      <c r="G447" s="308" t="s">
        <v>231</v>
      </c>
      <c r="H447" s="308" t="s">
        <v>238</v>
      </c>
      <c r="I447" s="308" t="s">
        <v>418</v>
      </c>
      <c r="J447" s="308" t="s">
        <v>435</v>
      </c>
      <c r="K447" s="308" t="s">
        <v>451</v>
      </c>
      <c r="L447" s="308" t="s">
        <v>476</v>
      </c>
      <c r="M447" s="308" t="s">
        <v>504</v>
      </c>
      <c r="N447" s="308" t="s">
        <v>567</v>
      </c>
      <c r="O447" s="308" t="s">
        <v>589</v>
      </c>
      <c r="P447" s="308" t="s">
        <v>640</v>
      </c>
      <c r="Q447" s="1"/>
      <c r="R447" s="1"/>
      <c r="S447" s="1"/>
      <c r="T447" s="1"/>
      <c r="Y447" s="61"/>
      <c r="AB447" s="1"/>
    </row>
    <row r="448" spans="1:29" ht="13.5" thickBot="1" x14ac:dyDescent="0.25">
      <c r="A448" s="310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1"/>
      <c r="R448" s="1"/>
      <c r="S448" s="1"/>
      <c r="T448" s="1"/>
      <c r="Y448" s="61"/>
      <c r="AB448" s="1"/>
    </row>
    <row r="449" spans="1:28" ht="18" thickTop="1" thickBot="1" x14ac:dyDescent="0.25">
      <c r="A449" s="47" t="s">
        <v>13</v>
      </c>
      <c r="B449" s="53">
        <f>IFERROR(V22*1,"0")+IFERROR(V26*1,"0")+IFERROR(V27*1,"0")+IFERROR(V28*1,"0")+IFERROR(V29*1,"0")+IFERROR(V30*1,"0")+IFERROR(V31*1,"0")+IFERROR(V35*1,"0")+IFERROR(V36*1,"0")+IFERROR(V40*1,"0")+IFERROR(V44*1,"0")</f>
        <v>0</v>
      </c>
      <c r="C449" s="53">
        <f>IFERROR(V50*1,"0")</f>
        <v>0</v>
      </c>
      <c r="D449" s="53">
        <f>IFERROR(V55*1,"0")+IFERROR(V56*1,"0")+IFERROR(V57*1,"0")</f>
        <v>376.20000000000005</v>
      </c>
      <c r="E449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76*1,"0")+IFERROR(V80*1,"0")+IFERROR(V81*1,"0")+IFERROR(V82*1,"0")+IFERROR(V83*1,"0")+IFERROR(V84*1,"0")+IFERROR(V85*1,"0")+IFERROR(V89*1,"0")+IFERROR(V90*1,"0")+IFERROR(V91*1,"0")+IFERROR(V92*1,"0")+IFERROR(V93*1,"0")+IFERROR(V94*1,"0")+IFERROR(V95*1,"0")+IFERROR(V96*1,"0")+IFERROR(V97*1,"0")+IFERROR(V101*1,"0")+IFERROR(V102*1,"0")+IFERROR(V103*1,"0")+IFERROR(V104*1,"0")+IFERROR(V105*1,"0")+IFERROR(V106*1,"0")+IFERROR(V107*1,"0")+IFERROR(V111*1,"0")+IFERROR(V112*1,"0")+IFERROR(V113*1,"0")+IFERROR(V114*1,"0")</f>
        <v>526.5</v>
      </c>
      <c r="F449" s="53">
        <f>IFERROR(V119*1,"0")+IFERROR(V120*1,"0")+IFERROR(V121*1,"0")+IFERROR(V122*1,"0")</f>
        <v>142.92000000000002</v>
      </c>
      <c r="G449" s="53">
        <f>IFERROR(V128*1,"0")+IFERROR(V129*1,"0")+IFERROR(V130*1,"0")</f>
        <v>0</v>
      </c>
      <c r="H449" s="53">
        <f>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155*1,"0")+IFERROR(V156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9897.1199999999972</v>
      </c>
      <c r="I449" s="53">
        <f>IFERROR(V228*1,"0")+IFERROR(V229*1,"0")+IFERROR(V230*1,"0")+IFERROR(V231*1,"0")+IFERROR(V232*1,"0")+IFERROR(V233*1,"0")+IFERROR(V234*1,"0")+IFERROR(V238*1,"0")+IFERROR(V239*1,"0")</f>
        <v>21.6</v>
      </c>
      <c r="J449" s="53">
        <f>IFERROR(V244*1,"0")+IFERROR(V245*1,"0")+IFERROR(V249*1,"0")+IFERROR(V250*1,"0")+IFERROR(V251*1,"0")+IFERROR(V255*1,"0")+IFERROR(V259*1,"0")</f>
        <v>1030.68</v>
      </c>
      <c r="K449" s="53">
        <f>IFERROR(V265*1,"0")+IFERROR(V266*1,"0")+IFERROR(V267*1,"0")+IFERROR(V268*1,"0")+IFERROR(V269*1,"0")+IFERROR(V270*1,"0")+IFERROR(V271*1,"0")+IFERROR(V272*1,"0")+IFERROR(V276*1,"0")+IFERROR(V277*1,"0")+IFERROR(V281*1,"0")+IFERROR(V285*1,"0")+IFERROR(V289*1,"0")</f>
        <v>4888.6000000000004</v>
      </c>
      <c r="L449" s="53">
        <f>IFERROR(V294*1,"0")+IFERROR(V295*1,"0")+IFERROR(V296*1,"0")+IFERROR(V297*1,"0")+IFERROR(V301*1,"0")+IFERROR(V302*1,"0")+IFERROR(V306*1,"0")+IFERROR(V307*1,"0")+IFERROR(V308*1,"0")+IFERROR(V309*1,"0")+IFERROR(V313*1,"0")</f>
        <v>86.4</v>
      </c>
      <c r="M449" s="53">
        <f>IFERROR(V319*1,"0")+IFERROR(V320*1,"0")+IFERROR(V324*1,"0")+IFERROR(V325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+IFERROR(V351*1,"0")+IFERROR(V352*1,"0")+IFERROR(V353*1,"0")+IFERROR(V357*1,"0")</f>
        <v>191.1</v>
      </c>
      <c r="N449" s="53">
        <f>IFERROR(V362*1,"0")+IFERROR(V363*1,"0")+IFERROR(V367*1,"0")+IFERROR(V368*1,"0")+IFERROR(V369*1,"0")+IFERROR(V370*1,"0")+IFERROR(V371*1,"0")+IFERROR(V375*1,"0")+IFERROR(V379*1,"0")</f>
        <v>71.400000000000006</v>
      </c>
      <c r="O449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412*1,"0")+IFERROR(V413*1,"0")</f>
        <v>537.12</v>
      </c>
      <c r="P449" s="53">
        <f>IFERROR(V419*1,"0")+IFERROR(V420*1,"0")+IFERROR(V424*1,"0")+IFERROR(V425*1,"0")+IFERROR(V429*1,"0")+IFERROR(V430*1,"0")+IFERROR(V434*1,"0")+IFERROR(V435*1,"0")+IFERROR(V436*1,"0")</f>
        <v>302.39999999999998</v>
      </c>
      <c r="Q449" s="1"/>
      <c r="R449" s="1"/>
      <c r="S449" s="1"/>
      <c r="T449" s="1"/>
      <c r="Y449" s="61"/>
      <c r="AB449" s="1"/>
    </row>
  </sheetData>
  <sheetProtection algorithmName="SHA-512" hashValue="ue+tdyABmHthl7piBI6hoviaXFiEN4/w8qhdmtJctiXOPR0cc018Hy6nlzczU/V8otg8dMl0Qfteo7ujLkwTVA==" saltValue="uX8utA4fTB2U8+KWSvkXKw==" spinCount="100000" sheet="1" objects="1" scenarios="1" sort="0" autoFilter="0" pivotTables="0"/>
  <autoFilter ref="B18:W44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M77:S77"/>
    <mergeCell ref="A77:L78"/>
    <mergeCell ref="M78:S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A263:W263"/>
    <mergeCell ref="A264:W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M358:S358"/>
    <mergeCell ref="A358:L359"/>
    <mergeCell ref="M359:S359"/>
    <mergeCell ref="A360:W360"/>
    <mergeCell ref="A361:W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M409:S409"/>
    <mergeCell ref="A409:L410"/>
    <mergeCell ref="M410:S410"/>
    <mergeCell ref="A411:W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A417:W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36:E436"/>
    <mergeCell ref="M436:Q436"/>
    <mergeCell ref="M437:S437"/>
    <mergeCell ref="A437:L438"/>
    <mergeCell ref="M438:S438"/>
    <mergeCell ref="M439:S439"/>
    <mergeCell ref="A439:L444"/>
    <mergeCell ref="M440:S440"/>
    <mergeCell ref="M441:S441"/>
    <mergeCell ref="M442:S442"/>
    <mergeCell ref="M443:S443"/>
    <mergeCell ref="M444:S444"/>
    <mergeCell ref="C446:F446"/>
    <mergeCell ref="G446:J446"/>
    <mergeCell ref="K446:L446"/>
    <mergeCell ref="M446:N446"/>
    <mergeCell ref="J447:J448"/>
    <mergeCell ref="K447:K448"/>
    <mergeCell ref="L447:L448"/>
    <mergeCell ref="M447:M448"/>
    <mergeCell ref="N447:N448"/>
    <mergeCell ref="O447:O448"/>
    <mergeCell ref="P447:P448"/>
    <mergeCell ref="A447:A448"/>
    <mergeCell ref="B447:B448"/>
    <mergeCell ref="C447:C448"/>
    <mergeCell ref="D447:D448"/>
    <mergeCell ref="E447:E448"/>
    <mergeCell ref="F447:F448"/>
    <mergeCell ref="G447:G448"/>
    <mergeCell ref="H447:H448"/>
    <mergeCell ref="I447:I44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9"/>
    </row>
    <row r="3" spans="2:8" x14ac:dyDescent="0.2">
      <c r="B3" s="54" t="s">
        <v>669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</v>
      </c>
      <c r="C6" s="54" t="s">
        <v>671</v>
      </c>
      <c r="D6" s="54" t="s">
        <v>672</v>
      </c>
      <c r="E6" s="54" t="s">
        <v>48</v>
      </c>
    </row>
    <row r="8" spans="2:8" x14ac:dyDescent="0.2">
      <c r="B8" s="54" t="s">
        <v>75</v>
      </c>
      <c r="C8" s="54" t="s">
        <v>671</v>
      </c>
      <c r="D8" s="54" t="s">
        <v>48</v>
      </c>
      <c r="E8" s="54" t="s">
        <v>48</v>
      </c>
    </row>
    <row r="10" spans="2:8" x14ac:dyDescent="0.2">
      <c r="B10" s="54" t="s">
        <v>673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674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675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676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680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683</v>
      </c>
      <c r="C20" s="54" t="s">
        <v>48</v>
      </c>
      <c r="D20" s="54" t="s">
        <v>48</v>
      </c>
      <c r="E20" s="54" t="s">
        <v>48</v>
      </c>
    </row>
  </sheetData>
  <sheetProtection algorithmName="SHA-512" hashValue="no1r8TlTJiAW8jsY3ES2040OxXTzGj1HlZFM+CnHxMEAbwEwxsLKxEUNmpl3pjvZiYfSYXjZGBW+p7ONawzFzQ==" saltValue="xYXxjm/wyRmFuecokuQa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2023-08-08T09:43:57Z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