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Лист1!$U$424:$U$424</definedName>
    <definedName name="GrossWeightTotalR">Лист1!$V$424:$V$424</definedName>
    <definedName name="NumProxySet">[1]Setting!$B$9:$B$10</definedName>
    <definedName name="PalletQtyTotal">Лист1!$U$425:$U$425</definedName>
    <definedName name="PalletQtyTotalR">Лист1!$V$425:$V$425</definedName>
    <definedName name="Table">[1]Setting!$B$6:$D$6</definedName>
    <definedName name="TypeProxy">'[1]Бланк заказа'!$D$9</definedName>
    <definedName name="UnloadAdressList0001">[1]Setting!$B$8:$B$8</definedName>
    <definedName name="_xlnm._FilterDatabase" localSheetId="0" hidden="1">'Лист1'!$A$1:$Y$428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6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FF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6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7" applyAlignment="1" applyProtection="1" pivotButton="0" quotePrefix="0" xfId="1">
      <alignment horizontal="center" vertical="center" wrapText="1"/>
      <protection locked="0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1">
      <alignment horizontal="center" vertical="center" wrapText="1"/>
      <protection locked="0" hidden="1"/>
    </xf>
    <xf numFmtId="2" fontId="9" fillId="0" borderId="14" applyAlignment="1" pivotButton="0" quotePrefix="0" xfId="0">
      <alignment horizontal="center" vertical="center"/>
    </xf>
    <xf numFmtId="2" fontId="9" fillId="0" borderId="0" applyAlignment="1" pivotButton="0" quotePrefix="0" xfId="0">
      <alignment horizontal="center" vertical="center"/>
    </xf>
    <xf numFmtId="0" fontId="10" fillId="4" borderId="0" applyAlignment="1" applyProtection="1" pivotButton="0" quotePrefix="0" xfId="0">
      <alignment horizontal="center"/>
      <protection locked="1" hidden="1"/>
    </xf>
    <xf numFmtId="0" fontId="10" fillId="4" borderId="0" applyAlignment="1" applyProtection="1" pivotButton="0" quotePrefix="0" xfId="0">
      <alignment horizontal="center"/>
      <protection locked="1" hidden="1"/>
    </xf>
    <xf numFmtId="2" fontId="11" fillId="4" borderId="0" applyAlignment="1" applyProtection="1" pivotButton="0" quotePrefix="0" xfId="0">
      <alignment horizontal="center"/>
      <protection locked="1" hidden="1"/>
    </xf>
    <xf numFmtId="2" fontId="11" fillId="4" borderId="0" applyAlignment="1" applyProtection="1" pivotButton="0" quotePrefix="0" xfId="0">
      <alignment horizontal="center"/>
      <protection locked="1" hidden="1"/>
    </xf>
    <xf numFmtId="1" fontId="12" fillId="0" borderId="4" applyAlignment="1" pivotButton="0" quotePrefix="0" xfId="0">
      <alignment horizontal="center" vertical="center"/>
    </xf>
    <xf numFmtId="1" fontId="12" fillId="0" borderId="1" applyAlignment="1" pivotButton="0" quotePrefix="0" xfId="1">
      <alignment horizontal="center" vertical="center"/>
    </xf>
    <xf numFmtId="1" fontId="12" fillId="0" borderId="1" applyAlignment="1" pivotButton="0" quotePrefix="0" xfId="0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13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14" fillId="0" borderId="1" applyAlignment="1" applyProtection="1" pivotButton="0" quotePrefix="0" xfId="0">
      <alignment horizontal="center"/>
      <protection locked="1" hidden="1"/>
    </xf>
    <xf numFmtId="165" fontId="15" fillId="3" borderId="1" applyAlignment="1" applyProtection="1" pivotButton="0" quotePrefix="0" xfId="0">
      <alignment horizontal="right"/>
      <protection locked="0" hidden="0"/>
    </xf>
    <xf numFmtId="165" fontId="15" fillId="0" borderId="1" applyAlignment="1" pivotButton="0" quotePrefix="0" xfId="0">
      <alignment horizontal="right"/>
    </xf>
    <xf numFmtId="2" fontId="16" fillId="0" borderId="1" applyAlignment="1" pivotButton="0" quotePrefix="0" xfId="0">
      <alignment horizontal="center"/>
    </xf>
    <xf numFmtId="2" fontId="16" fillId="0" borderId="11" applyAlignment="1" pivotButton="0" quotePrefix="0" xfId="0">
      <alignment horizontal="center" wrapText="1"/>
    </xf>
    <xf numFmtId="0" fontId="17" fillId="0" borderId="11" applyProtection="1" pivotButton="0" quotePrefix="0" xfId="0"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5" fillId="2" borderId="8" applyAlignment="1" applyProtection="1" pivotButton="0" quotePrefix="0" xfId="0">
      <alignment horizontal="right"/>
      <protection locked="1" hidden="1"/>
    </xf>
    <xf numFmtId="0" fontId="5" fillId="2" borderId="9" applyAlignment="1" applyProtection="1" pivotButton="0" quotePrefix="0" xfId="0">
      <alignment horizontal="right"/>
      <protection locked="1" hidden="1"/>
    </xf>
    <xf numFmtId="0" fontId="5" fillId="2" borderId="10" applyAlignment="1" applyProtection="1" pivotButton="0" quotePrefix="0" xfId="0">
      <alignment horizontal="right"/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18" fillId="0" borderId="2" applyAlignment="1" pivotButton="0" quotePrefix="0" xfId="0">
      <alignment horizontal="left" vertical="center" wrapText="1"/>
    </xf>
    <xf numFmtId="165" fontId="15" fillId="5" borderId="1" applyAlignment="1" applyProtection="1" pivotButton="0" quotePrefix="0" xfId="0">
      <alignment horizontal="right"/>
      <protection locked="0" hidden="0"/>
    </xf>
    <xf numFmtId="0" fontId="0" fillId="2" borderId="5" applyAlignment="1" applyProtection="1" pivotButton="0" quotePrefix="0" xfId="0">
      <alignment horizontal="center"/>
      <protection locked="1" hidden="1"/>
    </xf>
    <xf numFmtId="0" fontId="5" fillId="2" borderId="2" applyAlignment="1" applyProtection="1" pivotButton="0" quotePrefix="0" xfId="0">
      <alignment horizontal="left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166" fontId="5" fillId="2" borderId="1" applyAlignment="1" pivotButton="0" quotePrefix="0" xfId="0">
      <alignment horizontal="right"/>
    </xf>
    <xf numFmtId="0" fontId="19" fillId="2" borderId="1" applyAlignment="1" applyProtection="1" pivotButton="0" quotePrefix="0" xfId="0">
      <alignment horizontal="center"/>
      <protection locked="1" hidden="1"/>
    </xf>
    <xf numFmtId="166" fontId="22" fillId="0" borderId="0" applyAlignment="1" applyProtection="1" pivotButton="0" quotePrefix="0" xfId="0">
      <alignment horizontal="center"/>
      <protection locked="1" hidden="1"/>
    </xf>
    <xf numFmtId="0" fontId="22" fillId="0" borderId="0" applyAlignment="1" applyProtection="1" pivotButton="0" quotePrefix="0" xfId="0">
      <alignment horizontal="center"/>
      <protection locked="1" hidden="1"/>
    </xf>
    <xf numFmtId="0" fontId="2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16" applyAlignment="1" applyProtection="1" pivotButton="0" quotePrefix="0" xfId="0">
      <alignment horizontal="center" vertical="center" wrapText="1"/>
      <protection locked="1" hidden="1"/>
    </xf>
    <xf numFmtId="0" fontId="24" fillId="0" borderId="17" applyAlignment="1" applyProtection="1" pivotButton="0" quotePrefix="0" xfId="0">
      <alignment horizontal="center" vertical="center" wrapText="1"/>
      <protection locked="1" hidden="1"/>
    </xf>
    <xf numFmtId="0" fontId="24" fillId="0" borderId="17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0" hidden="0"/>
    </xf>
    <xf numFmtId="0" fontId="4" fillId="2" borderId="18" applyAlignment="1" applyProtection="1" pivotButton="0" quotePrefix="0" xfId="0">
      <alignment horizontal="center" vertical="center" wrapText="1"/>
      <protection locked="1" hidden="1"/>
    </xf>
    <xf numFmtId="0" fontId="4" fillId="2" borderId="19" applyAlignment="1" applyProtection="1" pivotButton="0" quotePrefix="0" xfId="0">
      <alignment horizontal="center" vertical="center" wrapText="1"/>
      <protection locked="1" hidden="1"/>
    </xf>
    <xf numFmtId="4" fontId="25" fillId="0" borderId="20" applyAlignment="1" applyProtection="1" pivotButton="0" quotePrefix="0" xfId="1">
      <alignment horizontal="center" vertical="center"/>
      <protection locked="1" hidden="1"/>
    </xf>
    <xf numFmtId="166" fontId="22" fillId="0" borderId="0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0" applyProtection="1" pivotButton="0" quotePrefix="0" xfId="0">
      <protection locked="0" hidden="1"/>
    </xf>
    <xf numFmtId="0" fontId="0" fillId="0" borderId="33" applyProtection="1" pivotButton="0" quotePrefix="0" xfId="0">
      <protection locked="1" hidden="1"/>
    </xf>
    <xf numFmtId="0" fontId="0" fillId="0" borderId="14" pivotButton="0" quotePrefix="0" xfId="0"/>
    <xf numFmtId="0" fontId="0" fillId="0" borderId="4" pivotButton="0" quotePrefix="0" xfId="0"/>
    <xf numFmtId="164" fontId="6" fillId="0" borderId="1" applyAlignment="1" applyProtection="1" pivotButton="0" quotePrefix="0" xfId="0">
      <alignment horizontal="center" vertical="center"/>
      <protection locked="1" hidden="1"/>
    </xf>
    <xf numFmtId="0" fontId="13" fillId="0" borderId="1" applyAlignment="1" pivotButton="0" quotePrefix="0" xfId="0">
      <alignment horizontal="left" vertical="center" wrapText="1"/>
    </xf>
    <xf numFmtId="0" fontId="0" fillId="0" borderId="3" pivotButton="0" quotePrefix="0" xfId="0"/>
    <xf numFmtId="165" fontId="15" fillId="3" borderId="1" applyAlignment="1" applyProtection="1" pivotButton="0" quotePrefix="0" xfId="0">
      <alignment horizontal="right"/>
      <protection locked="0" hidden="0"/>
    </xf>
    <xf numFmtId="165" fontId="15" fillId="0" borderId="1" applyAlignment="1" pivotButton="0" quotePrefix="0" xfId="0">
      <alignment horizontal="right"/>
    </xf>
    <xf numFmtId="0" fontId="0" fillId="0" borderId="15" applyProtection="1" pivotButton="0" quotePrefix="0" xfId="0">
      <protection locked="1" hidden="1"/>
    </xf>
    <xf numFmtId="0" fontId="5" fillId="2" borderId="11" applyAlignment="1" applyProtection="1" pivotButton="0" quotePrefix="0" xfId="0">
      <alignment horizontal="right"/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18" fillId="0" borderId="1" applyAlignment="1" pivotButton="0" quotePrefix="0" xfId="0">
      <alignment horizontal="left" vertical="center" wrapText="1"/>
    </xf>
    <xf numFmtId="165" fontId="15" fillId="5" borderId="1" applyAlignment="1" applyProtection="1" pivotButton="0" quotePrefix="0" xfId="0">
      <alignment horizontal="right"/>
      <protection locked="0" hidden="0"/>
    </xf>
    <xf numFmtId="0" fontId="0" fillId="0" borderId="5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3" applyProtection="1" pivotButton="0" quotePrefix="0" xfId="0">
      <protection locked="1" hidden="1"/>
    </xf>
    <xf numFmtId="166" fontId="5" fillId="2" borderId="1" applyAlignment="1" pivotButton="0" quotePrefix="0" xfId="0">
      <alignment horizontal="right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aer4/Desktop/08,08,23%20&#1055;&#1091;&#1096;&#1082;&#1072;&#1088;&#1085;&#1099;&#1081;/&#1047;&#1072;&#1082;&#1072;&#1079;%20&#1055;&#1091;&#1096;&#1082;&#1072;&#1088;&#1085;&#1099;&#1081;%201%2008.08.23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 refreshError="1">
        <row r="9">
          <cell r="D9" t="str"/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ПУШКАРНЫЙ В.В., ИП, Краснодарский край, Краснодар г, Уральская ул, д. 116,</v>
          </cell>
          <cell r="C6" t="str">
            <v>592445_1</v>
          </cell>
          <cell r="D6" t="str">
            <v>1</v>
          </cell>
        </row>
        <row r="8">
          <cell r="B8" t="str">
            <v>350080Российская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4"/>
  <sheetViews>
    <sheetView tabSelected="1" workbookViewId="0">
      <selection activeCell="AA15" sqref="AA15"/>
    </sheetView>
  </sheetViews>
  <sheetFormatPr baseColWidth="8" defaultRowHeight="15"/>
  <cols>
    <col width="9.140625" customWidth="1" style="1" min="1" max="1"/>
    <col width="10.85546875" customWidth="1" style="60" min="2" max="2"/>
    <col width="12.5703125" customWidth="1" style="60" min="3" max="3"/>
    <col width="6.42578125" customWidth="1" style="60" min="4" max="4"/>
    <col width="6.85546875" customWidth="1" style="60" min="5" max="5"/>
    <col width="8.42578125" customWidth="1" style="60" min="6" max="6"/>
    <col width="9.42578125" customWidth="1" style="60" min="7" max="7"/>
    <col width="11.85546875" customWidth="1" style="60" min="8" max="8"/>
    <col width="9.42578125" customWidth="1" style="60" min="9" max="9"/>
    <col width="9.140625" customWidth="1" style="50" min="10" max="10"/>
    <col width="9.42578125" customWidth="1" style="50" min="11" max="11"/>
    <col width="10.42578125" customWidth="1" style="60" min="12" max="12"/>
    <col width="7.42578125" customWidth="1" style="51" min="13" max="13"/>
    <col width="15.5703125" customWidth="1" style="51" min="14" max="14"/>
    <col width="8.140625" customWidth="1" style="1" min="15" max="15"/>
    <col width="6.140625" customWidth="1" style="1" min="16" max="16"/>
    <col width="10.85546875" customWidth="1" style="52" min="17" max="17"/>
    <col width="10.42578125" customWidth="1" style="52" min="18" max="18"/>
    <col width="9.42578125" customWidth="1" style="52" min="19" max="19"/>
    <col width="8.42578125" customWidth="1" style="52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</cols>
  <sheetData>
    <row r="1">
      <c r="A1" s="2" t="inlineStr">
        <is>
          <t>Код единицы продаж</t>
        </is>
      </c>
      <c r="B1" s="2" t="inlineStr">
        <is>
          <t>Код продукта</t>
        </is>
      </c>
      <c r="C1" s="3" t="inlineStr">
        <is>
          <t>Номер варианта</t>
        </is>
      </c>
      <c r="D1" s="2" t="inlineStr">
        <is>
          <t xml:space="preserve">Штрих-код </t>
        </is>
      </c>
      <c r="E1" s="61" t="n"/>
      <c r="F1" s="2" t="inlineStr">
        <is>
          <t>Вес нетто штуки, кг</t>
        </is>
      </c>
      <c r="G1" s="2" t="inlineStr">
        <is>
          <t>Кол-во штук в коробе, шт</t>
        </is>
      </c>
      <c r="H1" s="2" t="inlineStr">
        <is>
          <t>Вес нетто короба, кг</t>
        </is>
      </c>
      <c r="I1" s="2" t="inlineStr">
        <is>
          <t>Вес брутто короба, кг</t>
        </is>
      </c>
      <c r="J1" s="2" t="inlineStr">
        <is>
          <t>Кол-во кор. на паллте, шт</t>
        </is>
      </c>
      <c r="K1" s="2" t="inlineStr">
        <is>
          <t>Завод</t>
        </is>
      </c>
      <c r="L1" s="2" t="inlineStr">
        <is>
          <t>Срок годности, сут.</t>
        </is>
      </c>
      <c r="M1" s="2" t="inlineStr">
        <is>
          <t>Наименование</t>
        </is>
      </c>
      <c r="N1" s="62" t="n"/>
      <c r="O1" s="62" t="n"/>
      <c r="P1" s="62" t="n"/>
      <c r="Q1" s="61" t="n"/>
      <c r="R1" s="9" t="inlineStr">
        <is>
          <t>Доступно к отгрузке</t>
        </is>
      </c>
      <c r="S1" s="63" t="n"/>
      <c r="T1" s="2" t="inlineStr">
        <is>
          <t>Ед. изм.</t>
        </is>
      </c>
      <c r="U1" s="2" t="inlineStr">
        <is>
          <t>Заказ</t>
        </is>
      </c>
      <c r="V1" s="6" t="inlineStr">
        <is>
          <t>Заказ с округлением до короба</t>
        </is>
      </c>
      <c r="W1" s="2" t="inlineStr">
        <is>
          <t>Объём заказа, м3</t>
        </is>
      </c>
      <c r="X1" s="7" t="inlineStr">
        <is>
          <t>Примечание по продуктку</t>
        </is>
      </c>
      <c r="Y1" s="7" t="inlineStr">
        <is>
          <t>Признак "НОВИНКА"</t>
        </is>
      </c>
    </row>
    <row r="2">
      <c r="A2" s="64" t="n"/>
      <c r="B2" s="64" t="n"/>
      <c r="C2" s="64" t="n"/>
      <c r="D2" s="65" t="n"/>
      <c r="E2" s="66" t="n"/>
      <c r="F2" s="64" t="n"/>
      <c r="G2" s="64" t="n"/>
      <c r="H2" s="64" t="n"/>
      <c r="I2" s="64" t="n"/>
      <c r="J2" s="64" t="n"/>
      <c r="K2" s="64" t="n"/>
      <c r="L2" s="64" t="n"/>
      <c r="M2" s="65" t="n"/>
      <c r="N2" s="67" t="n"/>
      <c r="O2" s="67" t="n"/>
      <c r="P2" s="67" t="n"/>
      <c r="Q2" s="66" t="n"/>
      <c r="R2" s="9" t="inlineStr">
        <is>
          <t>начиная с</t>
        </is>
      </c>
      <c r="S2" s="9" t="inlineStr">
        <is>
          <t>до</t>
        </is>
      </c>
      <c r="T2" s="64" t="n"/>
      <c r="U2" s="64" t="n"/>
      <c r="V2" s="68" t="n"/>
      <c r="W2" s="64" t="n"/>
      <c r="X2" s="69" t="n"/>
      <c r="Y2" s="69" t="n"/>
    </row>
    <row r="3" ht="20.25" customHeight="1">
      <c r="A3" s="11" t="inlineStr">
        <is>
          <t>Ядрена копоть</t>
        </is>
      </c>
      <c r="B3" s="70" t="n"/>
      <c r="C3" s="70" t="n"/>
      <c r="D3" s="70" t="n"/>
      <c r="E3" s="70" t="n"/>
      <c r="F3" s="70" t="n"/>
      <c r="G3" s="70" t="n"/>
      <c r="H3" s="70" t="n"/>
      <c r="I3" s="70" t="n"/>
      <c r="J3" s="70" t="n"/>
      <c r="K3" s="70" t="n"/>
      <c r="L3" s="70" t="n"/>
      <c r="M3" s="70" t="n"/>
      <c r="N3" s="70" t="n"/>
      <c r="O3" s="70" t="n"/>
      <c r="P3" s="70" t="n"/>
      <c r="Q3" s="70" t="n"/>
      <c r="R3" s="70" t="n"/>
      <c r="S3" s="70" t="n"/>
      <c r="T3" s="70" t="n"/>
      <c r="U3" s="70" t="n"/>
      <c r="V3" s="70" t="n"/>
      <c r="W3" s="70" t="n"/>
      <c r="X3" s="12" t="n"/>
      <c r="Y3" s="12" t="n"/>
    </row>
    <row r="4">
      <c r="A4" s="14" t="inlineStr">
        <is>
          <t>Ядрена копоть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4" t="n"/>
      <c r="Y4" s="14" t="n"/>
    </row>
    <row r="5">
      <c r="A5" s="16" t="inlineStr">
        <is>
          <t>Копченые колбасы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6" t="n"/>
      <c r="Y5" s="16" t="n"/>
    </row>
    <row r="6">
      <c r="A6" s="17" t="inlineStr">
        <is>
          <t>SU002447</t>
        </is>
      </c>
      <c r="B6" s="17" t="inlineStr">
        <is>
          <t>P002730</t>
        </is>
      </c>
      <c r="C6" s="18" t="n">
        <v>4301031106</v>
      </c>
      <c r="D6" s="19" t="n">
        <v>4607091389258</v>
      </c>
      <c r="E6" s="71" t="n"/>
      <c r="F6" s="72" t="n">
        <v>0.3</v>
      </c>
      <c r="G6" s="21" t="n">
        <v>6</v>
      </c>
      <c r="H6" s="72" t="n">
        <v>1.8</v>
      </c>
      <c r="I6" s="72" t="n">
        <v>2</v>
      </c>
      <c r="J6" s="21" t="n">
        <v>156</v>
      </c>
      <c r="K6" s="22" t="inlineStr">
        <is>
          <t>СК2</t>
        </is>
      </c>
      <c r="L6" s="21" t="n">
        <v>35</v>
      </c>
      <c r="M6" s="73" t="inlineStr">
        <is>
          <t>В/к колбасы Колбаски Бюргерсы Ядрена копоть 0,3 Ядрена копоть</t>
        </is>
      </c>
      <c r="N6" s="74" t="n"/>
      <c r="O6" s="74" t="n"/>
      <c r="P6" s="74" t="n"/>
      <c r="Q6" s="71" t="n"/>
      <c r="R6" s="26" t="inlineStr"/>
      <c r="S6" s="26" t="inlineStr"/>
      <c r="T6" s="27" t="inlineStr">
        <is>
          <t>кг</t>
        </is>
      </c>
      <c r="U6" s="75" t="n">
        <v>0</v>
      </c>
      <c r="V6" s="76">
        <f>IFERROR(IF(U6="",0,CEILING((U6/$H6),1)*$H6),"")</f>
        <v/>
      </c>
      <c r="W6" s="30">
        <f>IFERROR(IF(V6=0,"",ROUNDUP(V6/H6,0)*0.00753),"")</f>
        <v/>
      </c>
      <c r="X6" s="31" t="inlineStr"/>
      <c r="Y6" s="32" t="inlineStr"/>
    </row>
    <row r="7">
      <c r="A7" s="34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77" t="n"/>
      <c r="M7" s="78" t="inlineStr">
        <is>
          <t>Итого</t>
        </is>
      </c>
      <c r="N7" s="79" t="n"/>
      <c r="O7" s="79" t="n"/>
      <c r="P7" s="79" t="n"/>
      <c r="Q7" s="79" t="n"/>
      <c r="R7" s="79" t="n"/>
      <c r="S7" s="80" t="n"/>
      <c r="T7" s="38" t="inlineStr">
        <is>
          <t>кор</t>
        </is>
      </c>
      <c r="U7" s="81">
        <f>IFERROR(U6/H6,"0")</f>
        <v/>
      </c>
      <c r="V7" s="81">
        <f>IFERROR(V6/H6,"0")</f>
        <v/>
      </c>
      <c r="W7" s="81">
        <f>IFERROR(IF(W6="",0,W6),"0")</f>
        <v/>
      </c>
      <c r="X7" s="82" t="n"/>
      <c r="Y7" s="82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77" t="n"/>
      <c r="M8" s="78" t="inlineStr">
        <is>
          <t>Итого</t>
        </is>
      </c>
      <c r="N8" s="79" t="n"/>
      <c r="O8" s="79" t="n"/>
      <c r="P8" s="79" t="n"/>
      <c r="Q8" s="79" t="n"/>
      <c r="R8" s="79" t="n"/>
      <c r="S8" s="80" t="n"/>
      <c r="T8" s="38" t="inlineStr">
        <is>
          <t>кг</t>
        </is>
      </c>
      <c r="U8" s="81">
        <f>IFERROR(SUM(U6:U6),"0")</f>
        <v/>
      </c>
      <c r="V8" s="81">
        <f>IFERROR(SUM(V6:V6),"0")</f>
        <v/>
      </c>
      <c r="W8" s="38" t="n"/>
      <c r="X8" s="82" t="n"/>
      <c r="Y8" s="82" t="n"/>
    </row>
    <row r="9">
      <c r="A9" s="16" t="inlineStr">
        <is>
          <t>Сосиски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6" t="n"/>
      <c r="Y9" s="16" t="n"/>
    </row>
    <row r="10">
      <c r="A10" s="17" t="inlineStr">
        <is>
          <t>SU002155</t>
        </is>
      </c>
      <c r="B10" s="17" t="inlineStr">
        <is>
          <t>P002325</t>
        </is>
      </c>
      <c r="C10" s="18" t="n">
        <v>4301051176</v>
      </c>
      <c r="D10" s="19" t="n">
        <v>4607091383881</v>
      </c>
      <c r="E10" s="71" t="n"/>
      <c r="F10" s="72" t="n">
        <v>0.33</v>
      </c>
      <c r="G10" s="21" t="n">
        <v>6</v>
      </c>
      <c r="H10" s="72" t="n">
        <v>1.98</v>
      </c>
      <c r="I10" s="72" t="n">
        <v>2.246</v>
      </c>
      <c r="J10" s="21" t="n">
        <v>156</v>
      </c>
      <c r="K10" s="22" t="inlineStr">
        <is>
          <t>СК2</t>
        </is>
      </c>
      <c r="L10" s="21" t="n">
        <v>35</v>
      </c>
      <c r="M10" s="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10" s="74" t="n"/>
      <c r="O10" s="74" t="n"/>
      <c r="P10" s="74" t="n"/>
      <c r="Q10" s="71" t="n"/>
      <c r="R10" s="26" t="inlineStr"/>
      <c r="S10" s="26" t="inlineStr"/>
      <c r="T10" s="27" t="inlineStr">
        <is>
          <t>кг</t>
        </is>
      </c>
      <c r="U10" s="75" t="n">
        <v>0</v>
      </c>
      <c r="V10" s="76">
        <f>IFERROR(IF(U10="",0,CEILING((U10/$H10),1)*$H10),"")</f>
        <v/>
      </c>
      <c r="W10" s="30">
        <f>IFERROR(IF(V10=0,"",ROUNDUP(V10/H10,0)*0.00753),"")</f>
        <v/>
      </c>
      <c r="X10" s="31" t="inlineStr"/>
      <c r="Y10" s="32" t="inlineStr"/>
    </row>
    <row r="11">
      <c r="A11" s="17" t="inlineStr">
        <is>
          <t>SU000341</t>
        </is>
      </c>
      <c r="B11" s="17" t="inlineStr">
        <is>
          <t>P002465</t>
        </is>
      </c>
      <c r="C11" s="18" t="n">
        <v>4301051172</v>
      </c>
      <c r="D11" s="19" t="n">
        <v>4607091388237</v>
      </c>
      <c r="E11" s="71" t="n"/>
      <c r="F11" s="72" t="n">
        <v>0.42</v>
      </c>
      <c r="G11" s="21" t="n">
        <v>6</v>
      </c>
      <c r="H11" s="72" t="n">
        <v>2.52</v>
      </c>
      <c r="I11" s="72" t="n">
        <v>2.786</v>
      </c>
      <c r="J11" s="21" t="n">
        <v>156</v>
      </c>
      <c r="K11" s="22" t="inlineStr">
        <is>
          <t>СК2</t>
        </is>
      </c>
      <c r="L11" s="21" t="n">
        <v>35</v>
      </c>
      <c r="M11" s="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11" s="74" t="n"/>
      <c r="O11" s="74" t="n"/>
      <c r="P11" s="74" t="n"/>
      <c r="Q11" s="71" t="n"/>
      <c r="R11" s="26" t="inlineStr"/>
      <c r="S11" s="26" t="inlineStr"/>
      <c r="T11" s="27" t="inlineStr">
        <is>
          <t>кг</t>
        </is>
      </c>
      <c r="U11" s="75" t="n">
        <v>0</v>
      </c>
      <c r="V11" s="76">
        <f>IFERROR(IF(U11="",0,CEILING((U11/$H11),1)*$H11),"")</f>
        <v/>
      </c>
      <c r="W11" s="30">
        <f>IFERROR(IF(V11=0,"",ROUNDUP(V11/H11,0)*0.00753),"")</f>
        <v/>
      </c>
      <c r="X11" s="31" t="inlineStr"/>
      <c r="Y11" s="32" t="inlineStr"/>
    </row>
    <row r="12">
      <c r="A12" s="17" t="inlineStr">
        <is>
          <t>SU002230</t>
        </is>
      </c>
      <c r="B12" s="17" t="inlineStr">
        <is>
          <t>P002425</t>
        </is>
      </c>
      <c r="C12" s="18" t="n">
        <v>4301051180</v>
      </c>
      <c r="D12" s="19" t="n">
        <v>4607091383935</v>
      </c>
      <c r="E12" s="71" t="n"/>
      <c r="F12" s="72" t="n">
        <v>0.33</v>
      </c>
      <c r="G12" s="21" t="n">
        <v>6</v>
      </c>
      <c r="H12" s="72" t="n">
        <v>1.98</v>
      </c>
      <c r="I12" s="72" t="n">
        <v>2.246</v>
      </c>
      <c r="J12" s="21" t="n">
        <v>156</v>
      </c>
      <c r="K12" s="22" t="inlineStr">
        <is>
          <t>СК2</t>
        </is>
      </c>
      <c r="L12" s="21" t="n">
        <v>30</v>
      </c>
      <c r="M12" s="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12" s="74" t="n"/>
      <c r="O12" s="74" t="n"/>
      <c r="P12" s="74" t="n"/>
      <c r="Q12" s="71" t="n"/>
      <c r="R12" s="26" t="inlineStr"/>
      <c r="S12" s="26" t="inlineStr"/>
      <c r="T12" s="27" t="inlineStr">
        <is>
          <t>кг</t>
        </is>
      </c>
      <c r="U12" s="75" t="n">
        <v>0</v>
      </c>
      <c r="V12" s="76">
        <f>IFERROR(IF(U12="",0,CEILING((U12/$H12),1)*$H12),"")</f>
        <v/>
      </c>
      <c r="W12" s="30">
        <f>IFERROR(IF(V12=0,"",ROUNDUP(V12/H12,0)*0.00753),"")</f>
        <v/>
      </c>
      <c r="X12" s="31" t="inlineStr"/>
      <c r="Y12" s="32" t="inlineStr"/>
    </row>
    <row r="13">
      <c r="A13" s="17" t="inlineStr">
        <is>
          <t>SU002893</t>
        </is>
      </c>
      <c r="B13" s="17" t="inlineStr">
        <is>
          <t>P003317</t>
        </is>
      </c>
      <c r="C13" s="18" t="n">
        <v>4301051426</v>
      </c>
      <c r="D13" s="19" t="n">
        <v>4680115881853</v>
      </c>
      <c r="E13" s="71" t="n"/>
      <c r="F13" s="72" t="n">
        <v>0.33</v>
      </c>
      <c r="G13" s="21" t="n">
        <v>6</v>
      </c>
      <c r="H13" s="72" t="n">
        <v>1.98</v>
      </c>
      <c r="I13" s="72" t="n">
        <v>2.246</v>
      </c>
      <c r="J13" s="21" t="n">
        <v>156</v>
      </c>
      <c r="K13" s="22" t="inlineStr">
        <is>
          <t>СК2</t>
        </is>
      </c>
      <c r="L13" s="21" t="n">
        <v>30</v>
      </c>
      <c r="M13" s="73" t="inlineStr">
        <is>
          <t>Сосиски С соусом Барбекю Ядрена копоть Фикс.вес 0,33 ц/о мгс Ядрена копоть</t>
        </is>
      </c>
      <c r="N13" s="74" t="n"/>
      <c r="O13" s="74" t="n"/>
      <c r="P13" s="74" t="n"/>
      <c r="Q13" s="71" t="n"/>
      <c r="R13" s="26" t="inlineStr"/>
      <c r="S13" s="26" t="inlineStr"/>
      <c r="T13" s="27" t="inlineStr">
        <is>
          <t>кг</t>
        </is>
      </c>
      <c r="U13" s="75" t="n">
        <v>0</v>
      </c>
      <c r="V13" s="76">
        <f>IFERROR(IF(U13="",0,CEILING((U13/$H13),1)*$H13),"")</f>
        <v/>
      </c>
      <c r="W13" s="30">
        <f>IFERROR(IF(V13=0,"",ROUNDUP(V13/H13,0)*0.00753),"")</f>
        <v/>
      </c>
      <c r="X13" s="31" t="inlineStr"/>
      <c r="Y13" s="32" t="inlineStr"/>
    </row>
    <row r="14">
      <c r="A14" s="17" t="inlineStr">
        <is>
          <t>SU002154</t>
        </is>
      </c>
      <c r="B14" s="17" t="inlineStr">
        <is>
          <t>P002326</t>
        </is>
      </c>
      <c r="C14" s="18" t="n">
        <v>4301051178</v>
      </c>
      <c r="D14" s="19" t="n">
        <v>4607091383911</v>
      </c>
      <c r="E14" s="71" t="n"/>
      <c r="F14" s="72" t="n">
        <v>0.33</v>
      </c>
      <c r="G14" s="21" t="n">
        <v>6</v>
      </c>
      <c r="H14" s="72" t="n">
        <v>1.98</v>
      </c>
      <c r="I14" s="72" t="n">
        <v>2.246</v>
      </c>
      <c r="J14" s="21" t="n">
        <v>156</v>
      </c>
      <c r="K14" s="22" t="inlineStr">
        <is>
          <t>СК2</t>
        </is>
      </c>
      <c r="L14" s="21" t="n">
        <v>35</v>
      </c>
      <c r="M14" s="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14" s="74" t="n"/>
      <c r="O14" s="74" t="n"/>
      <c r="P14" s="74" t="n"/>
      <c r="Q14" s="71" t="n"/>
      <c r="R14" s="26" t="inlineStr"/>
      <c r="S14" s="26" t="inlineStr"/>
      <c r="T14" s="27" t="inlineStr">
        <is>
          <t>кг</t>
        </is>
      </c>
      <c r="U14" s="75" t="n">
        <v>0</v>
      </c>
      <c r="V14" s="76">
        <f>IFERROR(IF(U14="",0,CEILING((U14/$H14),1)*$H14),"")</f>
        <v/>
      </c>
      <c r="W14" s="30">
        <f>IFERROR(IF(V14=0,"",ROUNDUP(V14/H14,0)*0.00753),"")</f>
        <v/>
      </c>
      <c r="X14" s="31" t="inlineStr"/>
      <c r="Y14" s="32" t="inlineStr"/>
    </row>
    <row r="15">
      <c r="A15" s="17" t="inlineStr">
        <is>
          <t>SU000152</t>
        </is>
      </c>
      <c r="B15" s="17" t="inlineStr">
        <is>
          <t>P002466</t>
        </is>
      </c>
      <c r="C15" s="18" t="n">
        <v>4301051174</v>
      </c>
      <c r="D15" s="19" t="n">
        <v>4607091388244</v>
      </c>
      <c r="E15" s="71" t="n"/>
      <c r="F15" s="72" t="n">
        <v>0.42</v>
      </c>
      <c r="G15" s="21" t="n">
        <v>6</v>
      </c>
      <c r="H15" s="72" t="n">
        <v>2.52</v>
      </c>
      <c r="I15" s="72" t="n">
        <v>2.786</v>
      </c>
      <c r="J15" s="21" t="n">
        <v>156</v>
      </c>
      <c r="K15" s="22" t="inlineStr">
        <is>
          <t>СК2</t>
        </is>
      </c>
      <c r="L15" s="21" t="n">
        <v>35</v>
      </c>
      <c r="M15" s="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15" s="74" t="n"/>
      <c r="O15" s="74" t="n"/>
      <c r="P15" s="74" t="n"/>
      <c r="Q15" s="71" t="n"/>
      <c r="R15" s="26" t="inlineStr"/>
      <c r="S15" s="26" t="inlineStr"/>
      <c r="T15" s="27" t="inlineStr">
        <is>
          <t>кг</t>
        </is>
      </c>
      <c r="U15" s="75" t="n">
        <v>0</v>
      </c>
      <c r="V15" s="76">
        <f>IFERROR(IF(U15="",0,CEILING((U15/$H15),1)*$H15),"")</f>
        <v/>
      </c>
      <c r="W15" s="30">
        <f>IFERROR(IF(V15=0,"",ROUNDUP(V15/H15,0)*0.00753),"")</f>
        <v/>
      </c>
      <c r="X15" s="31" t="inlineStr"/>
      <c r="Y15" s="32" t="inlineStr"/>
    </row>
    <row r="16">
      <c r="A16" s="34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77" t="n"/>
      <c r="M16" s="78" t="inlineStr">
        <is>
          <t>Итого</t>
        </is>
      </c>
      <c r="N16" s="79" t="n"/>
      <c r="O16" s="79" t="n"/>
      <c r="P16" s="79" t="n"/>
      <c r="Q16" s="79" t="n"/>
      <c r="R16" s="79" t="n"/>
      <c r="S16" s="80" t="n"/>
      <c r="T16" s="38" t="inlineStr">
        <is>
          <t>кор</t>
        </is>
      </c>
      <c r="U16" s="81">
        <f>IFERROR(U10/H10,"0")+IFERROR(U11/H11,"0")+IFERROR(U12/H12,"0")+IFERROR(U13/H13,"0")+IFERROR(U14/H14,"0")+IFERROR(U15/H15,"0")</f>
        <v/>
      </c>
      <c r="V16" s="81">
        <f>IFERROR(V10/H10,"0")+IFERROR(V11/H11,"0")+IFERROR(V12/H12,"0")+IFERROR(V13/H13,"0")+IFERROR(V14/H14,"0")+IFERROR(V15/H15,"0")</f>
        <v/>
      </c>
      <c r="W16" s="81">
        <f>IFERROR(IF(W10="",0,W10),"0")+IFERROR(IF(W11="",0,W11),"0")+IFERROR(IF(W12="",0,W12),"0")+IFERROR(IF(W13="",0,W13),"0")+IFERROR(IF(W14="",0,W14),"0")+IFERROR(IF(W15="",0,W15),"0")</f>
        <v/>
      </c>
      <c r="X16" s="82" t="n"/>
      <c r="Y16" s="82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77" t="n"/>
      <c r="M17" s="78" t="inlineStr">
        <is>
          <t>Итого</t>
        </is>
      </c>
      <c r="N17" s="79" t="n"/>
      <c r="O17" s="79" t="n"/>
      <c r="P17" s="79" t="n"/>
      <c r="Q17" s="79" t="n"/>
      <c r="R17" s="79" t="n"/>
      <c r="S17" s="80" t="n"/>
      <c r="T17" s="38" t="inlineStr">
        <is>
          <t>кг</t>
        </is>
      </c>
      <c r="U17" s="81">
        <f>IFERROR(SUM(U10:U15),"0")</f>
        <v/>
      </c>
      <c r="V17" s="81">
        <f>IFERROR(SUM(V10:V15),"0")</f>
        <v/>
      </c>
      <c r="W17" s="38" t="n"/>
      <c r="X17" s="82" t="n"/>
      <c r="Y17" s="82" t="n"/>
    </row>
    <row r="18">
      <c r="A18" s="16" t="inlineStr">
        <is>
          <t>Сырокопченые колбасы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6" t="n"/>
      <c r="Y18" s="16" t="n"/>
    </row>
    <row r="19">
      <c r="A19" s="17" t="inlineStr">
        <is>
          <t>SU002050</t>
        </is>
      </c>
      <c r="B19" s="17" t="inlineStr">
        <is>
          <t>P002188</t>
        </is>
      </c>
      <c r="C19" s="18" t="n">
        <v>4301032013</v>
      </c>
      <c r="D19" s="19" t="n">
        <v>4607091388503</v>
      </c>
      <c r="E19" s="71" t="n"/>
      <c r="F19" s="72" t="n">
        <v>0.05</v>
      </c>
      <c r="G19" s="21" t="n">
        <v>12</v>
      </c>
      <c r="H19" s="72" t="n">
        <v>0.6</v>
      </c>
      <c r="I19" s="72" t="n">
        <v>0.842</v>
      </c>
      <c r="J19" s="21" t="n">
        <v>156</v>
      </c>
      <c r="K19" s="22" t="inlineStr">
        <is>
          <t>АК</t>
        </is>
      </c>
      <c r="L19" s="21" t="n">
        <v>120</v>
      </c>
      <c r="M19" s="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19" s="74" t="n"/>
      <c r="O19" s="74" t="n"/>
      <c r="P19" s="74" t="n"/>
      <c r="Q19" s="71" t="n"/>
      <c r="R19" s="26" t="inlineStr"/>
      <c r="S19" s="26" t="inlineStr"/>
      <c r="T19" s="27" t="inlineStr">
        <is>
          <t>кг</t>
        </is>
      </c>
      <c r="U19" s="75" t="n">
        <v>0</v>
      </c>
      <c r="V19" s="76">
        <f>IFERROR(IF(U19="",0,CEILING((U19/$H19),1)*$H19),"")</f>
        <v/>
      </c>
      <c r="W19" s="30">
        <f>IFERROR(IF(V19=0,"",ROUNDUP(V19/H19,0)*0.00753),"")</f>
        <v/>
      </c>
      <c r="X19" s="31" t="inlineStr"/>
      <c r="Y19" s="32" t="inlineStr"/>
    </row>
    <row r="20">
      <c r="A20" s="17" t="inlineStr">
        <is>
          <t>SU002648</t>
        </is>
      </c>
      <c r="B20" s="17" t="inlineStr">
        <is>
          <t>P003009</t>
        </is>
      </c>
      <c r="C20" s="18" t="n">
        <v>4301032036</v>
      </c>
      <c r="D20" s="19" t="n">
        <v>4680115880139</v>
      </c>
      <c r="E20" s="71" t="n"/>
      <c r="F20" s="72" t="n">
        <v>0.025</v>
      </c>
      <c r="G20" s="21" t="n">
        <v>10</v>
      </c>
      <c r="H20" s="72" t="n">
        <v>0.25</v>
      </c>
      <c r="I20" s="72" t="n">
        <v>0.41</v>
      </c>
      <c r="J20" s="21" t="n">
        <v>234</v>
      </c>
      <c r="K20" s="22" t="inlineStr">
        <is>
          <t>МТК</t>
        </is>
      </c>
      <c r="L20" s="21" t="n">
        <v>120</v>
      </c>
      <c r="M20" s="83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20" s="74" t="n"/>
      <c r="O20" s="74" t="n"/>
      <c r="P20" s="74" t="n"/>
      <c r="Q20" s="71" t="n"/>
      <c r="R20" s="26" t="inlineStr"/>
      <c r="S20" s="26" t="inlineStr"/>
      <c r="T20" s="27" t="inlineStr">
        <is>
          <t>кг</t>
        </is>
      </c>
      <c r="U20" s="75" t="n">
        <v>0</v>
      </c>
      <c r="V20" s="76">
        <f>IFERROR(IF(U20="",0,CEILING((U20/$H20),1)*$H20),"")</f>
        <v/>
      </c>
      <c r="W20" s="30">
        <f>IFERROR(IF(V20=0,"",ROUNDUP(V20/H20,0)*0.00502),"")</f>
        <v/>
      </c>
      <c r="X20" s="31" t="inlineStr"/>
      <c r="Y20" s="32" t="inlineStr"/>
    </row>
    <row r="21">
      <c r="A21" s="34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77" t="n"/>
      <c r="M21" s="78" t="inlineStr">
        <is>
          <t>Итого</t>
        </is>
      </c>
      <c r="N21" s="79" t="n"/>
      <c r="O21" s="79" t="n"/>
      <c r="P21" s="79" t="n"/>
      <c r="Q21" s="79" t="n"/>
      <c r="R21" s="79" t="n"/>
      <c r="S21" s="80" t="n"/>
      <c r="T21" s="38" t="inlineStr">
        <is>
          <t>кор</t>
        </is>
      </c>
      <c r="U21" s="81">
        <f>IFERROR(U19/H19,"0")+IFERROR(U20/H20,"0")</f>
        <v/>
      </c>
      <c r="V21" s="81">
        <f>IFERROR(V19/H19,"0")+IFERROR(V20/H20,"0")</f>
        <v/>
      </c>
      <c r="W21" s="81">
        <f>IFERROR(IF(W19="",0,W19),"0")+IFERROR(IF(W20="",0,W20),"0")</f>
        <v/>
      </c>
      <c r="X21" s="82" t="n"/>
      <c r="Y21" s="82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77" t="n"/>
      <c r="M22" s="78" t="inlineStr">
        <is>
          <t>Итого</t>
        </is>
      </c>
      <c r="N22" s="79" t="n"/>
      <c r="O22" s="79" t="n"/>
      <c r="P22" s="79" t="n"/>
      <c r="Q22" s="79" t="n"/>
      <c r="R22" s="79" t="n"/>
      <c r="S22" s="80" t="n"/>
      <c r="T22" s="38" t="inlineStr">
        <is>
          <t>кг</t>
        </is>
      </c>
      <c r="U22" s="81">
        <f>IFERROR(SUM(U19:U20),"0")</f>
        <v/>
      </c>
      <c r="V22" s="81">
        <f>IFERROR(SUM(V19:V20),"0")</f>
        <v/>
      </c>
      <c r="W22" s="38" t="n"/>
      <c r="X22" s="82" t="n"/>
      <c r="Y22" s="82" t="n"/>
    </row>
    <row r="23">
      <c r="A23" s="16" t="inlineStr">
        <is>
          <t>Продукты из мяса птицы копчено-вареные</t>
        </is>
      </c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6" t="n"/>
      <c r="Y23" s="16" t="n"/>
    </row>
    <row r="24" ht="79.5" customHeight="1">
      <c r="A24" s="17" t="inlineStr">
        <is>
          <t>SU001872</t>
        </is>
      </c>
      <c r="B24" s="17" t="inlineStr">
        <is>
          <t>P001933</t>
        </is>
      </c>
      <c r="C24" s="18" t="n">
        <v>4301160001</v>
      </c>
      <c r="D24" s="19" t="n">
        <v>4607091388282</v>
      </c>
      <c r="E24" s="71" t="n"/>
      <c r="F24" s="72" t="n">
        <v>0.3</v>
      </c>
      <c r="G24" s="21" t="n">
        <v>6</v>
      </c>
      <c r="H24" s="72" t="n">
        <v>1.8</v>
      </c>
      <c r="I24" s="72" t="n">
        <v>2.084</v>
      </c>
      <c r="J24" s="21" t="n">
        <v>156</v>
      </c>
      <c r="K24" s="22" t="inlineStr">
        <is>
          <t>АК</t>
        </is>
      </c>
      <c r="L24" s="21" t="n">
        <v>30</v>
      </c>
      <c r="M24" s="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24" s="74" t="n"/>
      <c r="O24" s="74" t="n"/>
      <c r="P24" s="74" t="n"/>
      <c r="Q24" s="71" t="n"/>
      <c r="R24" s="26" t="inlineStr"/>
      <c r="S24" s="26" t="inlineStr"/>
      <c r="T24" s="27" t="inlineStr">
        <is>
          <t>кг</t>
        </is>
      </c>
      <c r="U24" s="75" t="n">
        <v>0</v>
      </c>
      <c r="V24" s="76">
        <f>IFERROR(IF(U24="",0,CEILING((U24/$H24),1)*$H24),"")</f>
        <v/>
      </c>
      <c r="W24" s="30">
        <f>IFERROR(IF(V24=0,"",ROUNDUP(V24/H24,0)*0.00753),"")</f>
        <v/>
      </c>
      <c r="X24" s="31" t="inlineStr">
        <is>
          <t>Предзаказ по четвергам до 12:00 на отгрузку со вторника следующей недели</t>
        </is>
      </c>
      <c r="Y24" s="32" t="inlineStr"/>
    </row>
    <row r="25">
      <c r="A25" s="34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77" t="n"/>
      <c r="M25" s="78" t="inlineStr">
        <is>
          <t>Итого</t>
        </is>
      </c>
      <c r="N25" s="79" t="n"/>
      <c r="O25" s="79" t="n"/>
      <c r="P25" s="79" t="n"/>
      <c r="Q25" s="79" t="n"/>
      <c r="R25" s="79" t="n"/>
      <c r="S25" s="80" t="n"/>
      <c r="T25" s="38" t="inlineStr">
        <is>
          <t>кор</t>
        </is>
      </c>
      <c r="U25" s="81">
        <f>IFERROR(U24/H24,"0")</f>
        <v/>
      </c>
      <c r="V25" s="81">
        <f>IFERROR(V24/H24,"0")</f>
        <v/>
      </c>
      <c r="W25" s="81">
        <f>IFERROR(IF(W24="",0,W24),"0")</f>
        <v/>
      </c>
      <c r="X25" s="82" t="n"/>
      <c r="Y25" s="82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77" t="n"/>
      <c r="M26" s="78" t="inlineStr">
        <is>
          <t>Итого</t>
        </is>
      </c>
      <c r="N26" s="79" t="n"/>
      <c r="O26" s="79" t="n"/>
      <c r="P26" s="79" t="n"/>
      <c r="Q26" s="79" t="n"/>
      <c r="R26" s="79" t="n"/>
      <c r="S26" s="80" t="n"/>
      <c r="T26" s="38" t="inlineStr">
        <is>
          <t>кг</t>
        </is>
      </c>
      <c r="U26" s="81">
        <f>IFERROR(SUM(U24:U24),"0")</f>
        <v/>
      </c>
      <c r="V26" s="81">
        <f>IFERROR(SUM(V24:V24),"0")</f>
        <v/>
      </c>
      <c r="W26" s="38" t="n"/>
      <c r="X26" s="82" t="n"/>
      <c r="Y26" s="82" t="n"/>
    </row>
    <row r="27">
      <c r="A27" s="16" t="inlineStr">
        <is>
          <t>Сыровяленые колбасы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" t="n"/>
      <c r="Y27" s="16" t="n"/>
    </row>
    <row r="28">
      <c r="A28" s="17" t="inlineStr">
        <is>
          <t>SU002049</t>
        </is>
      </c>
      <c r="B28" s="17" t="inlineStr">
        <is>
          <t>P002191</t>
        </is>
      </c>
      <c r="C28" s="18" t="n">
        <v>4301170002</v>
      </c>
      <c r="D28" s="19" t="n">
        <v>4607091389111</v>
      </c>
      <c r="E28" s="71" t="n"/>
      <c r="F28" s="72" t="n">
        <v>0.025</v>
      </c>
      <c r="G28" s="21" t="n">
        <v>10</v>
      </c>
      <c r="H28" s="72" t="n">
        <v>0.25</v>
      </c>
      <c r="I28" s="72" t="n">
        <v>0.492</v>
      </c>
      <c r="J28" s="21" t="n">
        <v>156</v>
      </c>
      <c r="K28" s="22" t="inlineStr">
        <is>
          <t>АК</t>
        </is>
      </c>
      <c r="L28" s="21" t="n">
        <v>120</v>
      </c>
      <c r="M28" s="8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28" s="74" t="n"/>
      <c r="O28" s="74" t="n"/>
      <c r="P28" s="74" t="n"/>
      <c r="Q28" s="71" t="n"/>
      <c r="R28" s="26" t="inlineStr"/>
      <c r="S28" s="26" t="inlineStr"/>
      <c r="T28" s="27" t="inlineStr">
        <is>
          <t>кг</t>
        </is>
      </c>
      <c r="U28" s="75" t="n">
        <v>0</v>
      </c>
      <c r="V28" s="76">
        <f>IFERROR(IF(U28="",0,CEILING((U28/$H28),1)*$H28),"")</f>
        <v/>
      </c>
      <c r="W28" s="30">
        <f>IFERROR(IF(V28=0,"",ROUNDUP(V28/H28,0)*0.00753),"")</f>
        <v/>
      </c>
      <c r="X28" s="31" t="inlineStr"/>
      <c r="Y28" s="32" t="inlineStr"/>
    </row>
    <row r="29">
      <c r="A29" s="34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77" t="n"/>
      <c r="M29" s="78" t="inlineStr">
        <is>
          <t>Итого</t>
        </is>
      </c>
      <c r="N29" s="79" t="n"/>
      <c r="O29" s="79" t="n"/>
      <c r="P29" s="79" t="n"/>
      <c r="Q29" s="79" t="n"/>
      <c r="R29" s="79" t="n"/>
      <c r="S29" s="80" t="n"/>
      <c r="T29" s="38" t="inlineStr">
        <is>
          <t>кор</t>
        </is>
      </c>
      <c r="U29" s="81">
        <f>IFERROR(U28/H28,"0")</f>
        <v/>
      </c>
      <c r="V29" s="81">
        <f>IFERROR(V28/H28,"0")</f>
        <v/>
      </c>
      <c r="W29" s="81">
        <f>IFERROR(IF(W28="",0,W28),"0")</f>
        <v/>
      </c>
      <c r="X29" s="82" t="n"/>
      <c r="Y29" s="82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77" t="n"/>
      <c r="M30" s="78" t="inlineStr">
        <is>
          <t>Итого</t>
        </is>
      </c>
      <c r="N30" s="79" t="n"/>
      <c r="O30" s="79" t="n"/>
      <c r="P30" s="79" t="n"/>
      <c r="Q30" s="79" t="n"/>
      <c r="R30" s="79" t="n"/>
      <c r="S30" s="80" t="n"/>
      <c r="T30" s="38" t="inlineStr">
        <is>
          <t>кг</t>
        </is>
      </c>
      <c r="U30" s="81">
        <f>IFERROR(SUM(U28:U28),"0")</f>
        <v/>
      </c>
      <c r="V30" s="81">
        <f>IFERROR(SUM(V28:V28),"0")</f>
        <v/>
      </c>
      <c r="W30" s="38" t="n"/>
      <c r="X30" s="82" t="n"/>
      <c r="Y30" s="82" t="n"/>
    </row>
    <row r="31" ht="20.25" customHeight="1">
      <c r="A31" s="11" t="inlineStr">
        <is>
          <t>Вязанка</t>
        </is>
      </c>
      <c r="B31" s="70" t="n"/>
      <c r="C31" s="70" t="n"/>
      <c r="D31" s="70" t="n"/>
      <c r="E31" s="70" t="n"/>
      <c r="F31" s="70" t="n"/>
      <c r="G31" s="70" t="n"/>
      <c r="H31" s="70" t="n"/>
      <c r="I31" s="7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12" t="n"/>
      <c r="Y31" s="12" t="n"/>
    </row>
    <row r="32">
      <c r="A32" s="14" t="inlineStr">
        <is>
          <t>Столичная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4" t="n"/>
      <c r="Y32" s="14" t="n"/>
    </row>
    <row r="33">
      <c r="A33" s="16" t="inlineStr">
        <is>
          <t>Ветчины</t>
        </is>
      </c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6" t="n"/>
      <c r="Y33" s="16" t="n"/>
    </row>
    <row r="34">
      <c r="A34" s="17" t="inlineStr">
        <is>
          <t>SU002828</t>
        </is>
      </c>
      <c r="B34" s="17" t="inlineStr">
        <is>
          <t>P003234</t>
        </is>
      </c>
      <c r="C34" s="18" t="n">
        <v>4301020234</v>
      </c>
      <c r="D34" s="19" t="n">
        <v>4680115881440</v>
      </c>
      <c r="E34" s="71" t="n"/>
      <c r="F34" s="72" t="n">
        <v>1.35</v>
      </c>
      <c r="G34" s="21" t="n">
        <v>8</v>
      </c>
      <c r="H34" s="72" t="n">
        <v>10.8</v>
      </c>
      <c r="I34" s="72" t="n">
        <v>11.28</v>
      </c>
      <c r="J34" s="21" t="n">
        <v>56</v>
      </c>
      <c r="K34" s="22" t="inlineStr">
        <is>
          <t>СК1</t>
        </is>
      </c>
      <c r="L34" s="21" t="n">
        <v>50</v>
      </c>
      <c r="M34" s="83">
        <f>HYPERLINK("https://abi.ru/products/Охлажденные/Вязанка/Столичная/Ветчины/P003234/","Ветчины «Филейская» Весовые Вектор ТМ «Вязанка»")</f>
        <v/>
      </c>
      <c r="N34" s="74" t="n"/>
      <c r="O34" s="74" t="n"/>
      <c r="P34" s="74" t="n"/>
      <c r="Q34" s="71" t="n"/>
      <c r="R34" s="26" t="inlineStr"/>
      <c r="S34" s="26" t="inlineStr"/>
      <c r="T34" s="27" t="inlineStr">
        <is>
          <t>кг</t>
        </is>
      </c>
      <c r="U34" s="75" t="n">
        <v>0</v>
      </c>
      <c r="V34" s="76">
        <f>IFERROR(IF(U34="",0,CEILING((U34/$H34),1)*$H34),"")</f>
        <v/>
      </c>
      <c r="W34" s="30">
        <f>IFERROR(IF(V34=0,"",ROUNDUP(V34/H34,0)*0.02175),"")</f>
        <v/>
      </c>
      <c r="X34" s="31" t="inlineStr"/>
      <c r="Y34" s="32" t="inlineStr"/>
    </row>
    <row r="35">
      <c r="A35" s="34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77" t="n"/>
      <c r="M35" s="78" t="inlineStr">
        <is>
          <t>Итого</t>
        </is>
      </c>
      <c r="N35" s="79" t="n"/>
      <c r="O35" s="79" t="n"/>
      <c r="P35" s="79" t="n"/>
      <c r="Q35" s="79" t="n"/>
      <c r="R35" s="79" t="n"/>
      <c r="S35" s="80" t="n"/>
      <c r="T35" s="38" t="inlineStr">
        <is>
          <t>кор</t>
        </is>
      </c>
      <c r="U35" s="81">
        <f>IFERROR(U34/H34,"0")</f>
        <v/>
      </c>
      <c r="V35" s="81">
        <f>IFERROR(V34/H34,"0")</f>
        <v/>
      </c>
      <c r="W35" s="81">
        <f>IFERROR(IF(W34="",0,W34),"0")</f>
        <v/>
      </c>
      <c r="X35" s="82" t="n"/>
      <c r="Y35" s="82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77" t="n"/>
      <c r="M36" s="78" t="inlineStr">
        <is>
          <t>Итого</t>
        </is>
      </c>
      <c r="N36" s="79" t="n"/>
      <c r="O36" s="79" t="n"/>
      <c r="P36" s="79" t="n"/>
      <c r="Q36" s="79" t="n"/>
      <c r="R36" s="79" t="n"/>
      <c r="S36" s="80" t="n"/>
      <c r="T36" s="38" t="inlineStr">
        <is>
          <t>кг</t>
        </is>
      </c>
      <c r="U36" s="81">
        <f>IFERROR(SUM(U34:U34),"0")</f>
        <v/>
      </c>
      <c r="V36" s="81">
        <f>IFERROR(SUM(V34:V34),"0")</f>
        <v/>
      </c>
      <c r="W36" s="38" t="n"/>
      <c r="X36" s="82" t="n"/>
      <c r="Y36" s="82" t="n"/>
    </row>
    <row r="37">
      <c r="A37" s="14" t="inlineStr">
        <is>
          <t>Классическая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4" t="n"/>
      <c r="Y37" s="14" t="n"/>
    </row>
    <row r="38">
      <c r="A38" s="16" t="inlineStr">
        <is>
          <t>Вареные колбасы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6" t="n"/>
      <c r="Y38" s="16" t="n"/>
    </row>
    <row r="39">
      <c r="A39" s="17" t="inlineStr">
        <is>
          <t>SU002829</t>
        </is>
      </c>
      <c r="B39" s="17" t="inlineStr">
        <is>
          <t>P003235</t>
        </is>
      </c>
      <c r="C39" s="18" t="n">
        <v>4301011452</v>
      </c>
      <c r="D39" s="19" t="n">
        <v>4680115881426</v>
      </c>
      <c r="E39" s="71" t="n"/>
      <c r="F39" s="72" t="n">
        <v>1.35</v>
      </c>
      <c r="G39" s="21" t="n">
        <v>8</v>
      </c>
      <c r="H39" s="72" t="n">
        <v>10.8</v>
      </c>
      <c r="I39" s="72" t="n">
        <v>11.28</v>
      </c>
      <c r="J39" s="21" t="n">
        <v>56</v>
      </c>
      <c r="K39" s="22" t="inlineStr">
        <is>
          <t>СК1</t>
        </is>
      </c>
      <c r="L39" s="21" t="n">
        <v>50</v>
      </c>
      <c r="M39" s="8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39" s="74" t="n"/>
      <c r="O39" s="74" t="n"/>
      <c r="P39" s="74" t="n"/>
      <c r="Q39" s="71" t="n"/>
      <c r="R39" s="26" t="inlineStr"/>
      <c r="S39" s="26" t="inlineStr"/>
      <c r="T39" s="27" t="inlineStr">
        <is>
          <t>кг</t>
        </is>
      </c>
      <c r="U39" s="84" t="n">
        <v>150</v>
      </c>
      <c r="V39" s="76">
        <f>IFERROR(IF(U39="",0,CEILING((U39/$H39),1)*$H39),"")</f>
        <v/>
      </c>
      <c r="W39" s="30">
        <f>IFERROR(IF(V39=0,"",ROUNDUP(V39/H39,0)*0.02175),"")</f>
        <v/>
      </c>
      <c r="X39" s="31" t="inlineStr"/>
      <c r="Y39" s="32" t="inlineStr"/>
    </row>
    <row r="40">
      <c r="A40" s="17" t="inlineStr">
        <is>
          <t>SU002815</t>
        </is>
      </c>
      <c r="B40" s="17" t="inlineStr">
        <is>
          <t>P003227</t>
        </is>
      </c>
      <c r="C40" s="18" t="n">
        <v>4301011437</v>
      </c>
      <c r="D40" s="19" t="n">
        <v>4680115881419</v>
      </c>
      <c r="E40" s="71" t="n"/>
      <c r="F40" s="72" t="n">
        <v>0.45</v>
      </c>
      <c r="G40" s="21" t="n">
        <v>10</v>
      </c>
      <c r="H40" s="72" t="n">
        <v>4.5</v>
      </c>
      <c r="I40" s="72" t="n">
        <v>4.74</v>
      </c>
      <c r="J40" s="21" t="n">
        <v>120</v>
      </c>
      <c r="K40" s="22" t="inlineStr">
        <is>
          <t>СК1</t>
        </is>
      </c>
      <c r="L40" s="21" t="n">
        <v>50</v>
      </c>
      <c r="M40" s="8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40" s="74" t="n"/>
      <c r="O40" s="74" t="n"/>
      <c r="P40" s="74" t="n"/>
      <c r="Q40" s="71" t="n"/>
      <c r="R40" s="26" t="inlineStr"/>
      <c r="S40" s="26" t="inlineStr"/>
      <c r="T40" s="27" t="inlineStr">
        <is>
          <t>кг</t>
        </is>
      </c>
      <c r="U40" s="75" t="n">
        <v>0</v>
      </c>
      <c r="V40" s="76">
        <f>IFERROR(IF(U40="",0,CEILING((U40/$H40),1)*$H40),"")</f>
        <v/>
      </c>
      <c r="W40" s="30">
        <f>IFERROR(IF(V40=0,"",ROUNDUP(V40/H40,0)*0.00937),"")</f>
        <v/>
      </c>
      <c r="X40" s="31" t="inlineStr"/>
      <c r="Y40" s="32" t="inlineStr"/>
    </row>
    <row r="41">
      <c r="A41" s="17" t="inlineStr">
        <is>
          <t>SU002831</t>
        </is>
      </c>
      <c r="B41" s="17" t="inlineStr">
        <is>
          <t>P003243</t>
        </is>
      </c>
      <c r="C41" s="18" t="n">
        <v>4301011458</v>
      </c>
      <c r="D41" s="19" t="n">
        <v>4680115881525</v>
      </c>
      <c r="E41" s="71" t="n"/>
      <c r="F41" s="72" t="n">
        <v>0.4</v>
      </c>
      <c r="G41" s="21" t="n">
        <v>10</v>
      </c>
      <c r="H41" s="72" t="n">
        <v>4</v>
      </c>
      <c r="I41" s="72" t="n">
        <v>4.24</v>
      </c>
      <c r="J41" s="21" t="n">
        <v>120</v>
      </c>
      <c r="K41" s="22" t="inlineStr">
        <is>
          <t>СК1</t>
        </is>
      </c>
      <c r="L41" s="21" t="n">
        <v>50</v>
      </c>
      <c r="M41" s="73" t="inlineStr">
        <is>
          <t>Колбаса вареная Филейская ТМ Вязанка ТС Классическая полиамид ф/в 0,4 кг</t>
        </is>
      </c>
      <c r="N41" s="74" t="n"/>
      <c r="O41" s="74" t="n"/>
      <c r="P41" s="74" t="n"/>
      <c r="Q41" s="71" t="n"/>
      <c r="R41" s="26" t="inlineStr"/>
      <c r="S41" s="26" t="inlineStr"/>
      <c r="T41" s="27" t="inlineStr">
        <is>
          <t>кг</t>
        </is>
      </c>
      <c r="U41" s="75" t="n">
        <v>0</v>
      </c>
      <c r="V41" s="76">
        <f>IFERROR(IF(U41="",0,CEILING((U41/$H41),1)*$H41),"")</f>
        <v/>
      </c>
      <c r="W41" s="30">
        <f>IFERROR(IF(V41=0,"",ROUNDUP(V41/H41,0)*0.00937),"")</f>
        <v/>
      </c>
      <c r="X41" s="31" t="inlineStr"/>
      <c r="Y41" s="32" t="inlineStr"/>
    </row>
    <row r="42">
      <c r="A42" s="34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77" t="n"/>
      <c r="M42" s="78" t="inlineStr">
        <is>
          <t>Итого</t>
        </is>
      </c>
      <c r="N42" s="79" t="n"/>
      <c r="O42" s="79" t="n"/>
      <c r="P42" s="79" t="n"/>
      <c r="Q42" s="79" t="n"/>
      <c r="R42" s="79" t="n"/>
      <c r="S42" s="80" t="n"/>
      <c r="T42" s="38" t="inlineStr">
        <is>
          <t>кор</t>
        </is>
      </c>
      <c r="U42" s="81">
        <f>IFERROR(U39/H39,"0")+IFERROR(U40/H40,"0")+IFERROR(U41/H41,"0")</f>
        <v/>
      </c>
      <c r="V42" s="81">
        <f>IFERROR(V39/H39,"0")+IFERROR(V40/H40,"0")+IFERROR(V41/H41,"0")</f>
        <v/>
      </c>
      <c r="W42" s="81">
        <f>IFERROR(IF(W39="",0,W39),"0")+IFERROR(IF(W40="",0,W40),"0")+IFERROR(IF(W41="",0,W41),"0")</f>
        <v/>
      </c>
      <c r="X42" s="82" t="n"/>
      <c r="Y42" s="82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77" t="n"/>
      <c r="M43" s="78" t="inlineStr">
        <is>
          <t>Итого</t>
        </is>
      </c>
      <c r="N43" s="79" t="n"/>
      <c r="O43" s="79" t="n"/>
      <c r="P43" s="79" t="n"/>
      <c r="Q43" s="79" t="n"/>
      <c r="R43" s="79" t="n"/>
      <c r="S43" s="80" t="n"/>
      <c r="T43" s="38" t="inlineStr">
        <is>
          <t>кг</t>
        </is>
      </c>
      <c r="U43" s="81">
        <f>IFERROR(SUM(U39:U41),"0")</f>
        <v/>
      </c>
      <c r="V43" s="81">
        <f>IFERROR(SUM(V39:V41),"0")</f>
        <v/>
      </c>
      <c r="W43" s="38" t="n"/>
      <c r="X43" s="82" t="n"/>
      <c r="Y43" s="82" t="n"/>
    </row>
    <row r="44">
      <c r="A44" s="14" t="inlineStr">
        <is>
          <t>Вязанка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4" t="n"/>
      <c r="Y44" s="14" t="n"/>
    </row>
    <row r="45">
      <c r="A45" s="16" t="inlineStr">
        <is>
          <t>Вареные колбасы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6" t="n"/>
      <c r="Y45" s="16" t="n"/>
    </row>
    <row r="46">
      <c r="A46" s="17" t="inlineStr">
        <is>
          <t>SU000124</t>
        </is>
      </c>
      <c r="B46" s="17" t="inlineStr">
        <is>
          <t>P002478</t>
        </is>
      </c>
      <c r="C46" s="18" t="n">
        <v>4301011191</v>
      </c>
      <c r="D46" s="19" t="n">
        <v>4607091382945</v>
      </c>
      <c r="E46" s="71" t="n"/>
      <c r="F46" s="72" t="n">
        <v>1.35</v>
      </c>
      <c r="G46" s="21" t="n">
        <v>8</v>
      </c>
      <c r="H46" s="72" t="n">
        <v>10.8</v>
      </c>
      <c r="I46" s="72" t="n">
        <v>11.28</v>
      </c>
      <c r="J46" s="21" t="n">
        <v>56</v>
      </c>
      <c r="K46" s="22" t="inlineStr">
        <is>
          <t>СК1</t>
        </is>
      </c>
      <c r="L46" s="21" t="n">
        <v>50</v>
      </c>
      <c r="M46" s="83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46" s="74" t="n"/>
      <c r="O46" s="74" t="n"/>
      <c r="P46" s="74" t="n"/>
      <c r="Q46" s="71" t="n"/>
      <c r="R46" s="26" t="inlineStr"/>
      <c r="S46" s="26" t="inlineStr"/>
      <c r="T46" s="27" t="inlineStr">
        <is>
          <t>кг</t>
        </is>
      </c>
      <c r="U46" s="75" t="n">
        <v>0</v>
      </c>
      <c r="V46" s="76">
        <f>IFERROR(IF(U46="",0,CEILING((U46/$H46),1)*$H46),"")</f>
        <v/>
      </c>
      <c r="W46" s="30">
        <f>IFERROR(IF(V46=0,"",ROUNDUP(V46/H46,0)*0.02175),"")</f>
        <v/>
      </c>
      <c r="X46" s="31" t="inlineStr"/>
      <c r="Y46" s="32" t="inlineStr"/>
    </row>
    <row r="47">
      <c r="A47" s="17" t="inlineStr">
        <is>
          <t>SU000722</t>
        </is>
      </c>
      <c r="B47" s="17" t="inlineStr">
        <is>
          <t>P003011</t>
        </is>
      </c>
      <c r="C47" s="18" t="n">
        <v>4301011380</v>
      </c>
      <c r="D47" s="19" t="n">
        <v>4607091385670</v>
      </c>
      <c r="E47" s="71" t="n"/>
      <c r="F47" s="72" t="n">
        <v>1.35</v>
      </c>
      <c r="G47" s="21" t="n">
        <v>8</v>
      </c>
      <c r="H47" s="72" t="n">
        <v>10.8</v>
      </c>
      <c r="I47" s="72" t="n">
        <v>11.28</v>
      </c>
      <c r="J47" s="21" t="n">
        <v>56</v>
      </c>
      <c r="K47" s="22" t="inlineStr">
        <is>
          <t>СК1</t>
        </is>
      </c>
      <c r="L47" s="21" t="n">
        <v>50</v>
      </c>
      <c r="M47" s="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47" s="74" t="n"/>
      <c r="O47" s="74" t="n"/>
      <c r="P47" s="74" t="n"/>
      <c r="Q47" s="71" t="n"/>
      <c r="R47" s="26" t="inlineStr"/>
      <c r="S47" s="26" t="inlineStr"/>
      <c r="T47" s="27" t="inlineStr">
        <is>
          <t>кг</t>
        </is>
      </c>
      <c r="U47" s="75" t="n">
        <v>0</v>
      </c>
      <c r="V47" s="76">
        <f>IFERROR(IF(U47="",0,CEILING((U47/$H47),1)*$H47),"")</f>
        <v/>
      </c>
      <c r="W47" s="30">
        <f>IFERROR(IF(V47=0,"",ROUNDUP(V47/H47,0)*0.02175),"")</f>
        <v/>
      </c>
      <c r="X47" s="31" t="inlineStr"/>
      <c r="Y47" s="32" t="inlineStr"/>
    </row>
    <row r="48">
      <c r="A48" s="17" t="inlineStr">
        <is>
          <t>SU002830</t>
        </is>
      </c>
      <c r="B48" s="17" t="inlineStr">
        <is>
          <t>P003239</t>
        </is>
      </c>
      <c r="C48" s="18" t="n">
        <v>4301011468</v>
      </c>
      <c r="D48" s="19" t="n">
        <v>4680115881327</v>
      </c>
      <c r="E48" s="71" t="n"/>
      <c r="F48" s="72" t="n">
        <v>1.35</v>
      </c>
      <c r="G48" s="21" t="n">
        <v>8</v>
      </c>
      <c r="H48" s="72" t="n">
        <v>10.8</v>
      </c>
      <c r="I48" s="72" t="n">
        <v>11.28</v>
      </c>
      <c r="J48" s="21" t="n">
        <v>56</v>
      </c>
      <c r="K48" s="22" t="inlineStr">
        <is>
          <t>СК4</t>
        </is>
      </c>
      <c r="L48" s="21" t="n">
        <v>50</v>
      </c>
      <c r="M48" s="83">
        <f>HYPERLINK("https://abi.ru/products/Охлажденные/Вязанка/Вязанка/Вареные колбасы/P003239/","Вареные колбасы Молокуша Вязанка Вес п/а Вязанка")</f>
        <v/>
      </c>
      <c r="N48" s="74" t="n"/>
      <c r="O48" s="74" t="n"/>
      <c r="P48" s="74" t="n"/>
      <c r="Q48" s="71" t="n"/>
      <c r="R48" s="26" t="inlineStr"/>
      <c r="S48" s="26" t="inlineStr"/>
      <c r="T48" s="27" t="inlineStr">
        <is>
          <t>кг</t>
        </is>
      </c>
      <c r="U48" s="75" t="n">
        <v>0</v>
      </c>
      <c r="V48" s="76">
        <f>IFERROR(IF(U48="",0,CEILING((U48/$H48),1)*$H48),"")</f>
        <v/>
      </c>
      <c r="W48" s="30">
        <f>IFERROR(IF(V48=0,"",ROUNDUP(V48/H48,0)*0.02175),"")</f>
        <v/>
      </c>
      <c r="X48" s="31" t="inlineStr"/>
      <c r="Y48" s="32" t="inlineStr"/>
    </row>
    <row r="49">
      <c r="A49" s="17" t="inlineStr">
        <is>
          <t>SU001904</t>
        </is>
      </c>
      <c r="B49" s="17" t="inlineStr">
        <is>
          <t>P001681</t>
        </is>
      </c>
      <c r="C49" s="18" t="n">
        <v>4301011348</v>
      </c>
      <c r="D49" s="19" t="n">
        <v>4607091388312</v>
      </c>
      <c r="E49" s="71" t="n"/>
      <c r="F49" s="72" t="n">
        <v>1.35</v>
      </c>
      <c r="G49" s="21" t="n">
        <v>8</v>
      </c>
      <c r="H49" s="72" t="n">
        <v>10.8</v>
      </c>
      <c r="I49" s="72" t="n">
        <v>11.28</v>
      </c>
      <c r="J49" s="21" t="n">
        <v>56</v>
      </c>
      <c r="K49" s="22" t="inlineStr">
        <is>
          <t>СК1</t>
        </is>
      </c>
      <c r="L49" s="21" t="n">
        <v>45</v>
      </c>
      <c r="M49" s="83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49" s="74" t="n"/>
      <c r="O49" s="74" t="n"/>
      <c r="P49" s="74" t="n"/>
      <c r="Q49" s="71" t="n"/>
      <c r="R49" s="26" t="inlineStr"/>
      <c r="S49" s="26" t="inlineStr"/>
      <c r="T49" s="27" t="inlineStr">
        <is>
          <t>кг</t>
        </is>
      </c>
      <c r="U49" s="75" t="n">
        <v>0</v>
      </c>
      <c r="V49" s="76">
        <f>IFERROR(IF(U49="",0,CEILING((U49/$H49),1)*$H49),"")</f>
        <v/>
      </c>
      <c r="W49" s="30">
        <f>IFERROR(IF(V49=0,"",ROUNDUP(V49/H49,0)*0.02175),"")</f>
        <v/>
      </c>
      <c r="X49" s="31" t="inlineStr"/>
      <c r="Y49" s="32" t="inlineStr"/>
    </row>
    <row r="50">
      <c r="A50" s="17" t="inlineStr">
        <is>
          <t>SU002928</t>
        </is>
      </c>
      <c r="B50" s="17" t="inlineStr">
        <is>
          <t>P003357</t>
        </is>
      </c>
      <c r="C50" s="18" t="n">
        <v>4301011514</v>
      </c>
      <c r="D50" s="19" t="n">
        <v>4680115882133</v>
      </c>
      <c r="E50" s="71" t="n"/>
      <c r="F50" s="72" t="n">
        <v>1.35</v>
      </c>
      <c r="G50" s="21" t="n">
        <v>8</v>
      </c>
      <c r="H50" s="72" t="n">
        <v>10.8</v>
      </c>
      <c r="I50" s="72" t="n">
        <v>11.28</v>
      </c>
      <c r="J50" s="21" t="n">
        <v>56</v>
      </c>
      <c r="K50" s="22" t="inlineStr">
        <is>
          <t>СК1</t>
        </is>
      </c>
      <c r="L50" s="21" t="n">
        <v>50</v>
      </c>
      <c r="M50" s="73" t="inlineStr">
        <is>
          <t>Вареные колбасы "Сливушка" Вес П/а ТМ "Вязанка"</t>
        </is>
      </c>
      <c r="N50" s="74" t="n"/>
      <c r="O50" s="74" t="n"/>
      <c r="P50" s="74" t="n"/>
      <c r="Q50" s="71" t="n"/>
      <c r="R50" s="26" t="inlineStr"/>
      <c r="S50" s="26" t="inlineStr"/>
      <c r="T50" s="27" t="inlineStr">
        <is>
          <t>кг</t>
        </is>
      </c>
      <c r="U50" s="75" t="n">
        <v>0</v>
      </c>
      <c r="V50" s="76">
        <f>IFERROR(IF(U50="",0,CEILING((U50/$H50),1)*$H50),"")</f>
        <v/>
      </c>
      <c r="W50" s="30">
        <f>IFERROR(IF(V50=0,"",ROUNDUP(V50/H50,0)*0.02175),"")</f>
        <v/>
      </c>
      <c r="X50" s="31" t="inlineStr"/>
      <c r="Y50" s="32" t="inlineStr"/>
    </row>
    <row r="51">
      <c r="A51" s="17" t="inlineStr">
        <is>
          <t>SU000125</t>
        </is>
      </c>
      <c r="B51" s="17" t="inlineStr">
        <is>
          <t>P002479</t>
        </is>
      </c>
      <c r="C51" s="18" t="n">
        <v>4301011192</v>
      </c>
      <c r="D51" s="19" t="n">
        <v>4607091382952</v>
      </c>
      <c r="E51" s="71" t="n"/>
      <c r="F51" s="72" t="n">
        <v>0.5</v>
      </c>
      <c r="G51" s="21" t="n">
        <v>6</v>
      </c>
      <c r="H51" s="72" t="n">
        <v>3</v>
      </c>
      <c r="I51" s="72" t="n">
        <v>3.2</v>
      </c>
      <c r="J51" s="21" t="n">
        <v>156</v>
      </c>
      <c r="K51" s="22" t="inlineStr">
        <is>
          <t>СК1</t>
        </is>
      </c>
      <c r="L51" s="21" t="n">
        <v>50</v>
      </c>
      <c r="M51" s="8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51" s="74" t="n"/>
      <c r="O51" s="74" t="n"/>
      <c r="P51" s="74" t="n"/>
      <c r="Q51" s="71" t="n"/>
      <c r="R51" s="26" t="inlineStr"/>
      <c r="S51" s="26" t="inlineStr"/>
      <c r="T51" s="27" t="inlineStr">
        <is>
          <t>кг</t>
        </is>
      </c>
      <c r="U51" s="75" t="n">
        <v>0</v>
      </c>
      <c r="V51" s="76">
        <f>IFERROR(IF(U51="",0,CEILING((U51/$H51),1)*$H51),"")</f>
        <v/>
      </c>
      <c r="W51" s="30">
        <f>IFERROR(IF(V51=0,"",ROUNDUP(V51/H51,0)*0.00753),"")</f>
        <v/>
      </c>
      <c r="X51" s="31" t="inlineStr"/>
      <c r="Y51" s="32" t="inlineStr"/>
    </row>
    <row r="52">
      <c r="A52" s="17" t="inlineStr">
        <is>
          <t>SU001485</t>
        </is>
      </c>
      <c r="B52" s="17" t="inlineStr">
        <is>
          <t>P003008</t>
        </is>
      </c>
      <c r="C52" s="18" t="n">
        <v>4301011382</v>
      </c>
      <c r="D52" s="19" t="n">
        <v>4607091385687</v>
      </c>
      <c r="E52" s="71" t="n"/>
      <c r="F52" s="72" t="n">
        <v>0.4</v>
      </c>
      <c r="G52" s="21" t="n">
        <v>10</v>
      </c>
      <c r="H52" s="72" t="n">
        <v>4</v>
      </c>
      <c r="I52" s="72" t="n">
        <v>4.24</v>
      </c>
      <c r="J52" s="21" t="n">
        <v>120</v>
      </c>
      <c r="K52" s="22" t="inlineStr">
        <is>
          <t>СК3</t>
        </is>
      </c>
      <c r="L52" s="21" t="n">
        <v>50</v>
      </c>
      <c r="M52" s="8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52" s="74" t="n"/>
      <c r="O52" s="74" t="n"/>
      <c r="P52" s="74" t="n"/>
      <c r="Q52" s="71" t="n"/>
      <c r="R52" s="26" t="inlineStr"/>
      <c r="S52" s="26" t="inlineStr"/>
      <c r="T52" s="27" t="inlineStr">
        <is>
          <t>кг</t>
        </is>
      </c>
      <c r="U52" s="75" t="n">
        <v>0</v>
      </c>
      <c r="V52" s="76">
        <f>IFERROR(IF(U52="",0,CEILING((U52/$H52),1)*$H52),"")</f>
        <v/>
      </c>
      <c r="W52" s="30">
        <f>IFERROR(IF(V52=0,"",ROUNDUP(V52/H52,0)*0.00937),"")</f>
        <v/>
      </c>
      <c r="X52" s="31" t="inlineStr"/>
      <c r="Y52" s="32" t="inlineStr"/>
    </row>
    <row r="53">
      <c r="A53" s="17" t="inlineStr">
        <is>
          <t>SU002986</t>
        </is>
      </c>
      <c r="B53" s="17" t="inlineStr">
        <is>
          <t>P003429</t>
        </is>
      </c>
      <c r="C53" s="18" t="n">
        <v>4301011565</v>
      </c>
      <c r="D53" s="19" t="n">
        <v>4680115882539</v>
      </c>
      <c r="E53" s="71" t="n"/>
      <c r="F53" s="72" t="n">
        <v>0.37</v>
      </c>
      <c r="G53" s="21" t="n">
        <v>10</v>
      </c>
      <c r="H53" s="72" t="n">
        <v>3.7</v>
      </c>
      <c r="I53" s="72" t="n">
        <v>3.94</v>
      </c>
      <c r="J53" s="21" t="n">
        <v>120</v>
      </c>
      <c r="K53" s="22" t="inlineStr">
        <is>
          <t>СК3</t>
        </is>
      </c>
      <c r="L53" s="21" t="n">
        <v>50</v>
      </c>
      <c r="M53" s="73" t="inlineStr">
        <is>
          <t>Вареные колбасы "Докторская ГОСТ" Фикс.вес 0,37 п/а ТМ "Вязанка"</t>
        </is>
      </c>
      <c r="N53" s="74" t="n"/>
      <c r="O53" s="74" t="n"/>
      <c r="P53" s="74" t="n"/>
      <c r="Q53" s="71" t="n"/>
      <c r="R53" s="26" t="inlineStr"/>
      <c r="S53" s="26" t="inlineStr"/>
      <c r="T53" s="27" t="inlineStr">
        <is>
          <t>кг</t>
        </is>
      </c>
      <c r="U53" s="75" t="n">
        <v>0</v>
      </c>
      <c r="V53" s="76">
        <f>IFERROR(IF(U53="",0,CEILING((U53/$H53),1)*$H53),"")</f>
        <v/>
      </c>
      <c r="W53" s="30">
        <f>IFERROR(IF(V53=0,"",ROUNDUP(V53/H53,0)*0.00937),"")</f>
        <v/>
      </c>
      <c r="X53" s="31" t="inlineStr"/>
      <c r="Y53" s="32" t="inlineStr"/>
    </row>
    <row r="54">
      <c r="A54" s="17" t="inlineStr">
        <is>
          <t>SU002312</t>
        </is>
      </c>
      <c r="B54" s="17" t="inlineStr">
        <is>
          <t>P002577</t>
        </is>
      </c>
      <c r="C54" s="18" t="n">
        <v>4301011344</v>
      </c>
      <c r="D54" s="19" t="n">
        <v>4607091384604</v>
      </c>
      <c r="E54" s="71" t="n"/>
      <c r="F54" s="72" t="n">
        <v>0.4</v>
      </c>
      <c r="G54" s="21" t="n">
        <v>10</v>
      </c>
      <c r="H54" s="72" t="n">
        <v>4</v>
      </c>
      <c r="I54" s="72" t="n">
        <v>4.24</v>
      </c>
      <c r="J54" s="21" t="n">
        <v>120</v>
      </c>
      <c r="K54" s="22" t="inlineStr">
        <is>
          <t>СК1</t>
        </is>
      </c>
      <c r="L54" s="21" t="n">
        <v>50</v>
      </c>
      <c r="M54" s="8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54" s="74" t="n"/>
      <c r="O54" s="74" t="n"/>
      <c r="P54" s="74" t="n"/>
      <c r="Q54" s="71" t="n"/>
      <c r="R54" s="26" t="inlineStr"/>
      <c r="S54" s="26" t="inlineStr"/>
      <c r="T54" s="27" t="inlineStr">
        <is>
          <t>кг</t>
        </is>
      </c>
      <c r="U54" s="75" t="n">
        <v>0</v>
      </c>
      <c r="V54" s="76">
        <f>IFERROR(IF(U54="",0,CEILING((U54/$H54),1)*$H54),"")</f>
        <v/>
      </c>
      <c r="W54" s="30">
        <f>IFERROR(IF(V54=0,"",ROUNDUP(V54/H54,0)*0.00937),"")</f>
        <v/>
      </c>
      <c r="X54" s="31" t="inlineStr"/>
      <c r="Y54" s="32" t="inlineStr"/>
    </row>
    <row r="55">
      <c r="A55" s="17" t="inlineStr">
        <is>
          <t>SU002674</t>
        </is>
      </c>
      <c r="B55" s="17" t="inlineStr">
        <is>
          <t>P003045</t>
        </is>
      </c>
      <c r="C55" s="18" t="n">
        <v>4301011386</v>
      </c>
      <c r="D55" s="19" t="n">
        <v>4680115880283</v>
      </c>
      <c r="E55" s="71" t="n"/>
      <c r="F55" s="72" t="n">
        <v>0.6</v>
      </c>
      <c r="G55" s="21" t="n">
        <v>8</v>
      </c>
      <c r="H55" s="72" t="n">
        <v>4.8</v>
      </c>
      <c r="I55" s="72" t="n">
        <v>5.04</v>
      </c>
      <c r="J55" s="21" t="n">
        <v>120</v>
      </c>
      <c r="K55" s="22" t="inlineStr">
        <is>
          <t>СК1</t>
        </is>
      </c>
      <c r="L55" s="21" t="n">
        <v>45</v>
      </c>
      <c r="M55" s="8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55" s="74" t="n"/>
      <c r="O55" s="74" t="n"/>
      <c r="P55" s="74" t="n"/>
      <c r="Q55" s="71" t="n"/>
      <c r="R55" s="26" t="inlineStr"/>
      <c r="S55" s="26" t="inlineStr"/>
      <c r="T55" s="27" t="inlineStr">
        <is>
          <t>кг</t>
        </is>
      </c>
      <c r="U55" s="75" t="n">
        <v>0</v>
      </c>
      <c r="V55" s="76">
        <f>IFERROR(IF(U55="",0,CEILING((U55/$H55),1)*$H55),"")</f>
        <v/>
      </c>
      <c r="W55" s="30">
        <f>IFERROR(IF(V55=0,"",ROUNDUP(V55/H55,0)*0.00937),"")</f>
        <v/>
      </c>
      <c r="X55" s="31" t="inlineStr"/>
      <c r="Y55" s="32" t="inlineStr"/>
    </row>
    <row r="56">
      <c r="A56" s="17" t="inlineStr">
        <is>
          <t>SU000084</t>
        </is>
      </c>
      <c r="B56" s="17" t="inlineStr">
        <is>
          <t>P003074</t>
        </is>
      </c>
      <c r="C56" s="18" t="n">
        <v>4301011414</v>
      </c>
      <c r="D56" s="19" t="n">
        <v>4607091381986</v>
      </c>
      <c r="E56" s="71" t="n"/>
      <c r="F56" s="72" t="n">
        <v>0.5</v>
      </c>
      <c r="G56" s="21" t="n">
        <v>10</v>
      </c>
      <c r="H56" s="72" t="n">
        <v>5</v>
      </c>
      <c r="I56" s="72" t="n">
        <v>5.24</v>
      </c>
      <c r="J56" s="21" t="n">
        <v>120</v>
      </c>
      <c r="K56" s="22" t="inlineStr">
        <is>
          <t>СК1</t>
        </is>
      </c>
      <c r="L56" s="21" t="n">
        <v>45</v>
      </c>
      <c r="M56" s="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56" s="74" t="n"/>
      <c r="O56" s="74" t="n"/>
      <c r="P56" s="74" t="n"/>
      <c r="Q56" s="71" t="n"/>
      <c r="R56" s="26" t="inlineStr"/>
      <c r="S56" s="26" t="inlineStr"/>
      <c r="T56" s="27" t="inlineStr">
        <is>
          <t>кг</t>
        </is>
      </c>
      <c r="U56" s="75" t="n">
        <v>0</v>
      </c>
      <c r="V56" s="76">
        <f>IFERROR(IF(U56="",0,CEILING((U56/$H56),1)*$H56),"")</f>
        <v/>
      </c>
      <c r="W56" s="30">
        <f>IFERROR(IF(V56=0,"",ROUNDUP(V56/H56,0)*0.00937),"")</f>
        <v/>
      </c>
      <c r="X56" s="31" t="inlineStr"/>
      <c r="Y56" s="32" t="inlineStr"/>
    </row>
    <row r="57">
      <c r="A57" s="17" t="inlineStr">
        <is>
          <t>SU001905</t>
        </is>
      </c>
      <c r="B57" s="17" t="inlineStr">
        <is>
          <t>P001685</t>
        </is>
      </c>
      <c r="C57" s="18" t="n">
        <v>4301011352</v>
      </c>
      <c r="D57" s="19" t="n">
        <v>4607091388466</v>
      </c>
      <c r="E57" s="71" t="n"/>
      <c r="F57" s="72" t="n">
        <v>0.45</v>
      </c>
      <c r="G57" s="21" t="n">
        <v>6</v>
      </c>
      <c r="H57" s="72" t="n">
        <v>2.7</v>
      </c>
      <c r="I57" s="72" t="n">
        <v>2.9</v>
      </c>
      <c r="J57" s="21" t="n">
        <v>156</v>
      </c>
      <c r="K57" s="22" t="inlineStr">
        <is>
          <t>СК3</t>
        </is>
      </c>
      <c r="L57" s="21" t="n">
        <v>45</v>
      </c>
      <c r="M57" s="8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57" s="74" t="n"/>
      <c r="O57" s="74" t="n"/>
      <c r="P57" s="74" t="n"/>
      <c r="Q57" s="71" t="n"/>
      <c r="R57" s="26" t="inlineStr"/>
      <c r="S57" s="26" t="inlineStr"/>
      <c r="T57" s="27" t="inlineStr">
        <is>
          <t>кг</t>
        </is>
      </c>
      <c r="U57" s="75" t="n">
        <v>0</v>
      </c>
      <c r="V57" s="76">
        <f>IFERROR(IF(U57="",0,CEILING((U57/$H57),1)*$H57),"")</f>
        <v/>
      </c>
      <c r="W57" s="30">
        <f>IFERROR(IF(V57=0,"",ROUNDUP(V57/H57,0)*0.00753),"")</f>
        <v/>
      </c>
      <c r="X57" s="31" t="inlineStr"/>
      <c r="Y57" s="32" t="inlineStr"/>
    </row>
    <row r="58">
      <c r="A58" s="17" t="inlineStr">
        <is>
          <t>SU002733</t>
        </is>
      </c>
      <c r="B58" s="17" t="inlineStr">
        <is>
          <t>P003102</t>
        </is>
      </c>
      <c r="C58" s="18" t="n">
        <v>4301011417</v>
      </c>
      <c r="D58" s="19" t="n">
        <v>4680115880269</v>
      </c>
      <c r="E58" s="71" t="n"/>
      <c r="F58" s="72" t="n">
        <v>0.375</v>
      </c>
      <c r="G58" s="21" t="n">
        <v>10</v>
      </c>
      <c r="H58" s="72" t="n">
        <v>3.75</v>
      </c>
      <c r="I58" s="72" t="n">
        <v>3.99</v>
      </c>
      <c r="J58" s="21" t="n">
        <v>120</v>
      </c>
      <c r="K58" s="22" t="inlineStr">
        <is>
          <t>СК3</t>
        </is>
      </c>
      <c r="L58" s="21" t="n">
        <v>50</v>
      </c>
      <c r="M58" s="8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58" s="74" t="n"/>
      <c r="O58" s="74" t="n"/>
      <c r="P58" s="74" t="n"/>
      <c r="Q58" s="71" t="n"/>
      <c r="R58" s="26" t="inlineStr"/>
      <c r="S58" s="26" t="inlineStr"/>
      <c r="T58" s="27" t="inlineStr">
        <is>
          <t>кг</t>
        </is>
      </c>
      <c r="U58" s="75" t="n">
        <v>0</v>
      </c>
      <c r="V58" s="76">
        <f>IFERROR(IF(U58="",0,CEILING((U58/$H58),1)*$H58),"")</f>
        <v/>
      </c>
      <c r="W58" s="30">
        <f>IFERROR(IF(V58=0,"",ROUNDUP(V58/H58,0)*0.00937),"")</f>
        <v/>
      </c>
      <c r="X58" s="31" t="inlineStr"/>
      <c r="Y58" s="32" t="inlineStr"/>
    </row>
    <row r="59">
      <c r="A59" s="17" t="inlineStr">
        <is>
          <t>SU002734</t>
        </is>
      </c>
      <c r="B59" s="17" t="inlineStr">
        <is>
          <t>P003103</t>
        </is>
      </c>
      <c r="C59" s="18" t="n">
        <v>4301011415</v>
      </c>
      <c r="D59" s="19" t="n">
        <v>4680115880429</v>
      </c>
      <c r="E59" s="71" t="n"/>
      <c r="F59" s="72" t="n">
        <v>0.45</v>
      </c>
      <c r="G59" s="21" t="n">
        <v>10</v>
      </c>
      <c r="H59" s="72" t="n">
        <v>4.5</v>
      </c>
      <c r="I59" s="72" t="n">
        <v>4.74</v>
      </c>
      <c r="J59" s="21" t="n">
        <v>120</v>
      </c>
      <c r="K59" s="22" t="inlineStr">
        <is>
          <t>СК3</t>
        </is>
      </c>
      <c r="L59" s="21" t="n">
        <v>50</v>
      </c>
      <c r="M59" s="8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59" s="74" t="n"/>
      <c r="O59" s="74" t="n"/>
      <c r="P59" s="74" t="n"/>
      <c r="Q59" s="71" t="n"/>
      <c r="R59" s="26" t="inlineStr"/>
      <c r="S59" s="26" t="inlineStr"/>
      <c r="T59" s="27" t="inlineStr">
        <is>
          <t>кг</t>
        </is>
      </c>
      <c r="U59" s="75" t="n">
        <v>0</v>
      </c>
      <c r="V59" s="76">
        <f>IFERROR(IF(U59="",0,CEILING((U59/$H59),1)*$H59),"")</f>
        <v/>
      </c>
      <c r="W59" s="30">
        <f>IFERROR(IF(V59=0,"",ROUNDUP(V59/H59,0)*0.00937),"")</f>
        <v/>
      </c>
      <c r="X59" s="31" t="inlineStr"/>
      <c r="Y59" s="32" t="inlineStr"/>
    </row>
    <row r="60">
      <c r="A60" s="17" t="inlineStr">
        <is>
          <t>SU002827</t>
        </is>
      </c>
      <c r="B60" s="17" t="inlineStr">
        <is>
          <t>P003233</t>
        </is>
      </c>
      <c r="C60" s="18" t="n">
        <v>4301011462</v>
      </c>
      <c r="D60" s="19" t="n">
        <v>4680115881457</v>
      </c>
      <c r="E60" s="71" t="n"/>
      <c r="F60" s="72" t="n">
        <v>0.75</v>
      </c>
      <c r="G60" s="21" t="n">
        <v>6</v>
      </c>
      <c r="H60" s="72" t="n">
        <v>4.5</v>
      </c>
      <c r="I60" s="72" t="n">
        <v>4.74</v>
      </c>
      <c r="J60" s="21" t="n">
        <v>120</v>
      </c>
      <c r="K60" s="22" t="inlineStr">
        <is>
          <t>СК3</t>
        </is>
      </c>
      <c r="L60" s="21" t="n">
        <v>50</v>
      </c>
      <c r="M60" s="8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60" s="74" t="n"/>
      <c r="O60" s="74" t="n"/>
      <c r="P60" s="74" t="n"/>
      <c r="Q60" s="71" t="n"/>
      <c r="R60" s="26" t="inlineStr"/>
      <c r="S60" s="26" t="inlineStr"/>
      <c r="T60" s="27" t="inlineStr">
        <is>
          <t>кг</t>
        </is>
      </c>
      <c r="U60" s="75" t="n">
        <v>0</v>
      </c>
      <c r="V60" s="76">
        <f>IFERROR(IF(U60="",0,CEILING((U60/$H60),1)*$H60),"")</f>
        <v/>
      </c>
      <c r="W60" s="30">
        <f>IFERROR(IF(V60=0,"",ROUNDUP(V60/H60,0)*0.00937),"")</f>
        <v/>
      </c>
      <c r="X60" s="31" t="inlineStr"/>
      <c r="Y60" s="32" t="inlineStr"/>
    </row>
    <row r="61">
      <c r="A61" s="34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77" t="n"/>
      <c r="M61" s="78" t="inlineStr">
        <is>
          <t>Итого</t>
        </is>
      </c>
      <c r="N61" s="79" t="n"/>
      <c r="O61" s="79" t="n"/>
      <c r="P61" s="79" t="n"/>
      <c r="Q61" s="79" t="n"/>
      <c r="R61" s="79" t="n"/>
      <c r="S61" s="80" t="n"/>
      <c r="T61" s="38" t="inlineStr">
        <is>
          <t>кор</t>
        </is>
      </c>
      <c r="U61" s="81">
        <f>IFERROR(U46/H46,"0")+IFERROR(U47/H47,"0")+IFERROR(U48/H48,"0")+IFERROR(U49/H49,"0")+IFERROR(U50/H50,"0")+IFERROR(U51/H51,"0")+IFERROR(U52/H52,"0")+IFERROR(U53/H53,"0")+IFERROR(U54/H54,"0")+IFERROR(U55/H55,"0")+IFERROR(U56/H56,"0")+IFERROR(U57/H57,"0")+IFERROR(U58/H58,"0")+IFERROR(U59/H59,"0")+IFERROR(U60/H60,"0")</f>
        <v/>
      </c>
      <c r="V61" s="81">
        <f>IFERROR(V46/H46,"0")+IFERROR(V47/H47,"0")+IFERROR(V48/H48,"0")+IFERROR(V49/H49,"0")+IFERROR(V50/H50,"0")+IFERROR(V51/H51,"0")+IFERROR(V52/H52,"0")+IFERROR(V53/H53,"0")+IFERROR(V54/H54,"0")+IFERROR(V55/H55,"0")+IFERROR(V56/H56,"0")+IFERROR(V57/H57,"0")+IFERROR(V58/H58,"0")+IFERROR(V59/H59,"0")+IFERROR(V60/H60,"0")</f>
        <v/>
      </c>
      <c r="W61" s="81">
        <f>IFERROR(IF(W46="",0,W46),"0")+IFERROR(IF(W47="",0,W47),"0")+IFERROR(IF(W48="",0,W48),"0")+IFERROR(IF(W49="",0,W49),"0")+IFERROR(IF(W50="",0,W50),"0")+IFERROR(IF(W51="",0,W51),"0")+IFERROR(IF(W52="",0,W52),"0")+IFERROR(IF(W53="",0,W53),"0")+IFERROR(IF(W54="",0,W54),"0")+IFERROR(IF(W55="",0,W55),"0")+IFERROR(IF(W56="",0,W56),"0")+IFERROR(IF(W57="",0,W57),"0")+IFERROR(IF(W58="",0,W58),"0")+IFERROR(IF(W59="",0,W59),"0")+IFERROR(IF(W60="",0,W60),"0")</f>
        <v/>
      </c>
      <c r="X61" s="82" t="n"/>
      <c r="Y61" s="82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77" t="n"/>
      <c r="M62" s="78" t="inlineStr">
        <is>
          <t>Итого</t>
        </is>
      </c>
      <c r="N62" s="79" t="n"/>
      <c r="O62" s="79" t="n"/>
      <c r="P62" s="79" t="n"/>
      <c r="Q62" s="79" t="n"/>
      <c r="R62" s="79" t="n"/>
      <c r="S62" s="80" t="n"/>
      <c r="T62" s="38" t="inlineStr">
        <is>
          <t>кг</t>
        </is>
      </c>
      <c r="U62" s="81">
        <f>IFERROR(SUM(U46:U60),"0")</f>
        <v/>
      </c>
      <c r="V62" s="81">
        <f>IFERROR(SUM(V46:V60),"0")</f>
        <v/>
      </c>
      <c r="W62" s="38" t="n"/>
      <c r="X62" s="82" t="n"/>
      <c r="Y62" s="82" t="n"/>
    </row>
    <row r="63">
      <c r="A63" s="16" t="inlineStr">
        <is>
          <t>Ветчины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6" t="n"/>
      <c r="Y63" s="16" t="n"/>
    </row>
    <row r="64">
      <c r="A64" s="17" t="inlineStr">
        <is>
          <t>SU001944</t>
        </is>
      </c>
      <c r="B64" s="17" t="inlineStr">
        <is>
          <t>P001620</t>
        </is>
      </c>
      <c r="C64" s="18" t="n">
        <v>4301020204</v>
      </c>
      <c r="D64" s="19" t="n">
        <v>4607091388442</v>
      </c>
      <c r="E64" s="71" t="n"/>
      <c r="F64" s="72" t="n">
        <v>1.35</v>
      </c>
      <c r="G64" s="21" t="n">
        <v>8</v>
      </c>
      <c r="H64" s="72" t="n">
        <v>10.8</v>
      </c>
      <c r="I64" s="72" t="n">
        <v>11.28</v>
      </c>
      <c r="J64" s="21" t="n">
        <v>56</v>
      </c>
      <c r="K64" s="22" t="inlineStr">
        <is>
          <t>СК1</t>
        </is>
      </c>
      <c r="L64" s="21" t="n">
        <v>45</v>
      </c>
      <c r="M64" s="8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64" s="74" t="n"/>
      <c r="O64" s="74" t="n"/>
      <c r="P64" s="74" t="n"/>
      <c r="Q64" s="71" t="n"/>
      <c r="R64" s="26" t="inlineStr"/>
      <c r="S64" s="26" t="inlineStr"/>
      <c r="T64" s="27" t="inlineStr">
        <is>
          <t>кг</t>
        </is>
      </c>
      <c r="U64" s="75" t="n">
        <v>0</v>
      </c>
      <c r="V64" s="76">
        <f>IFERROR(IF(U64="",0,CEILING((U64/$H64),1)*$H64),"")</f>
        <v/>
      </c>
      <c r="W64" s="30">
        <f>IFERROR(IF(V64=0,"",ROUNDUP(V64/H64,0)*0.02175),"")</f>
        <v/>
      </c>
      <c r="X64" s="31" t="inlineStr"/>
      <c r="Y64" s="32" t="inlineStr"/>
    </row>
    <row r="65">
      <c r="A65" s="17" t="inlineStr">
        <is>
          <t>SU002488</t>
        </is>
      </c>
      <c r="B65" s="17" t="inlineStr">
        <is>
          <t>P002800</t>
        </is>
      </c>
      <c r="C65" s="18" t="n">
        <v>4301020189</v>
      </c>
      <c r="D65" s="19" t="n">
        <v>4607091384789</v>
      </c>
      <c r="E65" s="71" t="n"/>
      <c r="F65" s="72" t="n">
        <v>1</v>
      </c>
      <c r="G65" s="21" t="n">
        <v>6</v>
      </c>
      <c r="H65" s="72" t="n">
        <v>6</v>
      </c>
      <c r="I65" s="72" t="n">
        <v>6.36</v>
      </c>
      <c r="J65" s="21" t="n">
        <v>104</v>
      </c>
      <c r="K65" s="22" t="inlineStr">
        <is>
          <t>СК1</t>
        </is>
      </c>
      <c r="L65" s="21" t="n">
        <v>45</v>
      </c>
      <c r="M65" s="73" t="inlineStr">
        <is>
          <t>Ветчины Запекуша с сочным окороком Вязанка Весовые П/а Вязанка</t>
        </is>
      </c>
      <c r="N65" s="74" t="n"/>
      <c r="O65" s="74" t="n"/>
      <c r="P65" s="74" t="n"/>
      <c r="Q65" s="71" t="n"/>
      <c r="R65" s="26" t="inlineStr"/>
      <c r="S65" s="26" t="inlineStr"/>
      <c r="T65" s="27" t="inlineStr">
        <is>
          <t>кг</t>
        </is>
      </c>
      <c r="U65" s="75" t="n">
        <v>0</v>
      </c>
      <c r="V65" s="76">
        <f>IFERROR(IF(U65="",0,CEILING((U65/$H65),1)*$H65),"")</f>
        <v/>
      </c>
      <c r="W65" s="30">
        <f>IFERROR(IF(V65=0,"",ROUNDUP(V65/H65,0)*0.01196),"")</f>
        <v/>
      </c>
      <c r="X65" s="31" t="inlineStr"/>
      <c r="Y65" s="32" t="inlineStr"/>
    </row>
    <row r="66">
      <c r="A66" s="17" t="inlineStr">
        <is>
          <t>SU002833</t>
        </is>
      </c>
      <c r="B66" s="17" t="inlineStr">
        <is>
          <t>P003236</t>
        </is>
      </c>
      <c r="C66" s="18" t="n">
        <v>4301020235</v>
      </c>
      <c r="D66" s="19" t="n">
        <v>4680115881488</v>
      </c>
      <c r="E66" s="71" t="n"/>
      <c r="F66" s="72" t="n">
        <v>1.35</v>
      </c>
      <c r="G66" s="21" t="n">
        <v>8</v>
      </c>
      <c r="H66" s="72" t="n">
        <v>10.8</v>
      </c>
      <c r="I66" s="72" t="n">
        <v>11.28</v>
      </c>
      <c r="J66" s="21" t="n">
        <v>48</v>
      </c>
      <c r="K66" s="22" t="inlineStr">
        <is>
          <t>СК1</t>
        </is>
      </c>
      <c r="L66" s="21" t="n">
        <v>50</v>
      </c>
      <c r="M66" s="83">
        <f>HYPERLINK("https://abi.ru/products/Охлажденные/Вязанка/Вязанка/Ветчины/P003236/","Ветчины Сливушка с индейкой Вязанка вес П/а Вязанка")</f>
        <v/>
      </c>
      <c r="N66" s="74" t="n"/>
      <c r="O66" s="74" t="n"/>
      <c r="P66" s="74" t="n"/>
      <c r="Q66" s="71" t="n"/>
      <c r="R66" s="26" t="inlineStr"/>
      <c r="S66" s="26" t="inlineStr"/>
      <c r="T66" s="27" t="inlineStr">
        <is>
          <t>кг</t>
        </is>
      </c>
      <c r="U66" s="75" t="n">
        <v>0</v>
      </c>
      <c r="V66" s="76">
        <f>IFERROR(IF(U66="",0,CEILING((U66/$H66),1)*$H66),"")</f>
        <v/>
      </c>
      <c r="W66" s="30">
        <f>IFERROR(IF(V66=0,"",ROUNDUP(V66/H66,0)*0.02175),"")</f>
        <v/>
      </c>
      <c r="X66" s="31" t="inlineStr"/>
      <c r="Y66" s="32" t="inlineStr"/>
    </row>
    <row r="67">
      <c r="A67" s="17" t="inlineStr">
        <is>
          <t>SU002313</t>
        </is>
      </c>
      <c r="B67" s="17" t="inlineStr">
        <is>
          <t>P002583</t>
        </is>
      </c>
      <c r="C67" s="18" t="n">
        <v>4301020183</v>
      </c>
      <c r="D67" s="19" t="n">
        <v>4607091384765</v>
      </c>
      <c r="E67" s="71" t="n"/>
      <c r="F67" s="72" t="n">
        <v>0.42</v>
      </c>
      <c r="G67" s="21" t="n">
        <v>6</v>
      </c>
      <c r="H67" s="72" t="n">
        <v>2.52</v>
      </c>
      <c r="I67" s="72" t="n">
        <v>2.72</v>
      </c>
      <c r="J67" s="21" t="n">
        <v>156</v>
      </c>
      <c r="K67" s="22" t="inlineStr">
        <is>
          <t>СК1</t>
        </is>
      </c>
      <c r="L67" s="21" t="n">
        <v>45</v>
      </c>
      <c r="M67" s="73" t="inlineStr">
        <is>
          <t>Ветчины Запекуша с сочным окороком Вязанка Фикс.вес 0,42 п/а Вязанка</t>
        </is>
      </c>
      <c r="N67" s="74" t="n"/>
      <c r="O67" s="74" t="n"/>
      <c r="P67" s="74" t="n"/>
      <c r="Q67" s="71" t="n"/>
      <c r="R67" s="26" t="inlineStr"/>
      <c r="S67" s="26" t="inlineStr"/>
      <c r="T67" s="27" t="inlineStr">
        <is>
          <t>кг</t>
        </is>
      </c>
      <c r="U67" s="75" t="n">
        <v>0</v>
      </c>
      <c r="V67" s="76">
        <f>IFERROR(IF(U67="",0,CEILING((U67/$H67),1)*$H67),"")</f>
        <v/>
      </c>
      <c r="W67" s="30">
        <f>IFERROR(IF(V67=0,"",ROUNDUP(V67/H67,0)*0.00753),"")</f>
        <v/>
      </c>
      <c r="X67" s="31" t="inlineStr"/>
      <c r="Y67" s="32" t="inlineStr"/>
    </row>
    <row r="68">
      <c r="A68" s="17" t="inlineStr">
        <is>
          <t>SU002735</t>
        </is>
      </c>
      <c r="B68" s="17" t="inlineStr">
        <is>
          <t>P003107</t>
        </is>
      </c>
      <c r="C68" s="18" t="n">
        <v>4301020217</v>
      </c>
      <c r="D68" s="19" t="n">
        <v>4680115880658</v>
      </c>
      <c r="E68" s="71" t="n"/>
      <c r="F68" s="72" t="n">
        <v>0.4</v>
      </c>
      <c r="G68" s="21" t="n">
        <v>6</v>
      </c>
      <c r="H68" s="72" t="n">
        <v>2.4</v>
      </c>
      <c r="I68" s="72" t="n">
        <v>2.6</v>
      </c>
      <c r="J68" s="21" t="n">
        <v>156</v>
      </c>
      <c r="K68" s="22" t="inlineStr">
        <is>
          <t>СК1</t>
        </is>
      </c>
      <c r="L68" s="21" t="n">
        <v>50</v>
      </c>
      <c r="M68" s="8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68" s="74" t="n"/>
      <c r="O68" s="74" t="n"/>
      <c r="P68" s="74" t="n"/>
      <c r="Q68" s="71" t="n"/>
      <c r="R68" s="26" t="inlineStr"/>
      <c r="S68" s="26" t="inlineStr"/>
      <c r="T68" s="27" t="inlineStr">
        <is>
          <t>кг</t>
        </is>
      </c>
      <c r="U68" s="75" t="n">
        <v>0</v>
      </c>
      <c r="V68" s="76">
        <f>IFERROR(IF(U68="",0,CEILING((U68/$H68),1)*$H68),"")</f>
        <v/>
      </c>
      <c r="W68" s="30">
        <f>IFERROR(IF(V68=0,"",ROUNDUP(V68/H68,0)*0.00753),"")</f>
        <v/>
      </c>
      <c r="X68" s="31" t="inlineStr"/>
      <c r="Y68" s="32" t="inlineStr"/>
    </row>
    <row r="69">
      <c r="A69" s="17" t="inlineStr">
        <is>
          <t>SU000082</t>
        </is>
      </c>
      <c r="B69" s="17" t="inlineStr">
        <is>
          <t>P003164</t>
        </is>
      </c>
      <c r="C69" s="18" t="n">
        <v>4301020223</v>
      </c>
      <c r="D69" s="19" t="n">
        <v>4607091381962</v>
      </c>
      <c r="E69" s="71" t="n"/>
      <c r="F69" s="72" t="n">
        <v>0.5</v>
      </c>
      <c r="G69" s="21" t="n">
        <v>6</v>
      </c>
      <c r="H69" s="72" t="n">
        <v>3</v>
      </c>
      <c r="I69" s="72" t="n">
        <v>3.2</v>
      </c>
      <c r="J69" s="21" t="n">
        <v>156</v>
      </c>
      <c r="K69" s="22" t="inlineStr">
        <is>
          <t>СК1</t>
        </is>
      </c>
      <c r="L69" s="21" t="n">
        <v>50</v>
      </c>
      <c r="M69" s="83">
        <f>HYPERLINK("https://abi.ru/products/Охлажденные/Вязанка/Вязанка/Ветчины/P003164/","Ветчины Столичная Вязанка Фикс.вес 0,5 Вектор Вязанка")</f>
        <v/>
      </c>
      <c r="N69" s="74" t="n"/>
      <c r="O69" s="74" t="n"/>
      <c r="P69" s="74" t="n"/>
      <c r="Q69" s="71" t="n"/>
      <c r="R69" s="26" t="inlineStr"/>
      <c r="S69" s="26" t="inlineStr"/>
      <c r="T69" s="27" t="inlineStr">
        <is>
          <t>кг</t>
        </is>
      </c>
      <c r="U69" s="75" t="n">
        <v>0</v>
      </c>
      <c r="V69" s="76">
        <f>IFERROR(IF(U69="",0,CEILING((U69/$H69),1)*$H69),"")</f>
        <v/>
      </c>
      <c r="W69" s="30">
        <f>IFERROR(IF(V69=0,"",ROUNDUP(V69/H69,0)*0.00753),"")</f>
        <v/>
      </c>
      <c r="X69" s="31" t="inlineStr"/>
      <c r="Y69" s="32" t="inlineStr"/>
    </row>
    <row r="70">
      <c r="A70" s="34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77" t="n"/>
      <c r="M70" s="78" t="inlineStr">
        <is>
          <t>Итого</t>
        </is>
      </c>
      <c r="N70" s="79" t="n"/>
      <c r="O70" s="79" t="n"/>
      <c r="P70" s="79" t="n"/>
      <c r="Q70" s="79" t="n"/>
      <c r="R70" s="79" t="n"/>
      <c r="S70" s="80" t="n"/>
      <c r="T70" s="38" t="inlineStr">
        <is>
          <t>кор</t>
        </is>
      </c>
      <c r="U70" s="81">
        <f>IFERROR(U64/H64,"0")+IFERROR(U65/H65,"0")+IFERROR(U66/H66,"0")+IFERROR(U67/H67,"0")+IFERROR(U68/H68,"0")+IFERROR(U69/H69,"0")</f>
        <v/>
      </c>
      <c r="V70" s="81">
        <f>IFERROR(V64/H64,"0")+IFERROR(V65/H65,"0")+IFERROR(V66/H66,"0")+IFERROR(V67/H67,"0")+IFERROR(V68/H68,"0")+IFERROR(V69/H69,"0")</f>
        <v/>
      </c>
      <c r="W70" s="81">
        <f>IFERROR(IF(W64="",0,W64),"0")+IFERROR(IF(W65="",0,W65),"0")+IFERROR(IF(W66="",0,W66),"0")+IFERROR(IF(W67="",0,W67),"0")+IFERROR(IF(W68="",0,W68),"0")+IFERROR(IF(W69="",0,W69),"0")</f>
        <v/>
      </c>
      <c r="X70" s="82" t="n"/>
      <c r="Y70" s="82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77" t="n"/>
      <c r="M71" s="78" t="inlineStr">
        <is>
          <t>Итого</t>
        </is>
      </c>
      <c r="N71" s="79" t="n"/>
      <c r="O71" s="79" t="n"/>
      <c r="P71" s="79" t="n"/>
      <c r="Q71" s="79" t="n"/>
      <c r="R71" s="79" t="n"/>
      <c r="S71" s="80" t="n"/>
      <c r="T71" s="38" t="inlineStr">
        <is>
          <t>кг</t>
        </is>
      </c>
      <c r="U71" s="81">
        <f>IFERROR(SUM(U64:U69),"0")</f>
        <v/>
      </c>
      <c r="V71" s="81">
        <f>IFERROR(SUM(V64:V69),"0")</f>
        <v/>
      </c>
      <c r="W71" s="38" t="n"/>
      <c r="X71" s="82" t="n"/>
      <c r="Y71" s="82" t="n"/>
    </row>
    <row r="72">
      <c r="A72" s="16" t="inlineStr">
        <is>
          <t>Копченые колбасы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" t="n"/>
      <c r="Y72" s="16" t="n"/>
    </row>
    <row r="73">
      <c r="A73" s="17" t="inlineStr">
        <is>
          <t>SU000064</t>
        </is>
      </c>
      <c r="B73" s="17" t="inlineStr">
        <is>
          <t>P001841</t>
        </is>
      </c>
      <c r="C73" s="18" t="n">
        <v>4301030895</v>
      </c>
      <c r="D73" s="19" t="n">
        <v>4607091387667</v>
      </c>
      <c r="E73" s="71" t="n"/>
      <c r="F73" s="72" t="n">
        <v>0.9</v>
      </c>
      <c r="G73" s="21" t="n">
        <v>10</v>
      </c>
      <c r="H73" s="72" t="n">
        <v>9</v>
      </c>
      <c r="I73" s="72" t="n">
        <v>9.630000000000001</v>
      </c>
      <c r="J73" s="21" t="n">
        <v>56</v>
      </c>
      <c r="K73" s="22" t="inlineStr">
        <is>
          <t>СК1</t>
        </is>
      </c>
      <c r="L73" s="21" t="n">
        <v>40</v>
      </c>
      <c r="M73" s="8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73" s="74" t="n"/>
      <c r="O73" s="74" t="n"/>
      <c r="P73" s="74" t="n"/>
      <c r="Q73" s="71" t="n"/>
      <c r="R73" s="26" t="inlineStr"/>
      <c r="S73" s="26" t="inlineStr"/>
      <c r="T73" s="27" t="inlineStr">
        <is>
          <t>кг</t>
        </is>
      </c>
      <c r="U73" s="75" t="n">
        <v>0</v>
      </c>
      <c r="V73" s="76">
        <f>IFERROR(IF(U73="",0,CEILING((U73/$H73),1)*$H73),"")</f>
        <v/>
      </c>
      <c r="W73" s="30">
        <f>IFERROR(IF(V73=0,"",ROUNDUP(V73/H73,0)*0.02175),"")</f>
        <v/>
      </c>
      <c r="X73" s="31" t="inlineStr"/>
      <c r="Y73" s="32" t="inlineStr"/>
    </row>
    <row r="74">
      <c r="A74" s="17" t="inlineStr">
        <is>
          <t>SU000664</t>
        </is>
      </c>
      <c r="B74" s="17" t="inlineStr">
        <is>
          <t>P002177</t>
        </is>
      </c>
      <c r="C74" s="18" t="n">
        <v>4301030961</v>
      </c>
      <c r="D74" s="19" t="n">
        <v>4607091387636</v>
      </c>
      <c r="E74" s="71" t="n"/>
      <c r="F74" s="72" t="n">
        <v>0.7</v>
      </c>
      <c r="G74" s="21" t="n">
        <v>6</v>
      </c>
      <c r="H74" s="72" t="n">
        <v>4.2</v>
      </c>
      <c r="I74" s="72" t="n">
        <v>4.5</v>
      </c>
      <c r="J74" s="21" t="n">
        <v>120</v>
      </c>
      <c r="K74" s="22" t="inlineStr">
        <is>
          <t>СК2</t>
        </is>
      </c>
      <c r="L74" s="21" t="n">
        <v>40</v>
      </c>
      <c r="M74" s="8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74" s="74" t="n"/>
      <c r="O74" s="74" t="n"/>
      <c r="P74" s="74" t="n"/>
      <c r="Q74" s="71" t="n"/>
      <c r="R74" s="26" t="inlineStr"/>
      <c r="S74" s="26" t="inlineStr"/>
      <c r="T74" s="27" t="inlineStr">
        <is>
          <t>кг</t>
        </is>
      </c>
      <c r="U74" s="75" t="n">
        <v>0</v>
      </c>
      <c r="V74" s="76">
        <f>IFERROR(IF(U74="",0,CEILING((U74/$H74),1)*$H74),"")</f>
        <v/>
      </c>
      <c r="W74" s="30">
        <f>IFERROR(IF(V74=0,"",ROUNDUP(V74/H74,0)*0.00937),"")</f>
        <v/>
      </c>
      <c r="X74" s="31" t="inlineStr"/>
      <c r="Y74" s="32" t="inlineStr"/>
    </row>
    <row r="75">
      <c r="A75" s="17" t="inlineStr">
        <is>
          <t>SU002308</t>
        </is>
      </c>
      <c r="B75" s="17" t="inlineStr">
        <is>
          <t>P002572</t>
        </is>
      </c>
      <c r="C75" s="18" t="n">
        <v>4301031078</v>
      </c>
      <c r="D75" s="19" t="n">
        <v>4607091384727</v>
      </c>
      <c r="E75" s="71" t="n"/>
      <c r="F75" s="72" t="n">
        <v>0.8</v>
      </c>
      <c r="G75" s="21" t="n">
        <v>6</v>
      </c>
      <c r="H75" s="72" t="n">
        <v>4.8</v>
      </c>
      <c r="I75" s="72" t="n">
        <v>5.16</v>
      </c>
      <c r="J75" s="21" t="n">
        <v>104</v>
      </c>
      <c r="K75" s="22" t="inlineStr">
        <is>
          <t>СК2</t>
        </is>
      </c>
      <c r="L75" s="21" t="n">
        <v>45</v>
      </c>
      <c r="M75" s="8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75" s="74" t="n"/>
      <c r="O75" s="74" t="n"/>
      <c r="P75" s="74" t="n"/>
      <c r="Q75" s="71" t="n"/>
      <c r="R75" s="26" t="inlineStr"/>
      <c r="S75" s="26" t="inlineStr"/>
      <c r="T75" s="27" t="inlineStr">
        <is>
          <t>кг</t>
        </is>
      </c>
      <c r="U75" s="75" t="n">
        <v>0</v>
      </c>
      <c r="V75" s="76">
        <f>IFERROR(IF(U75="",0,CEILING((U75/$H75),1)*$H75),"")</f>
        <v/>
      </c>
      <c r="W75" s="30">
        <f>IFERROR(IF(V75=0,"",ROUNDUP(V75/H75,0)*0.01196),"")</f>
        <v/>
      </c>
      <c r="X75" s="31" t="inlineStr"/>
      <c r="Y75" s="32" t="inlineStr"/>
    </row>
    <row r="76">
      <c r="A76" s="17" t="inlineStr">
        <is>
          <t>SU002310</t>
        </is>
      </c>
      <c r="B76" s="17" t="inlineStr">
        <is>
          <t>P002574</t>
        </is>
      </c>
      <c r="C76" s="18" t="n">
        <v>4301031080</v>
      </c>
      <c r="D76" s="19" t="n">
        <v>4607091386745</v>
      </c>
      <c r="E76" s="71" t="n"/>
      <c r="F76" s="72" t="n">
        <v>0.8</v>
      </c>
      <c r="G76" s="21" t="n">
        <v>6</v>
      </c>
      <c r="H76" s="72" t="n">
        <v>4.8</v>
      </c>
      <c r="I76" s="72" t="n">
        <v>5.16</v>
      </c>
      <c r="J76" s="21" t="n">
        <v>104</v>
      </c>
      <c r="K76" s="22" t="inlineStr">
        <is>
          <t>СК2</t>
        </is>
      </c>
      <c r="L76" s="21" t="n">
        <v>45</v>
      </c>
      <c r="M76" s="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76" s="74" t="n"/>
      <c r="O76" s="74" t="n"/>
      <c r="P76" s="74" t="n"/>
      <c r="Q76" s="71" t="n"/>
      <c r="R76" s="26" t="inlineStr"/>
      <c r="S76" s="26" t="inlineStr"/>
      <c r="T76" s="27" t="inlineStr">
        <is>
          <t>кг</t>
        </is>
      </c>
      <c r="U76" s="75" t="n">
        <v>0</v>
      </c>
      <c r="V76" s="76">
        <f>IFERROR(IF(U76="",0,CEILING((U76/$H76),1)*$H76),"")</f>
        <v/>
      </c>
      <c r="W76" s="30">
        <f>IFERROR(IF(V76=0,"",ROUNDUP(V76/H76,0)*0.01196),"")</f>
        <v/>
      </c>
      <c r="X76" s="31" t="inlineStr"/>
      <c r="Y76" s="32" t="inlineStr"/>
    </row>
    <row r="77">
      <c r="A77" s="17" t="inlineStr">
        <is>
          <t>SU000097</t>
        </is>
      </c>
      <c r="B77" s="17" t="inlineStr">
        <is>
          <t>P002179</t>
        </is>
      </c>
      <c r="C77" s="18" t="n">
        <v>4301030963</v>
      </c>
      <c r="D77" s="19" t="n">
        <v>4607091382426</v>
      </c>
      <c r="E77" s="71" t="n"/>
      <c r="F77" s="72" t="n">
        <v>0.9</v>
      </c>
      <c r="G77" s="21" t="n">
        <v>10</v>
      </c>
      <c r="H77" s="72" t="n">
        <v>9</v>
      </c>
      <c r="I77" s="72" t="n">
        <v>9.630000000000001</v>
      </c>
      <c r="J77" s="21" t="n">
        <v>56</v>
      </c>
      <c r="K77" s="22" t="inlineStr">
        <is>
          <t>СК2</t>
        </is>
      </c>
      <c r="L77" s="21" t="n">
        <v>40</v>
      </c>
      <c r="M77" s="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77" s="74" t="n"/>
      <c r="O77" s="74" t="n"/>
      <c r="P77" s="74" t="n"/>
      <c r="Q77" s="71" t="n"/>
      <c r="R77" s="26" t="inlineStr"/>
      <c r="S77" s="26" t="inlineStr"/>
      <c r="T77" s="27" t="inlineStr">
        <is>
          <t>кг</t>
        </is>
      </c>
      <c r="U77" s="75" t="n">
        <v>0</v>
      </c>
      <c r="V77" s="76">
        <f>IFERROR(IF(U77="",0,CEILING((U77/$H77),1)*$H77),"")</f>
        <v/>
      </c>
      <c r="W77" s="30">
        <f>IFERROR(IF(V77=0,"",ROUNDUP(V77/H77,0)*0.02175),"")</f>
        <v/>
      </c>
      <c r="X77" s="31" t="inlineStr"/>
      <c r="Y77" s="32" t="inlineStr"/>
    </row>
    <row r="78">
      <c r="A78" s="17" t="inlineStr">
        <is>
          <t>SU000665</t>
        </is>
      </c>
      <c r="B78" s="17" t="inlineStr">
        <is>
          <t>P002178</t>
        </is>
      </c>
      <c r="C78" s="18" t="n">
        <v>4301030962</v>
      </c>
      <c r="D78" s="19" t="n">
        <v>4607091386547</v>
      </c>
      <c r="E78" s="71" t="n"/>
      <c r="F78" s="72" t="n">
        <v>0.35</v>
      </c>
      <c r="G78" s="21" t="n">
        <v>8</v>
      </c>
      <c r="H78" s="72" t="n">
        <v>2.8</v>
      </c>
      <c r="I78" s="72" t="n">
        <v>2.94</v>
      </c>
      <c r="J78" s="21" t="n">
        <v>234</v>
      </c>
      <c r="K78" s="22" t="inlineStr">
        <is>
          <t>СК2</t>
        </is>
      </c>
      <c r="L78" s="21" t="n">
        <v>40</v>
      </c>
      <c r="M78" s="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78" s="74" t="n"/>
      <c r="O78" s="74" t="n"/>
      <c r="P78" s="74" t="n"/>
      <c r="Q78" s="71" t="n"/>
      <c r="R78" s="26" t="inlineStr"/>
      <c r="S78" s="26" t="inlineStr"/>
      <c r="T78" s="27" t="inlineStr">
        <is>
          <t>кг</t>
        </is>
      </c>
      <c r="U78" s="75" t="n">
        <v>0</v>
      </c>
      <c r="V78" s="76">
        <f>IFERROR(IF(U78="",0,CEILING((U78/$H78),1)*$H78),"")</f>
        <v/>
      </c>
      <c r="W78" s="30">
        <f>IFERROR(IF(V78=0,"",ROUNDUP(V78/H78,0)*0.00502),"")</f>
        <v/>
      </c>
      <c r="X78" s="31" t="inlineStr"/>
      <c r="Y78" s="32" t="inlineStr"/>
    </row>
    <row r="79">
      <c r="A79" s="17" t="inlineStr">
        <is>
          <t>SU002307</t>
        </is>
      </c>
      <c r="B79" s="17" t="inlineStr">
        <is>
          <t>P002571</t>
        </is>
      </c>
      <c r="C79" s="18" t="n">
        <v>4301031077</v>
      </c>
      <c r="D79" s="19" t="n">
        <v>4607091384703</v>
      </c>
      <c r="E79" s="71" t="n"/>
      <c r="F79" s="72" t="n">
        <v>0.35</v>
      </c>
      <c r="G79" s="21" t="n">
        <v>6</v>
      </c>
      <c r="H79" s="72" t="n">
        <v>2.1</v>
      </c>
      <c r="I79" s="72" t="n">
        <v>2.2</v>
      </c>
      <c r="J79" s="21" t="n">
        <v>234</v>
      </c>
      <c r="K79" s="22" t="inlineStr">
        <is>
          <t>СК2</t>
        </is>
      </c>
      <c r="L79" s="21" t="n">
        <v>45</v>
      </c>
      <c r="M79" s="8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79" s="74" t="n"/>
      <c r="O79" s="74" t="n"/>
      <c r="P79" s="74" t="n"/>
      <c r="Q79" s="71" t="n"/>
      <c r="R79" s="26" t="inlineStr"/>
      <c r="S79" s="26" t="inlineStr"/>
      <c r="T79" s="27" t="inlineStr">
        <is>
          <t>кг</t>
        </is>
      </c>
      <c r="U79" s="75" t="n">
        <v>0</v>
      </c>
      <c r="V79" s="76">
        <f>IFERROR(IF(U79="",0,CEILING((U79/$H79),1)*$H79),"")</f>
        <v/>
      </c>
      <c r="W79" s="30">
        <f>IFERROR(IF(V79=0,"",ROUNDUP(V79/H79,0)*0.00502),"")</f>
        <v/>
      </c>
      <c r="X79" s="31" t="inlineStr"/>
      <c r="Y79" s="32" t="inlineStr"/>
    </row>
    <row r="80">
      <c r="A80" s="17" t="inlineStr">
        <is>
          <t>SU002309</t>
        </is>
      </c>
      <c r="B80" s="17" t="inlineStr">
        <is>
          <t>P002573</t>
        </is>
      </c>
      <c r="C80" s="18" t="n">
        <v>4301031079</v>
      </c>
      <c r="D80" s="19" t="n">
        <v>4607091384734</v>
      </c>
      <c r="E80" s="71" t="n"/>
      <c r="F80" s="72" t="n">
        <v>0.35</v>
      </c>
      <c r="G80" s="21" t="n">
        <v>6</v>
      </c>
      <c r="H80" s="72" t="n">
        <v>2.1</v>
      </c>
      <c r="I80" s="72" t="n">
        <v>2.2</v>
      </c>
      <c r="J80" s="21" t="n">
        <v>234</v>
      </c>
      <c r="K80" s="22" t="inlineStr">
        <is>
          <t>СК2</t>
        </is>
      </c>
      <c r="L80" s="21" t="n">
        <v>45</v>
      </c>
      <c r="M80" s="8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80" s="74" t="n"/>
      <c r="O80" s="74" t="n"/>
      <c r="P80" s="74" t="n"/>
      <c r="Q80" s="71" t="n"/>
      <c r="R80" s="26" t="inlineStr"/>
      <c r="S80" s="26" t="inlineStr"/>
      <c r="T80" s="27" t="inlineStr">
        <is>
          <t>кг</t>
        </is>
      </c>
      <c r="U80" s="75" t="n">
        <v>0</v>
      </c>
      <c r="V80" s="76">
        <f>IFERROR(IF(U80="",0,CEILING((U80/$H80),1)*$H80),"")</f>
        <v/>
      </c>
      <c r="W80" s="30">
        <f>IFERROR(IF(V80=0,"",ROUNDUP(V80/H80,0)*0.00502),"")</f>
        <v/>
      </c>
      <c r="X80" s="31" t="inlineStr"/>
      <c r="Y80" s="32" t="inlineStr"/>
    </row>
    <row r="81">
      <c r="A81" s="17" t="inlineStr">
        <is>
          <t>SU001605</t>
        </is>
      </c>
      <c r="B81" s="17" t="inlineStr">
        <is>
          <t>P002180</t>
        </is>
      </c>
      <c r="C81" s="18" t="n">
        <v>4301030964</v>
      </c>
      <c r="D81" s="19" t="n">
        <v>4607091382464</v>
      </c>
      <c r="E81" s="71" t="n"/>
      <c r="F81" s="72" t="n">
        <v>0.35</v>
      </c>
      <c r="G81" s="21" t="n">
        <v>8</v>
      </c>
      <c r="H81" s="72" t="n">
        <v>2.8</v>
      </c>
      <c r="I81" s="72" t="n">
        <v>2.964</v>
      </c>
      <c r="J81" s="21" t="n">
        <v>234</v>
      </c>
      <c r="K81" s="22" t="inlineStr">
        <is>
          <t>СК2</t>
        </is>
      </c>
      <c r="L81" s="21" t="n">
        <v>40</v>
      </c>
      <c r="M81" s="8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81" s="74" t="n"/>
      <c r="O81" s="74" t="n"/>
      <c r="P81" s="74" t="n"/>
      <c r="Q81" s="71" t="n"/>
      <c r="R81" s="26" t="inlineStr"/>
      <c r="S81" s="26" t="inlineStr"/>
      <c r="T81" s="27" t="inlineStr">
        <is>
          <t>кг</t>
        </is>
      </c>
      <c r="U81" s="75" t="n">
        <v>0</v>
      </c>
      <c r="V81" s="76">
        <f>IFERROR(IF(U81="",0,CEILING((U81/$H81),1)*$H81),"")</f>
        <v/>
      </c>
      <c r="W81" s="30">
        <f>IFERROR(IF(V81=0,"",ROUNDUP(V81/H81,0)*0.00502),"")</f>
        <v/>
      </c>
      <c r="X81" s="31" t="inlineStr"/>
      <c r="Y81" s="32" t="inlineStr"/>
    </row>
    <row r="82">
      <c r="A82" s="34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77" t="n"/>
      <c r="M82" s="78" t="inlineStr">
        <is>
          <t>Итого</t>
        </is>
      </c>
      <c r="N82" s="79" t="n"/>
      <c r="O82" s="79" t="n"/>
      <c r="P82" s="79" t="n"/>
      <c r="Q82" s="79" t="n"/>
      <c r="R82" s="79" t="n"/>
      <c r="S82" s="80" t="n"/>
      <c r="T82" s="38" t="inlineStr">
        <is>
          <t>кор</t>
        </is>
      </c>
      <c r="U82" s="81">
        <f>IFERROR(U73/H73,"0")+IFERROR(U74/H74,"0")+IFERROR(U75/H75,"0")+IFERROR(U76/H76,"0")+IFERROR(U77/H77,"0")+IFERROR(U78/H78,"0")+IFERROR(U79/H79,"0")+IFERROR(U80/H80,"0")+IFERROR(U81/H81,"0")</f>
        <v/>
      </c>
      <c r="V82" s="81">
        <f>IFERROR(V73/H73,"0")+IFERROR(V74/H74,"0")+IFERROR(V75/H75,"0")+IFERROR(V76/H76,"0")+IFERROR(V77/H77,"0")+IFERROR(V78/H78,"0")+IFERROR(V79/H79,"0")+IFERROR(V80/H80,"0")+IFERROR(V81/H81,"0")</f>
        <v/>
      </c>
      <c r="W82" s="81">
        <f>IFERROR(IF(W73="",0,W73),"0")+IFERROR(IF(W74="",0,W74),"0")+IFERROR(IF(W75="",0,W75),"0")+IFERROR(IF(W76="",0,W76),"0")+IFERROR(IF(W77="",0,W77),"0")+IFERROR(IF(W78="",0,W78),"0")+IFERROR(IF(W79="",0,W79),"0")+IFERROR(IF(W80="",0,W80),"0")+IFERROR(IF(W81="",0,W81),"0")</f>
        <v/>
      </c>
      <c r="X82" s="82" t="n"/>
      <c r="Y82" s="8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77" t="n"/>
      <c r="M83" s="78" t="inlineStr">
        <is>
          <t>Итого</t>
        </is>
      </c>
      <c r="N83" s="79" t="n"/>
      <c r="O83" s="79" t="n"/>
      <c r="P83" s="79" t="n"/>
      <c r="Q83" s="79" t="n"/>
      <c r="R83" s="79" t="n"/>
      <c r="S83" s="80" t="n"/>
      <c r="T83" s="38" t="inlineStr">
        <is>
          <t>кг</t>
        </is>
      </c>
      <c r="U83" s="81">
        <f>IFERROR(SUM(U73:U81),"0")</f>
        <v/>
      </c>
      <c r="V83" s="81">
        <f>IFERROR(SUM(V73:V81),"0")</f>
        <v/>
      </c>
      <c r="W83" s="38" t="n"/>
      <c r="X83" s="82" t="n"/>
      <c r="Y83" s="82" t="n"/>
    </row>
    <row r="84">
      <c r="A84" s="16" t="inlineStr">
        <is>
          <t>Сосиски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6" t="n"/>
      <c r="Y84" s="16" t="n"/>
    </row>
    <row r="85">
      <c r="A85" s="17" t="inlineStr">
        <is>
          <t>SU001523</t>
        </is>
      </c>
      <c r="B85" s="17" t="inlineStr">
        <is>
          <t>P003328</t>
        </is>
      </c>
      <c r="C85" s="18" t="n">
        <v>4301051437</v>
      </c>
      <c r="D85" s="19" t="n">
        <v>4607091386967</v>
      </c>
      <c r="E85" s="71" t="n"/>
      <c r="F85" s="72" t="n">
        <v>1.35</v>
      </c>
      <c r="G85" s="21" t="n">
        <v>6</v>
      </c>
      <c r="H85" s="72" t="n">
        <v>8.1</v>
      </c>
      <c r="I85" s="72" t="n">
        <v>8.664</v>
      </c>
      <c r="J85" s="21" t="n">
        <v>56</v>
      </c>
      <c r="K85" s="22" t="inlineStr">
        <is>
          <t>СК3</t>
        </is>
      </c>
      <c r="L85" s="21" t="n">
        <v>45</v>
      </c>
      <c r="M85" s="73" t="inlineStr">
        <is>
          <t>Сосиски Молокуши (Вязанка Молочные) Вязанка Весовые П/а мгс Вязанка</t>
        </is>
      </c>
      <c r="N85" s="74" t="n"/>
      <c r="O85" s="74" t="n"/>
      <c r="P85" s="74" t="n"/>
      <c r="Q85" s="71" t="n"/>
      <c r="R85" s="26" t="inlineStr"/>
      <c r="S85" s="26" t="inlineStr"/>
      <c r="T85" s="27" t="inlineStr">
        <is>
          <t>кг</t>
        </is>
      </c>
      <c r="U85" s="84" t="n">
        <v>24</v>
      </c>
      <c r="V85" s="76">
        <f>IFERROR(IF(U85="",0,CEILING((U85/$H85),1)*$H85),"")</f>
        <v/>
      </c>
      <c r="W85" s="30">
        <f>IFERROR(IF(V85=0,"",ROUNDUP(V85/H85,0)*0.02175),"")</f>
        <v/>
      </c>
      <c r="X85" s="31" t="inlineStr"/>
      <c r="Y85" s="32" t="inlineStr"/>
    </row>
    <row r="86">
      <c r="A86" s="17" t="inlineStr">
        <is>
          <t>SU001351</t>
        </is>
      </c>
      <c r="B86" s="17" t="inlineStr">
        <is>
          <t>P003025</t>
        </is>
      </c>
      <c r="C86" s="18" t="n">
        <v>4301051311</v>
      </c>
      <c r="D86" s="19" t="n">
        <v>4607091385304</v>
      </c>
      <c r="E86" s="71" t="n"/>
      <c r="F86" s="72" t="n">
        <v>1.35</v>
      </c>
      <c r="G86" s="21" t="n">
        <v>6</v>
      </c>
      <c r="H86" s="72" t="n">
        <v>8.1</v>
      </c>
      <c r="I86" s="72" t="n">
        <v>8.664</v>
      </c>
      <c r="J86" s="21" t="n">
        <v>56</v>
      </c>
      <c r="K86" s="22" t="inlineStr">
        <is>
          <t>СК2</t>
        </is>
      </c>
      <c r="L86" s="21" t="n">
        <v>40</v>
      </c>
      <c r="M86" s="83">
        <f>HYPERLINK("https://abi.ru/products/Охлажденные/Вязанка/Вязанка/Сосиски/P003025/","Сосиски Рубленые Вязанка Весовые п/а мгс Вязанка")</f>
        <v/>
      </c>
      <c r="N86" s="74" t="n"/>
      <c r="O86" s="74" t="n"/>
      <c r="P86" s="74" t="n"/>
      <c r="Q86" s="71" t="n"/>
      <c r="R86" s="26" t="inlineStr"/>
      <c r="S86" s="26" t="inlineStr"/>
      <c r="T86" s="27" t="inlineStr">
        <is>
          <t>кг</t>
        </is>
      </c>
      <c r="U86" s="75" t="n">
        <v>0</v>
      </c>
      <c r="V86" s="76">
        <f>IFERROR(IF(U86="",0,CEILING((U86/$H86),1)*$H86),"")</f>
        <v/>
      </c>
      <c r="W86" s="30">
        <f>IFERROR(IF(V86=0,"",ROUNDUP(V86/H86,0)*0.02175),"")</f>
        <v/>
      </c>
      <c r="X86" s="31" t="inlineStr"/>
      <c r="Y86" s="32" t="inlineStr"/>
    </row>
    <row r="87">
      <c r="A87" s="17" t="inlineStr">
        <is>
          <t>SU001527</t>
        </is>
      </c>
      <c r="B87" s="17" t="inlineStr">
        <is>
          <t>P002217</t>
        </is>
      </c>
      <c r="C87" s="18" t="n">
        <v>4301051306</v>
      </c>
      <c r="D87" s="19" t="n">
        <v>4607091386264</v>
      </c>
      <c r="E87" s="71" t="n"/>
      <c r="F87" s="72" t="n">
        <v>0.5</v>
      </c>
      <c r="G87" s="21" t="n">
        <v>6</v>
      </c>
      <c r="H87" s="72" t="n">
        <v>3</v>
      </c>
      <c r="I87" s="72" t="n">
        <v>3.278</v>
      </c>
      <c r="J87" s="21" t="n">
        <v>156</v>
      </c>
      <c r="K87" s="22" t="inlineStr">
        <is>
          <t>СК2</t>
        </is>
      </c>
      <c r="L87" s="21" t="n">
        <v>31</v>
      </c>
      <c r="M87" s="83">
        <f>HYPERLINK("https://abi.ru/products/Охлажденные/Вязанка/Вязанка/Сосиски/P002217/","Сосиски Венские Вязанка Фикс.вес 0,5 NDX мгс Вязанка")</f>
        <v/>
      </c>
      <c r="N87" s="74" t="n"/>
      <c r="O87" s="74" t="n"/>
      <c r="P87" s="74" t="n"/>
      <c r="Q87" s="71" t="n"/>
      <c r="R87" s="26" t="inlineStr"/>
      <c r="S87" s="26" t="inlineStr"/>
      <c r="T87" s="27" t="inlineStr">
        <is>
          <t>кг</t>
        </is>
      </c>
      <c r="U87" s="75" t="n">
        <v>0</v>
      </c>
      <c r="V87" s="76">
        <f>IFERROR(IF(U87="",0,CEILING((U87/$H87),1)*$H87),"")</f>
        <v/>
      </c>
      <c r="W87" s="30">
        <f>IFERROR(IF(V87=0,"",ROUNDUP(V87/H87,0)*0.00753),"")</f>
        <v/>
      </c>
      <c r="X87" s="31" t="inlineStr"/>
      <c r="Y87" s="32" t="inlineStr"/>
    </row>
    <row r="88">
      <c r="A88" s="17" t="inlineStr">
        <is>
          <t>SU001718</t>
        </is>
      </c>
      <c r="B88" s="17" t="inlineStr">
        <is>
          <t>P003327</t>
        </is>
      </c>
      <c r="C88" s="18" t="n">
        <v>4301051436</v>
      </c>
      <c r="D88" s="19" t="n">
        <v>4607091385731</v>
      </c>
      <c r="E88" s="71" t="n"/>
      <c r="F88" s="72" t="n">
        <v>0.45</v>
      </c>
      <c r="G88" s="21" t="n">
        <v>6</v>
      </c>
      <c r="H88" s="72" t="n">
        <v>2.7</v>
      </c>
      <c r="I88" s="72" t="n">
        <v>2.972</v>
      </c>
      <c r="J88" s="21" t="n">
        <v>156</v>
      </c>
      <c r="K88" s="22" t="inlineStr">
        <is>
          <t>СК3</t>
        </is>
      </c>
      <c r="L88" s="21" t="n">
        <v>45</v>
      </c>
      <c r="M88" s="73" t="inlineStr">
        <is>
          <t>Сосиски Молокуши (Вязанка Молочные) Вязанка Фикс.вес 0,45 П/а мгс Вязанка</t>
        </is>
      </c>
      <c r="N88" s="74" t="n"/>
      <c r="O88" s="74" t="n"/>
      <c r="P88" s="74" t="n"/>
      <c r="Q88" s="71" t="n"/>
      <c r="R88" s="26" t="inlineStr"/>
      <c r="S88" s="26" t="inlineStr"/>
      <c r="T88" s="27" t="inlineStr">
        <is>
          <t>кг</t>
        </is>
      </c>
      <c r="U88" s="75" t="n">
        <v>0</v>
      </c>
      <c r="V88" s="76">
        <f>IFERROR(IF(U88="",0,CEILING((U88/$H88),1)*$H88),"")</f>
        <v/>
      </c>
      <c r="W88" s="30">
        <f>IFERROR(IF(V88=0,"",ROUNDUP(V88/H88,0)*0.00753),"")</f>
        <v/>
      </c>
      <c r="X88" s="31" t="inlineStr"/>
      <c r="Y88" s="32" t="inlineStr"/>
    </row>
    <row r="89">
      <c r="A89" s="17" t="inlineStr">
        <is>
          <t>SU002658</t>
        </is>
      </c>
      <c r="B89" s="17" t="inlineStr">
        <is>
          <t>P003326</t>
        </is>
      </c>
      <c r="C89" s="18" t="n">
        <v>4301051439</v>
      </c>
      <c r="D89" s="19" t="n">
        <v>4680115880214</v>
      </c>
      <c r="E89" s="71" t="n"/>
      <c r="F89" s="72" t="n">
        <v>0.45</v>
      </c>
      <c r="G89" s="21" t="n">
        <v>6</v>
      </c>
      <c r="H89" s="72" t="n">
        <v>2.7</v>
      </c>
      <c r="I89" s="72" t="n">
        <v>2.988</v>
      </c>
      <c r="J89" s="21" t="n">
        <v>120</v>
      </c>
      <c r="K89" s="22" t="inlineStr">
        <is>
          <t>СК3</t>
        </is>
      </c>
      <c r="L89" s="21" t="n">
        <v>45</v>
      </c>
      <c r="M89" s="73" t="inlineStr">
        <is>
          <t>Сосиски Молокуши миникушай Вязанка Ф/в 0,45 амилюкс мгс Вязанка</t>
        </is>
      </c>
      <c r="N89" s="74" t="n"/>
      <c r="O89" s="74" t="n"/>
      <c r="P89" s="74" t="n"/>
      <c r="Q89" s="71" t="n"/>
      <c r="R89" s="26" t="inlineStr"/>
      <c r="S89" s="26" t="inlineStr"/>
      <c r="T89" s="27" t="inlineStr">
        <is>
          <t>кг</t>
        </is>
      </c>
      <c r="U89" s="75" t="n">
        <v>0</v>
      </c>
      <c r="V89" s="76">
        <f>IFERROR(IF(U89="",0,CEILING((U89/$H89),1)*$H89),"")</f>
        <v/>
      </c>
      <c r="W89" s="30">
        <f>IFERROR(IF(V89=0,"",ROUNDUP(V89/H89,0)*0.00937),"")</f>
        <v/>
      </c>
      <c r="X89" s="31" t="inlineStr"/>
      <c r="Y89" s="32" t="inlineStr"/>
    </row>
    <row r="90">
      <c r="A90" s="17" t="inlineStr">
        <is>
          <t>SU002769</t>
        </is>
      </c>
      <c r="B90" s="17" t="inlineStr">
        <is>
          <t>P003324</t>
        </is>
      </c>
      <c r="C90" s="18" t="n">
        <v>4301051438</v>
      </c>
      <c r="D90" s="19" t="n">
        <v>4680115880894</v>
      </c>
      <c r="E90" s="71" t="n"/>
      <c r="F90" s="72" t="n">
        <v>0.33</v>
      </c>
      <c r="G90" s="21" t="n">
        <v>6</v>
      </c>
      <c r="H90" s="72" t="n">
        <v>1.98</v>
      </c>
      <c r="I90" s="72" t="n">
        <v>2.258</v>
      </c>
      <c r="J90" s="21" t="n">
        <v>156</v>
      </c>
      <c r="K90" s="22" t="inlineStr">
        <is>
          <t>СК3</t>
        </is>
      </c>
      <c r="L90" s="21" t="n">
        <v>45</v>
      </c>
      <c r="M90" s="73" t="inlineStr">
        <is>
          <t>Сосиски Молокуши Миникушай Вязанка фикс.вес 0,33 п/а Вязанка</t>
        </is>
      </c>
      <c r="N90" s="74" t="n"/>
      <c r="O90" s="74" t="n"/>
      <c r="P90" s="74" t="n"/>
      <c r="Q90" s="71" t="n"/>
      <c r="R90" s="26" t="inlineStr"/>
      <c r="S90" s="26" t="inlineStr"/>
      <c r="T90" s="27" t="inlineStr">
        <is>
          <t>кг</t>
        </is>
      </c>
      <c r="U90" s="75" t="n">
        <v>0</v>
      </c>
      <c r="V90" s="76">
        <f>IFERROR(IF(U90="",0,CEILING((U90/$H90),1)*$H90),"")</f>
        <v/>
      </c>
      <c r="W90" s="30">
        <f>IFERROR(IF(V90=0,"",ROUNDUP(V90/H90,0)*0.00753),"")</f>
        <v/>
      </c>
      <c r="X90" s="31" t="inlineStr"/>
      <c r="Y90" s="32" t="inlineStr"/>
    </row>
    <row r="91">
      <c r="A91" s="17" t="inlineStr">
        <is>
          <t>SU001354</t>
        </is>
      </c>
      <c r="B91" s="17" t="inlineStr">
        <is>
          <t>P003030</t>
        </is>
      </c>
      <c r="C91" s="18" t="n">
        <v>4301051313</v>
      </c>
      <c r="D91" s="19" t="n">
        <v>4607091385427</v>
      </c>
      <c r="E91" s="71" t="n"/>
      <c r="F91" s="72" t="n">
        <v>0.5</v>
      </c>
      <c r="G91" s="21" t="n">
        <v>6</v>
      </c>
      <c r="H91" s="72" t="n">
        <v>3</v>
      </c>
      <c r="I91" s="72" t="n">
        <v>3.272</v>
      </c>
      <c r="J91" s="21" t="n">
        <v>156</v>
      </c>
      <c r="K91" s="22" t="inlineStr">
        <is>
          <t>СК2</t>
        </is>
      </c>
      <c r="L91" s="21" t="n">
        <v>40</v>
      </c>
      <c r="M91" s="83">
        <f>HYPERLINK("https://abi.ru/products/Охлажденные/Вязанка/Вязанка/Сосиски/P003030/","Сосиски Рубленые Вязанка Фикс.вес 0,5 п/а мгс Вязанка")</f>
        <v/>
      </c>
      <c r="N91" s="74" t="n"/>
      <c r="O91" s="74" t="n"/>
      <c r="P91" s="74" t="n"/>
      <c r="Q91" s="71" t="n"/>
      <c r="R91" s="26" t="inlineStr"/>
      <c r="S91" s="26" t="inlineStr"/>
      <c r="T91" s="27" t="inlineStr">
        <is>
          <t>кг</t>
        </is>
      </c>
      <c r="U91" s="75" t="n">
        <v>0</v>
      </c>
      <c r="V91" s="76">
        <f>IFERROR(IF(U91="",0,CEILING((U91/$H91),1)*$H91),"")</f>
        <v/>
      </c>
      <c r="W91" s="30">
        <f>IFERROR(IF(V91=0,"",ROUNDUP(V91/H91,0)*0.00753),"")</f>
        <v/>
      </c>
      <c r="X91" s="31" t="inlineStr"/>
      <c r="Y91" s="32" t="inlineStr"/>
    </row>
    <row r="92">
      <c r="A92" s="34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77" t="n"/>
      <c r="M92" s="78" t="inlineStr">
        <is>
          <t>Итого</t>
        </is>
      </c>
      <c r="N92" s="79" t="n"/>
      <c r="O92" s="79" t="n"/>
      <c r="P92" s="79" t="n"/>
      <c r="Q92" s="79" t="n"/>
      <c r="R92" s="79" t="n"/>
      <c r="S92" s="80" t="n"/>
      <c r="T92" s="38" t="inlineStr">
        <is>
          <t>кор</t>
        </is>
      </c>
      <c r="U92" s="81">
        <f>IFERROR(U85/H85,"0")+IFERROR(U86/H86,"0")+IFERROR(U87/H87,"0")+IFERROR(U88/H88,"0")+IFERROR(U89/H89,"0")+IFERROR(U90/H90,"0")+IFERROR(U91/H91,"0")</f>
        <v/>
      </c>
      <c r="V92" s="81">
        <f>IFERROR(V85/H85,"0")+IFERROR(V86/H86,"0")+IFERROR(V87/H87,"0")+IFERROR(V88/H88,"0")+IFERROR(V89/H89,"0")+IFERROR(V90/H90,"0")+IFERROR(V91/H91,"0")</f>
        <v/>
      </c>
      <c r="W92" s="81">
        <f>IFERROR(IF(W85="",0,W85),"0")+IFERROR(IF(W86="",0,W86),"0")+IFERROR(IF(W87="",0,W87),"0")+IFERROR(IF(W88="",0,W88),"0")+IFERROR(IF(W89="",0,W89),"0")+IFERROR(IF(W90="",0,W90),"0")+IFERROR(IF(W91="",0,W91),"0")</f>
        <v/>
      </c>
      <c r="X92" s="82" t="n"/>
      <c r="Y92" s="82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77" t="n"/>
      <c r="M93" s="78" t="inlineStr">
        <is>
          <t>Итого</t>
        </is>
      </c>
      <c r="N93" s="79" t="n"/>
      <c r="O93" s="79" t="n"/>
      <c r="P93" s="79" t="n"/>
      <c r="Q93" s="79" t="n"/>
      <c r="R93" s="79" t="n"/>
      <c r="S93" s="80" t="n"/>
      <c r="T93" s="38" t="inlineStr">
        <is>
          <t>кг</t>
        </is>
      </c>
      <c r="U93" s="81">
        <f>IFERROR(SUM(U85:U91),"0")</f>
        <v/>
      </c>
      <c r="V93" s="81">
        <f>IFERROR(SUM(V85:V91),"0")</f>
        <v/>
      </c>
      <c r="W93" s="38" t="n"/>
      <c r="X93" s="82" t="n"/>
      <c r="Y93" s="82" t="n"/>
    </row>
    <row r="94">
      <c r="A94" s="16" t="inlineStr">
        <is>
          <t>Сардельки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" t="n"/>
      <c r="Y94" s="16" t="n"/>
    </row>
    <row r="95">
      <c r="A95" s="17" t="inlineStr">
        <is>
          <t>SU002071</t>
        </is>
      </c>
      <c r="B95" s="17" t="inlineStr">
        <is>
          <t>P002233</t>
        </is>
      </c>
      <c r="C95" s="18" t="n">
        <v>4301060296</v>
      </c>
      <c r="D95" s="19" t="n">
        <v>4607091383065</v>
      </c>
      <c r="E95" s="71" t="n"/>
      <c r="F95" s="72" t="n">
        <v>0.83</v>
      </c>
      <c r="G95" s="21" t="n">
        <v>4</v>
      </c>
      <c r="H95" s="72" t="n">
        <v>3.32</v>
      </c>
      <c r="I95" s="72" t="n">
        <v>3.582</v>
      </c>
      <c r="J95" s="21" t="n">
        <v>120</v>
      </c>
      <c r="K95" s="22" t="inlineStr">
        <is>
          <t>СК2</t>
        </is>
      </c>
      <c r="L95" s="21" t="n">
        <v>30</v>
      </c>
      <c r="M95" s="8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95" s="74" t="n"/>
      <c r="O95" s="74" t="n"/>
      <c r="P95" s="74" t="n"/>
      <c r="Q95" s="71" t="n"/>
      <c r="R95" s="26" t="inlineStr"/>
      <c r="S95" s="26" t="inlineStr"/>
      <c r="T95" s="27" t="inlineStr">
        <is>
          <t>кг</t>
        </is>
      </c>
      <c r="U95" s="75" t="n">
        <v>0</v>
      </c>
      <c r="V95" s="76">
        <f>IFERROR(IF(U95="",0,CEILING((U95/$H95),1)*$H95),"")</f>
        <v/>
      </c>
      <c r="W95" s="30">
        <f>IFERROR(IF(V95=0,"",ROUNDUP(V95/H95,0)*0.00937),"")</f>
        <v/>
      </c>
      <c r="X95" s="31" t="inlineStr"/>
      <c r="Y95" s="32" t="inlineStr"/>
    </row>
    <row r="96">
      <c r="A96" s="17" t="inlineStr">
        <is>
          <t>SU001831</t>
        </is>
      </c>
      <c r="B96" s="17" t="inlineStr">
        <is>
          <t>P002042</t>
        </is>
      </c>
      <c r="C96" s="18" t="n">
        <v>4301060282</v>
      </c>
      <c r="D96" s="19" t="n">
        <v>4607091380699</v>
      </c>
      <c r="E96" s="71" t="n"/>
      <c r="F96" s="72" t="n">
        <v>1.3</v>
      </c>
      <c r="G96" s="21" t="n">
        <v>6</v>
      </c>
      <c r="H96" s="72" t="n">
        <v>7.8</v>
      </c>
      <c r="I96" s="72" t="n">
        <v>8.364000000000001</v>
      </c>
      <c r="J96" s="21" t="n">
        <v>56</v>
      </c>
      <c r="K96" s="22" t="inlineStr">
        <is>
          <t>СК2</t>
        </is>
      </c>
      <c r="L96" s="21" t="n">
        <v>30</v>
      </c>
      <c r="M96" s="83">
        <f>HYPERLINK("https://abi.ru/products/Охлажденные/Вязанка/Вязанка/Сардельки/P002042/","Сардельки Стародворские Вязанка Весовые NDX мгс Вязанка")</f>
        <v/>
      </c>
      <c r="N96" s="74" t="n"/>
      <c r="O96" s="74" t="n"/>
      <c r="P96" s="74" t="n"/>
      <c r="Q96" s="71" t="n"/>
      <c r="R96" s="26" t="inlineStr"/>
      <c r="S96" s="26" t="inlineStr"/>
      <c r="T96" s="27" t="inlineStr">
        <is>
          <t>кг</t>
        </is>
      </c>
      <c r="U96" s="75" t="n">
        <v>0</v>
      </c>
      <c r="V96" s="76">
        <f>IFERROR(IF(U96="",0,CEILING((U96/$H96),1)*$H96),"")</f>
        <v/>
      </c>
      <c r="W96" s="30">
        <f>IFERROR(IF(V96=0,"",ROUNDUP(V96/H96,0)*0.02175),"")</f>
        <v/>
      </c>
      <c r="X96" s="31" t="inlineStr"/>
      <c r="Y96" s="32" t="inlineStr"/>
    </row>
    <row r="97">
      <c r="A97" s="17" t="inlineStr">
        <is>
          <t>SU002367</t>
        </is>
      </c>
      <c r="B97" s="17" t="inlineStr">
        <is>
          <t>P002644</t>
        </is>
      </c>
      <c r="C97" s="18" t="n">
        <v>4301060309</v>
      </c>
      <c r="D97" s="19" t="n">
        <v>4680115880238</v>
      </c>
      <c r="E97" s="71" t="n"/>
      <c r="F97" s="72" t="n">
        <v>0.33</v>
      </c>
      <c r="G97" s="21" t="n">
        <v>6</v>
      </c>
      <c r="H97" s="72" t="n">
        <v>1.98</v>
      </c>
      <c r="I97" s="72" t="n">
        <v>2.258</v>
      </c>
      <c r="J97" s="21" t="n">
        <v>156</v>
      </c>
      <c r="K97" s="22" t="inlineStr">
        <is>
          <t>СК2</t>
        </is>
      </c>
      <c r="L97" s="21" t="n">
        <v>40</v>
      </c>
      <c r="M97" s="73" t="inlineStr">
        <is>
          <t>Сардельки Сливушки #минидельки ТМ Вязанка айпил мгс ф/в 0,33 кг</t>
        </is>
      </c>
      <c r="N97" s="74" t="n"/>
      <c r="O97" s="74" t="n"/>
      <c r="P97" s="74" t="n"/>
      <c r="Q97" s="71" t="n"/>
      <c r="R97" s="26" t="inlineStr"/>
      <c r="S97" s="26" t="inlineStr"/>
      <c r="T97" s="27" t="inlineStr">
        <is>
          <t>кг</t>
        </is>
      </c>
      <c r="U97" s="75" t="n">
        <v>0</v>
      </c>
      <c r="V97" s="76">
        <f>IFERROR(IF(U97="",0,CEILING((U97/$H97),1)*$H97),"")</f>
        <v/>
      </c>
      <c r="W97" s="30">
        <f>IFERROR(IF(V97=0,"",ROUNDUP(V97/H97,0)*0.00753),"")</f>
        <v/>
      </c>
      <c r="X97" s="31" t="inlineStr"/>
      <c r="Y97" s="32" t="inlineStr"/>
    </row>
    <row r="98">
      <c r="A98" s="17" t="inlineStr">
        <is>
          <t>SU002834</t>
        </is>
      </c>
      <c r="B98" s="17" t="inlineStr">
        <is>
          <t>P003238</t>
        </is>
      </c>
      <c r="C98" s="18" t="n">
        <v>4301060351</v>
      </c>
      <c r="D98" s="19" t="n">
        <v>4680115881464</v>
      </c>
      <c r="E98" s="71" t="n"/>
      <c r="F98" s="72" t="n">
        <v>0.4</v>
      </c>
      <c r="G98" s="21" t="n">
        <v>6</v>
      </c>
      <c r="H98" s="72" t="n">
        <v>2.4</v>
      </c>
      <c r="I98" s="72" t="n">
        <v>2.6</v>
      </c>
      <c r="J98" s="21" t="n">
        <v>156</v>
      </c>
      <c r="K98" s="22" t="inlineStr">
        <is>
          <t>СК3</t>
        </is>
      </c>
      <c r="L98" s="21" t="n">
        <v>30</v>
      </c>
      <c r="M98" s="73" t="inlineStr">
        <is>
          <t>Сардельки "Филейские" Фикс.вес 0,4 NDX мгс ТМ "Вязанка"</t>
        </is>
      </c>
      <c r="N98" s="74" t="n"/>
      <c r="O98" s="74" t="n"/>
      <c r="P98" s="74" t="n"/>
      <c r="Q98" s="71" t="n"/>
      <c r="R98" s="26" t="inlineStr"/>
      <c r="S98" s="26" t="inlineStr"/>
      <c r="T98" s="27" t="inlineStr">
        <is>
          <t>кг</t>
        </is>
      </c>
      <c r="U98" s="75" t="n">
        <v>0</v>
      </c>
      <c r="V98" s="76">
        <f>IFERROR(IF(U98="",0,CEILING((U98/$H98),1)*$H98),"")</f>
        <v/>
      </c>
      <c r="W98" s="30">
        <f>IFERROR(IF(V98=0,"",ROUNDUP(V98/H98,0)*0.00753),"")</f>
        <v/>
      </c>
      <c r="X98" s="31" t="inlineStr"/>
      <c r="Y98" s="32" t="inlineStr"/>
    </row>
    <row r="99">
      <c r="A99" s="3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77" t="n"/>
      <c r="M99" s="78" t="inlineStr">
        <is>
          <t>Итого</t>
        </is>
      </c>
      <c r="N99" s="79" t="n"/>
      <c r="O99" s="79" t="n"/>
      <c r="P99" s="79" t="n"/>
      <c r="Q99" s="79" t="n"/>
      <c r="R99" s="79" t="n"/>
      <c r="S99" s="80" t="n"/>
      <c r="T99" s="38" t="inlineStr">
        <is>
          <t>кор</t>
        </is>
      </c>
      <c r="U99" s="81">
        <f>IFERROR(U95/H95,"0")+IFERROR(U96/H96,"0")+IFERROR(U97/H97,"0")+IFERROR(U98/H98,"0")</f>
        <v/>
      </c>
      <c r="V99" s="81">
        <f>IFERROR(V95/H95,"0")+IFERROR(V96/H96,"0")+IFERROR(V97/H97,"0")+IFERROR(V98/H98,"0")</f>
        <v/>
      </c>
      <c r="W99" s="81">
        <f>IFERROR(IF(W95="",0,W95),"0")+IFERROR(IF(W96="",0,W96),"0")+IFERROR(IF(W97="",0,W97),"0")+IFERROR(IF(W98="",0,W98),"0")</f>
        <v/>
      </c>
      <c r="X99" s="82" t="n"/>
      <c r="Y99" s="82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77" t="n"/>
      <c r="M100" s="78" t="inlineStr">
        <is>
          <t>Итого</t>
        </is>
      </c>
      <c r="N100" s="79" t="n"/>
      <c r="O100" s="79" t="n"/>
      <c r="P100" s="79" t="n"/>
      <c r="Q100" s="79" t="n"/>
      <c r="R100" s="79" t="n"/>
      <c r="S100" s="80" t="n"/>
      <c r="T100" s="38" t="inlineStr">
        <is>
          <t>кг</t>
        </is>
      </c>
      <c r="U100" s="81">
        <f>IFERROR(SUM(U95:U98),"0")</f>
        <v/>
      </c>
      <c r="V100" s="81">
        <f>IFERROR(SUM(V95:V98),"0")</f>
        <v/>
      </c>
      <c r="W100" s="38" t="n"/>
      <c r="X100" s="82" t="n"/>
      <c r="Y100" s="82" t="n"/>
    </row>
    <row r="101">
      <c r="A101" s="14" t="inlineStr">
        <is>
          <t>Сливушки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4" t="n"/>
      <c r="Y101" s="14" t="n"/>
    </row>
    <row r="102">
      <c r="A102" s="16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" t="n"/>
      <c r="Y102" s="16" t="n"/>
    </row>
    <row r="103">
      <c r="A103" s="17" t="inlineStr">
        <is>
          <t>SU001721</t>
        </is>
      </c>
      <c r="B103" s="17" t="inlineStr">
        <is>
          <t>P003161</t>
        </is>
      </c>
      <c r="C103" s="18" t="n">
        <v>4301051360</v>
      </c>
      <c r="D103" s="19" t="n">
        <v>4607091385168</v>
      </c>
      <c r="E103" s="71" t="n"/>
      <c r="F103" s="72" t="n">
        <v>1.35</v>
      </c>
      <c r="G103" s="21" t="n">
        <v>6</v>
      </c>
      <c r="H103" s="72" t="n">
        <v>8.1</v>
      </c>
      <c r="I103" s="72" t="n">
        <v>8.657999999999999</v>
      </c>
      <c r="J103" s="21" t="n">
        <v>56</v>
      </c>
      <c r="K103" s="22" t="inlineStr">
        <is>
          <t>СК3</t>
        </is>
      </c>
      <c r="L103" s="21" t="n">
        <v>45</v>
      </c>
      <c r="M103" s="8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03" s="74" t="n"/>
      <c r="O103" s="74" t="n"/>
      <c r="P103" s="74" t="n"/>
      <c r="Q103" s="71" t="n"/>
      <c r="R103" s="26" t="inlineStr"/>
      <c r="S103" s="26" t="inlineStr"/>
      <c r="T103" s="27" t="inlineStr">
        <is>
          <t>кг</t>
        </is>
      </c>
      <c r="U103" s="75" t="n">
        <v>0</v>
      </c>
      <c r="V103" s="76">
        <f>IFERROR(IF(U103="",0,CEILING((U103/$H103),1)*$H103),"")</f>
        <v/>
      </c>
      <c r="W103" s="30">
        <f>IFERROR(IF(V103=0,"",ROUNDUP(V103/H103,0)*0.02175),"")</f>
        <v/>
      </c>
      <c r="X103" s="31" t="inlineStr"/>
      <c r="Y103" s="32" t="inlineStr"/>
    </row>
    <row r="104">
      <c r="A104" s="17" t="inlineStr">
        <is>
          <t>SU002139</t>
        </is>
      </c>
      <c r="B104" s="17" t="inlineStr">
        <is>
          <t>P003162</t>
        </is>
      </c>
      <c r="C104" s="18" t="n">
        <v>4301051362</v>
      </c>
      <c r="D104" s="19" t="n">
        <v>4607091383256</v>
      </c>
      <c r="E104" s="71" t="n"/>
      <c r="F104" s="72" t="n">
        <v>0.33</v>
      </c>
      <c r="G104" s="21" t="n">
        <v>6</v>
      </c>
      <c r="H104" s="72" t="n">
        <v>1.98</v>
      </c>
      <c r="I104" s="72" t="n">
        <v>2.246</v>
      </c>
      <c r="J104" s="21" t="n">
        <v>156</v>
      </c>
      <c r="K104" s="22" t="inlineStr">
        <is>
          <t>СК3</t>
        </is>
      </c>
      <c r="L104" s="21" t="n">
        <v>45</v>
      </c>
      <c r="M104" s="83">
        <f>HYPERLINK("https://abi.ru/products/Охлажденные/Вязанка/Сливушки/Сосиски/P003162/","Сосиски Сливочные Сливушки Фикс.вес 0,33 П/а мгс Вязанка")</f>
        <v/>
      </c>
      <c r="N104" s="74" t="n"/>
      <c r="O104" s="74" t="n"/>
      <c r="P104" s="74" t="n"/>
      <c r="Q104" s="71" t="n"/>
      <c r="R104" s="26" t="inlineStr"/>
      <c r="S104" s="26" t="inlineStr"/>
      <c r="T104" s="27" t="inlineStr">
        <is>
          <t>кг</t>
        </is>
      </c>
      <c r="U104" s="75" t="n">
        <v>0</v>
      </c>
      <c r="V104" s="76">
        <f>IFERROR(IF(U104="",0,CEILING((U104/$H104),1)*$H104),"")</f>
        <v/>
      </c>
      <c r="W104" s="30">
        <f>IFERROR(IF(V104=0,"",ROUNDUP(V104/H104,0)*0.00753),"")</f>
        <v/>
      </c>
      <c r="X104" s="31" t="inlineStr"/>
      <c r="Y104" s="32" t="inlineStr"/>
    </row>
    <row r="105">
      <c r="A105" s="17" t="inlineStr">
        <is>
          <t>SU001720</t>
        </is>
      </c>
      <c r="B105" s="17" t="inlineStr">
        <is>
          <t>P003160</t>
        </is>
      </c>
      <c r="C105" s="18" t="n">
        <v>4301051358</v>
      </c>
      <c r="D105" s="19" t="n">
        <v>4607091385748</v>
      </c>
      <c r="E105" s="71" t="n"/>
      <c r="F105" s="72" t="n">
        <v>0.45</v>
      </c>
      <c r="G105" s="21" t="n">
        <v>6</v>
      </c>
      <c r="H105" s="72" t="n">
        <v>2.7</v>
      </c>
      <c r="I105" s="72" t="n">
        <v>2.972</v>
      </c>
      <c r="J105" s="21" t="n">
        <v>156</v>
      </c>
      <c r="K105" s="22" t="inlineStr">
        <is>
          <t>СК3</t>
        </is>
      </c>
      <c r="L105" s="21" t="n">
        <v>45</v>
      </c>
      <c r="M105" s="83">
        <f>HYPERLINK("https://abi.ru/products/Охлажденные/Вязанка/Сливушки/Сосиски/P003160/","Сосиски Сливочные Сливушки Фикс.вес 0,45 П/а мгс Вязанка")</f>
        <v/>
      </c>
      <c r="N105" s="74" t="n"/>
      <c r="O105" s="74" t="n"/>
      <c r="P105" s="74" t="n"/>
      <c r="Q105" s="71" t="n"/>
      <c r="R105" s="26" t="inlineStr"/>
      <c r="S105" s="26" t="inlineStr"/>
      <c r="T105" s="27" t="inlineStr">
        <is>
          <t>кг</t>
        </is>
      </c>
      <c r="U105" s="75" t="n">
        <v>0</v>
      </c>
      <c r="V105" s="76">
        <f>IFERROR(IF(U105="",0,CEILING((U105/$H105),1)*$H105),"")</f>
        <v/>
      </c>
      <c r="W105" s="30">
        <f>IFERROR(IF(V105=0,"",ROUNDUP(V105/H105,0)*0.00753),"")</f>
        <v/>
      </c>
      <c r="X105" s="31" t="inlineStr"/>
      <c r="Y105" s="32" t="inlineStr"/>
    </row>
    <row r="106">
      <c r="A106" s="17" t="inlineStr">
        <is>
          <t>SU002438</t>
        </is>
      </c>
      <c r="B106" s="17" t="inlineStr">
        <is>
          <t>P003163</t>
        </is>
      </c>
      <c r="C106" s="18" t="n">
        <v>4301051364</v>
      </c>
      <c r="D106" s="19" t="n">
        <v>4607091384581</v>
      </c>
      <c r="E106" s="71" t="n"/>
      <c r="F106" s="72" t="n">
        <v>0.67</v>
      </c>
      <c r="G106" s="21" t="n">
        <v>4</v>
      </c>
      <c r="H106" s="72" t="n">
        <v>2.68</v>
      </c>
      <c r="I106" s="72" t="n">
        <v>2.942</v>
      </c>
      <c r="J106" s="21" t="n">
        <v>120</v>
      </c>
      <c r="K106" s="22" t="inlineStr">
        <is>
          <t>СК3</t>
        </is>
      </c>
      <c r="L106" s="21" t="n">
        <v>45</v>
      </c>
      <c r="M106" s="83">
        <f>HYPERLINK("https://abi.ru/products/Охлажденные/Вязанка/Сливушки/Сосиски/P003163/","Сосиски Сливочные Сливушки Фикс.вес 0,67 П/а мгс Вязанка")</f>
        <v/>
      </c>
      <c r="N106" s="74" t="n"/>
      <c r="O106" s="74" t="n"/>
      <c r="P106" s="74" t="n"/>
      <c r="Q106" s="71" t="n"/>
      <c r="R106" s="26" t="inlineStr"/>
      <c r="S106" s="26" t="inlineStr"/>
      <c r="T106" s="27" t="inlineStr">
        <is>
          <t>кг</t>
        </is>
      </c>
      <c r="U106" s="75" t="n">
        <v>0</v>
      </c>
      <c r="V106" s="76">
        <f>IFERROR(IF(U106="",0,CEILING((U106/$H106),1)*$H106),"")</f>
        <v/>
      </c>
      <c r="W106" s="30">
        <f>IFERROR(IF(V106=0,"",ROUNDUP(V106/H106,0)*0.00937),"")</f>
        <v/>
      </c>
      <c r="X106" s="31" t="inlineStr"/>
      <c r="Y106" s="32" t="inlineStr"/>
    </row>
    <row r="107">
      <c r="A107" s="34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77" t="n"/>
      <c r="M107" s="78" t="inlineStr">
        <is>
          <t>Итого</t>
        </is>
      </c>
      <c r="N107" s="79" t="n"/>
      <c r="O107" s="79" t="n"/>
      <c r="P107" s="79" t="n"/>
      <c r="Q107" s="79" t="n"/>
      <c r="R107" s="79" t="n"/>
      <c r="S107" s="80" t="n"/>
      <c r="T107" s="38" t="inlineStr">
        <is>
          <t>кор</t>
        </is>
      </c>
      <c r="U107" s="81">
        <f>IFERROR(U103/H103,"0")+IFERROR(U104/H104,"0")+IFERROR(U105/H105,"0")+IFERROR(U106/H106,"0")</f>
        <v/>
      </c>
      <c r="V107" s="81">
        <f>IFERROR(V103/H103,"0")+IFERROR(V104/H104,"0")+IFERROR(V105/H105,"0")+IFERROR(V106/H106,"0")</f>
        <v/>
      </c>
      <c r="W107" s="81">
        <f>IFERROR(IF(W103="",0,W103),"0")+IFERROR(IF(W104="",0,W104),"0")+IFERROR(IF(W105="",0,W105),"0")+IFERROR(IF(W106="",0,W106),"0")</f>
        <v/>
      </c>
      <c r="X107" s="82" t="n"/>
      <c r="Y107" s="82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77" t="n"/>
      <c r="M108" s="78" t="inlineStr">
        <is>
          <t>Итого</t>
        </is>
      </c>
      <c r="N108" s="79" t="n"/>
      <c r="O108" s="79" t="n"/>
      <c r="P108" s="79" t="n"/>
      <c r="Q108" s="79" t="n"/>
      <c r="R108" s="79" t="n"/>
      <c r="S108" s="80" t="n"/>
      <c r="T108" s="38" t="inlineStr">
        <is>
          <t>кг</t>
        </is>
      </c>
      <c r="U108" s="81">
        <f>IFERROR(SUM(U103:U106),"0")</f>
        <v/>
      </c>
      <c r="V108" s="81">
        <f>IFERROR(SUM(V103:V106),"0")</f>
        <v/>
      </c>
      <c r="W108" s="38" t="n"/>
      <c r="X108" s="82" t="n"/>
      <c r="Y108" s="82" t="n"/>
    </row>
    <row r="109" ht="20.25" customHeight="1">
      <c r="A109" s="11" t="inlineStr">
        <is>
          <t>Стародворье</t>
        </is>
      </c>
      <c r="B109" s="70" t="n"/>
      <c r="C109" s="70" t="n"/>
      <c r="D109" s="70" t="n"/>
      <c r="E109" s="70" t="n"/>
      <c r="F109" s="70" t="n"/>
      <c r="G109" s="70" t="n"/>
      <c r="H109" s="70" t="n"/>
      <c r="I109" s="70" t="n"/>
      <c r="J109" s="70" t="n"/>
      <c r="K109" s="70" t="n"/>
      <c r="L109" s="70" t="n"/>
      <c r="M109" s="70" t="n"/>
      <c r="N109" s="70" t="n"/>
      <c r="O109" s="70" t="n"/>
      <c r="P109" s="70" t="n"/>
      <c r="Q109" s="70" t="n"/>
      <c r="R109" s="70" t="n"/>
      <c r="S109" s="70" t="n"/>
      <c r="T109" s="70" t="n"/>
      <c r="U109" s="70" t="n"/>
      <c r="V109" s="70" t="n"/>
      <c r="W109" s="70" t="n"/>
      <c r="X109" s="12" t="n"/>
      <c r="Y109" s="12" t="n"/>
    </row>
    <row r="110">
      <c r="A110" s="14" t="inlineStr">
        <is>
          <t>Золоченная в печи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4" t="n"/>
      <c r="Y110" s="14" t="n"/>
    </row>
    <row r="111">
      <c r="A111" s="16" t="inlineStr">
        <is>
          <t>Вареные колбасы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6" t="n"/>
      <c r="Y111" s="16" t="n"/>
    </row>
    <row r="112">
      <c r="A112" s="17" t="inlineStr">
        <is>
          <t>SU002201</t>
        </is>
      </c>
      <c r="B112" s="17" t="inlineStr">
        <is>
          <t>P002567</t>
        </is>
      </c>
      <c r="C112" s="18" t="n">
        <v>4301011223</v>
      </c>
      <c r="D112" s="19" t="n">
        <v>4607091383423</v>
      </c>
      <c r="E112" s="71" t="n"/>
      <c r="F112" s="72" t="n">
        <v>1.35</v>
      </c>
      <c r="G112" s="21" t="n">
        <v>8</v>
      </c>
      <c r="H112" s="72" t="n">
        <v>10.8</v>
      </c>
      <c r="I112" s="72" t="n">
        <v>11.376</v>
      </c>
      <c r="J112" s="21" t="n">
        <v>56</v>
      </c>
      <c r="K112" s="22" t="inlineStr">
        <is>
          <t>СК3</t>
        </is>
      </c>
      <c r="L112" s="21" t="n">
        <v>35</v>
      </c>
      <c r="M112" s="8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12" s="74" t="n"/>
      <c r="O112" s="74" t="n"/>
      <c r="P112" s="74" t="n"/>
      <c r="Q112" s="71" t="n"/>
      <c r="R112" s="26" t="inlineStr"/>
      <c r="S112" s="26" t="inlineStr"/>
      <c r="T112" s="27" t="inlineStr">
        <is>
          <t>кг</t>
        </is>
      </c>
      <c r="U112" s="75" t="n">
        <v>0</v>
      </c>
      <c r="V112" s="76">
        <f>IFERROR(IF(U112="",0,CEILING((U112/$H112),1)*$H112),"")</f>
        <v/>
      </c>
      <c r="W112" s="30">
        <f>IFERROR(IF(V112=0,"",ROUNDUP(V112/H112,0)*0.02175),"")</f>
        <v/>
      </c>
      <c r="X112" s="31" t="inlineStr"/>
      <c r="Y112" s="32" t="inlineStr"/>
    </row>
    <row r="113">
      <c r="A113" s="17" t="inlineStr">
        <is>
          <t>SU002203</t>
        </is>
      </c>
      <c r="B113" s="17" t="inlineStr">
        <is>
          <t>P002568</t>
        </is>
      </c>
      <c r="C113" s="18" t="n">
        <v>4301011338</v>
      </c>
      <c r="D113" s="19" t="n">
        <v>4607091381405</v>
      </c>
      <c r="E113" s="71" t="n"/>
      <c r="F113" s="72" t="n">
        <v>1.35</v>
      </c>
      <c r="G113" s="21" t="n">
        <v>8</v>
      </c>
      <c r="H113" s="72" t="n">
        <v>10.8</v>
      </c>
      <c r="I113" s="72" t="n">
        <v>11.376</v>
      </c>
      <c r="J113" s="21" t="n">
        <v>56</v>
      </c>
      <c r="K113" s="22" t="inlineStr">
        <is>
          <t>СК2</t>
        </is>
      </c>
      <c r="L113" s="21" t="n">
        <v>35</v>
      </c>
      <c r="M113" s="8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13" s="74" t="n"/>
      <c r="O113" s="74" t="n"/>
      <c r="P113" s="74" t="n"/>
      <c r="Q113" s="71" t="n"/>
      <c r="R113" s="26" t="inlineStr"/>
      <c r="S113" s="26" t="inlineStr"/>
      <c r="T113" s="27" t="inlineStr">
        <is>
          <t>кг</t>
        </is>
      </c>
      <c r="U113" s="75" t="n">
        <v>0</v>
      </c>
      <c r="V113" s="76">
        <f>IFERROR(IF(U113="",0,CEILING((U113/$H113),1)*$H113),"")</f>
        <v/>
      </c>
      <c r="W113" s="30">
        <f>IFERROR(IF(V113=0,"",ROUNDUP(V113/H113,0)*0.02175),"")</f>
        <v/>
      </c>
      <c r="X113" s="31" t="inlineStr"/>
      <c r="Y113" s="32" t="inlineStr"/>
    </row>
    <row r="114">
      <c r="A114" s="17" t="inlineStr">
        <is>
          <t>SU002216</t>
        </is>
      </c>
      <c r="B114" s="17" t="inlineStr">
        <is>
          <t>P002400</t>
        </is>
      </c>
      <c r="C114" s="18" t="n">
        <v>4301011333</v>
      </c>
      <c r="D114" s="19" t="n">
        <v>4607091386516</v>
      </c>
      <c r="E114" s="71" t="n"/>
      <c r="F114" s="72" t="n">
        <v>1.4</v>
      </c>
      <c r="G114" s="21" t="n">
        <v>8</v>
      </c>
      <c r="H114" s="72" t="n">
        <v>11.2</v>
      </c>
      <c r="I114" s="72" t="n">
        <v>11.776</v>
      </c>
      <c r="J114" s="21" t="n">
        <v>56</v>
      </c>
      <c r="K114" s="22" t="inlineStr">
        <is>
          <t>СК2</t>
        </is>
      </c>
      <c r="L114" s="21" t="n">
        <v>30</v>
      </c>
      <c r="M114" s="8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14" s="74" t="n"/>
      <c r="O114" s="74" t="n"/>
      <c r="P114" s="74" t="n"/>
      <c r="Q114" s="71" t="n"/>
      <c r="R114" s="26" t="inlineStr"/>
      <c r="S114" s="26" t="inlineStr"/>
      <c r="T114" s="27" t="inlineStr">
        <is>
          <t>кг</t>
        </is>
      </c>
      <c r="U114" s="75" t="n">
        <v>0</v>
      </c>
      <c r="V114" s="76">
        <f>IFERROR(IF(U114="",0,CEILING((U114/$H114),1)*$H114),"")</f>
        <v/>
      </c>
      <c r="W114" s="30">
        <f>IFERROR(IF(V114=0,"",ROUNDUP(V114/H114,0)*0.02175),"")</f>
        <v/>
      </c>
      <c r="X114" s="31" t="inlineStr"/>
      <c r="Y114" s="32" t="inlineStr"/>
    </row>
    <row r="115">
      <c r="A115" s="34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77" t="n"/>
      <c r="M115" s="78" t="inlineStr">
        <is>
          <t>Итого</t>
        </is>
      </c>
      <c r="N115" s="79" t="n"/>
      <c r="O115" s="79" t="n"/>
      <c r="P115" s="79" t="n"/>
      <c r="Q115" s="79" t="n"/>
      <c r="R115" s="79" t="n"/>
      <c r="S115" s="80" t="n"/>
      <c r="T115" s="38" t="inlineStr">
        <is>
          <t>кор</t>
        </is>
      </c>
      <c r="U115" s="81">
        <f>IFERROR(U112/H112,"0")+IFERROR(U113/H113,"0")+IFERROR(U114/H114,"0")</f>
        <v/>
      </c>
      <c r="V115" s="81">
        <f>IFERROR(V112/H112,"0")+IFERROR(V113/H113,"0")+IFERROR(V114/H114,"0")</f>
        <v/>
      </c>
      <c r="W115" s="81">
        <f>IFERROR(IF(W112="",0,W112),"0")+IFERROR(IF(W113="",0,W113),"0")+IFERROR(IF(W114="",0,W114),"0")</f>
        <v/>
      </c>
      <c r="X115" s="82" t="n"/>
      <c r="Y115" s="82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77" t="n"/>
      <c r="M116" s="78" t="inlineStr">
        <is>
          <t>Итого</t>
        </is>
      </c>
      <c r="N116" s="79" t="n"/>
      <c r="O116" s="79" t="n"/>
      <c r="P116" s="79" t="n"/>
      <c r="Q116" s="79" t="n"/>
      <c r="R116" s="79" t="n"/>
      <c r="S116" s="80" t="n"/>
      <c r="T116" s="38" t="inlineStr">
        <is>
          <t>кг</t>
        </is>
      </c>
      <c r="U116" s="81">
        <f>IFERROR(SUM(U112:U114),"0")</f>
        <v/>
      </c>
      <c r="V116" s="81">
        <f>IFERROR(SUM(V112:V114),"0")</f>
        <v/>
      </c>
      <c r="W116" s="38" t="n"/>
      <c r="X116" s="82" t="n"/>
      <c r="Y116" s="82" t="n"/>
    </row>
    <row r="117">
      <c r="A117" s="14" t="inlineStr">
        <is>
          <t>Бордо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4" t="n"/>
      <c r="Y117" s="14" t="n"/>
    </row>
    <row r="118">
      <c r="A118" s="16" t="inlineStr">
        <is>
          <t>Вареные колбасы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6" t="n"/>
      <c r="Y118" s="16" t="n"/>
    </row>
    <row r="119">
      <c r="A119" s="17" t="inlineStr">
        <is>
          <t>SU000057</t>
        </is>
      </c>
      <c r="B119" s="17" t="inlineStr">
        <is>
          <t>P002047</t>
        </is>
      </c>
      <c r="C119" s="18" t="n">
        <v>4301011346</v>
      </c>
      <c r="D119" s="19" t="n">
        <v>4607091387445</v>
      </c>
      <c r="E119" s="71" t="n"/>
      <c r="F119" s="72" t="n">
        <v>0.9</v>
      </c>
      <c r="G119" s="21" t="n">
        <v>10</v>
      </c>
      <c r="H119" s="72" t="n">
        <v>9</v>
      </c>
      <c r="I119" s="72" t="n">
        <v>9.630000000000001</v>
      </c>
      <c r="J119" s="21" t="n">
        <v>56</v>
      </c>
      <c r="K119" s="22" t="inlineStr">
        <is>
          <t>СК1</t>
        </is>
      </c>
      <c r="L119" s="21" t="n">
        <v>31</v>
      </c>
      <c r="M119" s="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19" s="74" t="n"/>
      <c r="O119" s="74" t="n"/>
      <c r="P119" s="74" t="n"/>
      <c r="Q119" s="71" t="n"/>
      <c r="R119" s="26" t="inlineStr"/>
      <c r="S119" s="26" t="inlineStr"/>
      <c r="T119" s="27" t="inlineStr">
        <is>
          <t>кг</t>
        </is>
      </c>
      <c r="U119" s="75" t="n">
        <v>0</v>
      </c>
      <c r="V119" s="76">
        <f>IFERROR(IF(U119="",0,CEILING((U119/$H119),1)*$H119),"")</f>
        <v/>
      </c>
      <c r="W119" s="30">
        <f>IFERROR(IF(V119=0,"",ROUNDUP(V119/H119,0)*0.02175),"")</f>
        <v/>
      </c>
      <c r="X119" s="31" t="inlineStr"/>
      <c r="Y119" s="32" t="inlineStr"/>
    </row>
    <row r="120">
      <c r="A120" s="17" t="inlineStr">
        <is>
          <t>SU001777</t>
        </is>
      </c>
      <c r="B120" s="17" t="inlineStr">
        <is>
          <t>P002226</t>
        </is>
      </c>
      <c r="C120" s="18" t="n">
        <v>4301011362</v>
      </c>
      <c r="D120" s="19" t="n">
        <v>4607091386004</v>
      </c>
      <c r="E120" s="71" t="n"/>
      <c r="F120" s="72" t="n">
        <v>1.35</v>
      </c>
      <c r="G120" s="21" t="n">
        <v>8</v>
      </c>
      <c r="H120" s="72" t="n">
        <v>10.8</v>
      </c>
      <c r="I120" s="72" t="n">
        <v>11.28</v>
      </c>
      <c r="J120" s="21" t="n">
        <v>48</v>
      </c>
      <c r="K120" s="22" t="inlineStr">
        <is>
          <t>ВЗ</t>
        </is>
      </c>
      <c r="L120" s="21" t="n">
        <v>55</v>
      </c>
      <c r="M120" s="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20" s="74" t="n"/>
      <c r="O120" s="74" t="n"/>
      <c r="P120" s="74" t="n"/>
      <c r="Q120" s="71" t="n"/>
      <c r="R120" s="26" t="inlineStr"/>
      <c r="S120" s="26" t="inlineStr"/>
      <c r="T120" s="27" t="inlineStr">
        <is>
          <t>кг</t>
        </is>
      </c>
      <c r="U120" s="75" t="n">
        <v>0</v>
      </c>
      <c r="V120" s="76">
        <f>IFERROR(IF(U120="",0,CEILING((U120/$H120),1)*$H120),"")</f>
        <v/>
      </c>
      <c r="W120" s="30">
        <f>IFERROR(IF(V120=0,"",ROUNDUP(V120/H120,0)*0.02039),"")</f>
        <v/>
      </c>
      <c r="X120" s="31" t="inlineStr"/>
      <c r="Y120" s="32" t="inlineStr"/>
    </row>
    <row r="121">
      <c r="A121" s="17" t="inlineStr">
        <is>
          <t>SU001777</t>
        </is>
      </c>
      <c r="B121" s="17" t="inlineStr">
        <is>
          <t>P001777</t>
        </is>
      </c>
      <c r="C121" s="18" t="n">
        <v>4301011308</v>
      </c>
      <c r="D121" s="19" t="n">
        <v>4607091386004</v>
      </c>
      <c r="E121" s="71" t="n"/>
      <c r="F121" s="72" t="n">
        <v>1.35</v>
      </c>
      <c r="G121" s="21" t="n">
        <v>8</v>
      </c>
      <c r="H121" s="72" t="n">
        <v>10.8</v>
      </c>
      <c r="I121" s="72" t="n">
        <v>11.28</v>
      </c>
      <c r="J121" s="21" t="n">
        <v>56</v>
      </c>
      <c r="K121" s="22" t="inlineStr">
        <is>
          <t>СК1</t>
        </is>
      </c>
      <c r="L121" s="21" t="n">
        <v>55</v>
      </c>
      <c r="M121" s="8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21" s="74" t="n"/>
      <c r="O121" s="74" t="n"/>
      <c r="P121" s="74" t="n"/>
      <c r="Q121" s="71" t="n"/>
      <c r="R121" s="26" t="inlineStr"/>
      <c r="S121" s="26" t="inlineStr"/>
      <c r="T121" s="27" t="inlineStr">
        <is>
          <t>кг</t>
        </is>
      </c>
      <c r="U121" s="75" t="n">
        <v>0</v>
      </c>
      <c r="V121" s="76">
        <f>IFERROR(IF(U121="",0,CEILING((U121/$H121),1)*$H121),"")</f>
        <v/>
      </c>
      <c r="W121" s="30">
        <f>IFERROR(IF(V121=0,"",ROUNDUP(V121/H121,0)*0.02175),"")</f>
        <v/>
      </c>
      <c r="X121" s="31" t="inlineStr"/>
      <c r="Y121" s="32" t="inlineStr"/>
    </row>
    <row r="122">
      <c r="A122" s="17" t="inlineStr">
        <is>
          <t>SU000058</t>
        </is>
      </c>
      <c r="B122" s="17" t="inlineStr">
        <is>
          <t>P002048</t>
        </is>
      </c>
      <c r="C122" s="18" t="n">
        <v>4301011347</v>
      </c>
      <c r="D122" s="19" t="n">
        <v>4607091386073</v>
      </c>
      <c r="E122" s="71" t="n"/>
      <c r="F122" s="72" t="n">
        <v>0.9</v>
      </c>
      <c r="G122" s="21" t="n">
        <v>10</v>
      </c>
      <c r="H122" s="72" t="n">
        <v>9</v>
      </c>
      <c r="I122" s="72" t="n">
        <v>9.630000000000001</v>
      </c>
      <c r="J122" s="21" t="n">
        <v>56</v>
      </c>
      <c r="K122" s="22" t="inlineStr">
        <is>
          <t>СК1</t>
        </is>
      </c>
      <c r="L122" s="21" t="n">
        <v>31</v>
      </c>
      <c r="M122" s="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22" s="74" t="n"/>
      <c r="O122" s="74" t="n"/>
      <c r="P122" s="74" t="n"/>
      <c r="Q122" s="71" t="n"/>
      <c r="R122" s="26" t="inlineStr"/>
      <c r="S122" s="26" t="inlineStr"/>
      <c r="T122" s="27" t="inlineStr">
        <is>
          <t>кг</t>
        </is>
      </c>
      <c r="U122" s="75" t="n">
        <v>0</v>
      </c>
      <c r="V122" s="76">
        <f>IFERROR(IF(U122="",0,CEILING((U122/$H122),1)*$H122),"")</f>
        <v/>
      </c>
      <c r="W122" s="30">
        <f>IFERROR(IF(V122=0,"",ROUNDUP(V122/H122,0)*0.02175),"")</f>
        <v/>
      </c>
      <c r="X122" s="31" t="inlineStr"/>
      <c r="Y122" s="32" t="inlineStr"/>
    </row>
    <row r="123">
      <c r="A123" s="17" t="inlineStr">
        <is>
          <t>SU001780</t>
        </is>
      </c>
      <c r="B123" s="17" t="inlineStr">
        <is>
          <t>P003075</t>
        </is>
      </c>
      <c r="C123" s="18" t="n">
        <v>4301011395</v>
      </c>
      <c r="D123" s="19" t="n">
        <v>4607091387322</v>
      </c>
      <c r="E123" s="71" t="n"/>
      <c r="F123" s="72" t="n">
        <v>1.35</v>
      </c>
      <c r="G123" s="21" t="n">
        <v>8</v>
      </c>
      <c r="H123" s="72" t="n">
        <v>10.8</v>
      </c>
      <c r="I123" s="72" t="n">
        <v>11.28</v>
      </c>
      <c r="J123" s="21" t="n">
        <v>48</v>
      </c>
      <c r="K123" s="22" t="inlineStr">
        <is>
          <t>ВЗ</t>
        </is>
      </c>
      <c r="L123" s="21" t="n">
        <v>55</v>
      </c>
      <c r="M123" s="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23" s="74" t="n"/>
      <c r="O123" s="74" t="n"/>
      <c r="P123" s="74" t="n"/>
      <c r="Q123" s="71" t="n"/>
      <c r="R123" s="26" t="inlineStr"/>
      <c r="S123" s="26" t="inlineStr"/>
      <c r="T123" s="27" t="inlineStr">
        <is>
          <t>кг</t>
        </is>
      </c>
      <c r="U123" s="75" t="n">
        <v>0</v>
      </c>
      <c r="V123" s="76">
        <f>IFERROR(IF(U123="",0,CEILING((U123/$H123),1)*$H123),"")</f>
        <v/>
      </c>
      <c r="W123" s="30">
        <f>IFERROR(IF(V123=0,"",ROUNDUP(V123/H123,0)*0.02039),"")</f>
        <v/>
      </c>
      <c r="X123" s="31" t="inlineStr"/>
      <c r="Y123" s="32" t="inlineStr"/>
    </row>
    <row r="124">
      <c r="A124" s="17" t="inlineStr">
        <is>
          <t>SU001780</t>
        </is>
      </c>
      <c r="B124" s="17" t="inlineStr">
        <is>
          <t>P001780</t>
        </is>
      </c>
      <c r="C124" s="18" t="n">
        <v>4301010928</v>
      </c>
      <c r="D124" s="19" t="n">
        <v>4607091387322</v>
      </c>
      <c r="E124" s="71" t="n"/>
      <c r="F124" s="72" t="n">
        <v>1.35</v>
      </c>
      <c r="G124" s="21" t="n">
        <v>8</v>
      </c>
      <c r="H124" s="72" t="n">
        <v>10.8</v>
      </c>
      <c r="I124" s="72" t="n">
        <v>11.28</v>
      </c>
      <c r="J124" s="21" t="n">
        <v>56</v>
      </c>
      <c r="K124" s="22" t="inlineStr">
        <is>
          <t>СК1</t>
        </is>
      </c>
      <c r="L124" s="21" t="n">
        <v>55</v>
      </c>
      <c r="M124" s="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24" s="74" t="n"/>
      <c r="O124" s="74" t="n"/>
      <c r="P124" s="74" t="n"/>
      <c r="Q124" s="71" t="n"/>
      <c r="R124" s="26" t="inlineStr"/>
      <c r="S124" s="26" t="inlineStr"/>
      <c r="T124" s="27" t="inlineStr">
        <is>
          <t>кг</t>
        </is>
      </c>
      <c r="U124" s="75" t="n">
        <v>0</v>
      </c>
      <c r="V124" s="76">
        <f>IFERROR(IF(U124="",0,CEILING((U124/$H124),1)*$H124),"")</f>
        <v/>
      </c>
      <c r="W124" s="30">
        <f>IFERROR(IF(V124=0,"",ROUNDUP(V124/H124,0)*0.02175),"")</f>
        <v/>
      </c>
      <c r="X124" s="31" t="inlineStr"/>
      <c r="Y124" s="32" t="inlineStr"/>
    </row>
    <row r="125">
      <c r="A125" s="17" t="inlineStr">
        <is>
          <t>SU001778</t>
        </is>
      </c>
      <c r="B125" s="17" t="inlineStr">
        <is>
          <t>P001778</t>
        </is>
      </c>
      <c r="C125" s="18" t="n">
        <v>4301011311</v>
      </c>
      <c r="D125" s="19" t="n">
        <v>4607091387377</v>
      </c>
      <c r="E125" s="71" t="n"/>
      <c r="F125" s="72" t="n">
        <v>1.35</v>
      </c>
      <c r="G125" s="21" t="n">
        <v>8</v>
      </c>
      <c r="H125" s="72" t="n">
        <v>10.8</v>
      </c>
      <c r="I125" s="72" t="n">
        <v>11.28</v>
      </c>
      <c r="J125" s="21" t="n">
        <v>56</v>
      </c>
      <c r="K125" s="22" t="inlineStr">
        <is>
          <t>СК1</t>
        </is>
      </c>
      <c r="L125" s="21" t="n">
        <v>55</v>
      </c>
      <c r="M125" s="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25" s="74" t="n"/>
      <c r="O125" s="74" t="n"/>
      <c r="P125" s="74" t="n"/>
      <c r="Q125" s="71" t="n"/>
      <c r="R125" s="26" t="inlineStr"/>
      <c r="S125" s="26" t="inlineStr"/>
      <c r="T125" s="27" t="inlineStr">
        <is>
          <t>кг</t>
        </is>
      </c>
      <c r="U125" s="75" t="n">
        <v>0</v>
      </c>
      <c r="V125" s="76">
        <f>IFERROR(IF(U125="",0,CEILING((U125/$H125),1)*$H125),"")</f>
        <v/>
      </c>
      <c r="W125" s="30">
        <f>IFERROR(IF(V125=0,"",ROUNDUP(V125/H125,0)*0.02175),"")</f>
        <v/>
      </c>
      <c r="X125" s="31" t="inlineStr"/>
      <c r="Y125" s="32" t="inlineStr"/>
    </row>
    <row r="126">
      <c r="A126" s="17" t="inlineStr">
        <is>
          <t>SU002824</t>
        </is>
      </c>
      <c r="B126" s="17" t="inlineStr">
        <is>
          <t>P003231</t>
        </is>
      </c>
      <c r="C126" s="18" t="n">
        <v>4301011450</v>
      </c>
      <c r="D126" s="19" t="n">
        <v>4680115881402</v>
      </c>
      <c r="E126" s="71" t="n"/>
      <c r="F126" s="72" t="n">
        <v>1.35</v>
      </c>
      <c r="G126" s="21" t="n">
        <v>8</v>
      </c>
      <c r="H126" s="72" t="n">
        <v>10.8</v>
      </c>
      <c r="I126" s="72" t="n">
        <v>11.28</v>
      </c>
      <c r="J126" s="21" t="n">
        <v>56</v>
      </c>
      <c r="K126" s="22" t="inlineStr">
        <is>
          <t>СК1</t>
        </is>
      </c>
      <c r="L126" s="21" t="n">
        <v>55</v>
      </c>
      <c r="M126" s="73" t="inlineStr">
        <is>
          <t>Вареные колбасы "Сочинка" Весовой п/а ТМ "Стародворье"</t>
        </is>
      </c>
      <c r="N126" s="74" t="n"/>
      <c r="O126" s="74" t="n"/>
      <c r="P126" s="74" t="n"/>
      <c r="Q126" s="71" t="n"/>
      <c r="R126" s="26" t="inlineStr"/>
      <c r="S126" s="26" t="inlineStr"/>
      <c r="T126" s="27" t="inlineStr">
        <is>
          <t>кг</t>
        </is>
      </c>
      <c r="U126" s="75" t="n">
        <v>0</v>
      </c>
      <c r="V126" s="76">
        <f>IFERROR(IF(U126="",0,CEILING((U126/$H126),1)*$H126),"")</f>
        <v/>
      </c>
      <c r="W126" s="30">
        <f>IFERROR(IF(V126=0,"",ROUNDUP(V126/H126,0)*0.02175),"")</f>
        <v/>
      </c>
      <c r="X126" s="31" t="inlineStr"/>
      <c r="Y126" s="32" t="inlineStr"/>
    </row>
    <row r="127">
      <c r="A127" s="17" t="inlineStr">
        <is>
          <t>SU000043</t>
        </is>
      </c>
      <c r="B127" s="17" t="inlineStr">
        <is>
          <t>P001807</t>
        </is>
      </c>
      <c r="C127" s="18" t="n">
        <v>4301010945</v>
      </c>
      <c r="D127" s="19" t="n">
        <v>4607091387353</v>
      </c>
      <c r="E127" s="71" t="n"/>
      <c r="F127" s="72" t="n">
        <v>1.35</v>
      </c>
      <c r="G127" s="21" t="n">
        <v>8</v>
      </c>
      <c r="H127" s="72" t="n">
        <v>10.8</v>
      </c>
      <c r="I127" s="72" t="n">
        <v>11.28</v>
      </c>
      <c r="J127" s="21" t="n">
        <v>56</v>
      </c>
      <c r="K127" s="22" t="inlineStr">
        <is>
          <t>СК1</t>
        </is>
      </c>
      <c r="L127" s="21" t="n">
        <v>55</v>
      </c>
      <c r="M127" s="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27" s="74" t="n"/>
      <c r="O127" s="74" t="n"/>
      <c r="P127" s="74" t="n"/>
      <c r="Q127" s="71" t="n"/>
      <c r="R127" s="26" t="inlineStr"/>
      <c r="S127" s="26" t="inlineStr"/>
      <c r="T127" s="27" t="inlineStr">
        <is>
          <t>кг</t>
        </is>
      </c>
      <c r="U127" s="75" t="n">
        <v>0</v>
      </c>
      <c r="V127" s="76">
        <f>IFERROR(IF(U127="",0,CEILING((U127/$H127),1)*$H127),"")</f>
        <v/>
      </c>
      <c r="W127" s="30">
        <f>IFERROR(IF(V127=0,"",ROUNDUP(V127/H127,0)*0.02175),"")</f>
        <v/>
      </c>
      <c r="X127" s="31" t="inlineStr"/>
      <c r="Y127" s="32" t="inlineStr"/>
    </row>
    <row r="128">
      <c r="A128" s="17" t="inlineStr">
        <is>
          <t>SU001800</t>
        </is>
      </c>
      <c r="B128" s="17" t="inlineStr">
        <is>
          <t>P001800</t>
        </is>
      </c>
      <c r="C128" s="18" t="n">
        <v>4301011328</v>
      </c>
      <c r="D128" s="19" t="n">
        <v>4607091386011</v>
      </c>
      <c r="E128" s="71" t="n"/>
      <c r="F128" s="72" t="n">
        <v>0.5</v>
      </c>
      <c r="G128" s="21" t="n">
        <v>10</v>
      </c>
      <c r="H128" s="72" t="n">
        <v>5</v>
      </c>
      <c r="I128" s="72" t="n">
        <v>5.21</v>
      </c>
      <c r="J128" s="21" t="n">
        <v>120</v>
      </c>
      <c r="K128" s="22" t="inlineStr">
        <is>
          <t>СК2</t>
        </is>
      </c>
      <c r="L128" s="21" t="n">
        <v>55</v>
      </c>
      <c r="M128" s="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28" s="74" t="n"/>
      <c r="O128" s="74" t="n"/>
      <c r="P128" s="74" t="n"/>
      <c r="Q128" s="71" t="n"/>
      <c r="R128" s="26" t="inlineStr"/>
      <c r="S128" s="26" t="inlineStr"/>
      <c r="T128" s="27" t="inlineStr">
        <is>
          <t>кг</t>
        </is>
      </c>
      <c r="U128" s="75" t="n">
        <v>0</v>
      </c>
      <c r="V128" s="76">
        <f>IFERROR(IF(U128="",0,CEILING((U128/$H128),1)*$H128),"")</f>
        <v/>
      </c>
      <c r="W128" s="30">
        <f>IFERROR(IF(V128=0,"",ROUNDUP(V128/H128,0)*0.00937),"")</f>
        <v/>
      </c>
      <c r="X128" s="31" t="inlineStr"/>
      <c r="Y128" s="32" t="inlineStr"/>
    </row>
    <row r="129">
      <c r="A129" s="17" t="inlineStr">
        <is>
          <t>SU001805</t>
        </is>
      </c>
      <c r="B129" s="17" t="inlineStr">
        <is>
          <t>P001805</t>
        </is>
      </c>
      <c r="C129" s="18" t="n">
        <v>4301011329</v>
      </c>
      <c r="D129" s="19" t="n">
        <v>4607091387308</v>
      </c>
      <c r="E129" s="71" t="n"/>
      <c r="F129" s="72" t="n">
        <v>0.5</v>
      </c>
      <c r="G129" s="21" t="n">
        <v>10</v>
      </c>
      <c r="H129" s="72" t="n">
        <v>5</v>
      </c>
      <c r="I129" s="72" t="n">
        <v>5.21</v>
      </c>
      <c r="J129" s="21" t="n">
        <v>120</v>
      </c>
      <c r="K129" s="22" t="inlineStr">
        <is>
          <t>СК2</t>
        </is>
      </c>
      <c r="L129" s="21" t="n">
        <v>55</v>
      </c>
      <c r="M129" s="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29" s="74" t="n"/>
      <c r="O129" s="74" t="n"/>
      <c r="P129" s="74" t="n"/>
      <c r="Q129" s="71" t="n"/>
      <c r="R129" s="26" t="inlineStr"/>
      <c r="S129" s="26" t="inlineStr"/>
      <c r="T129" s="27" t="inlineStr">
        <is>
          <t>кг</t>
        </is>
      </c>
      <c r="U129" s="75" t="n">
        <v>0</v>
      </c>
      <c r="V129" s="76">
        <f>IFERROR(IF(U129="",0,CEILING((U129/$H129),1)*$H129),"")</f>
        <v/>
      </c>
      <c r="W129" s="30">
        <f>IFERROR(IF(V129=0,"",ROUNDUP(V129/H129,0)*0.00937),"")</f>
        <v/>
      </c>
      <c r="X129" s="31" t="inlineStr"/>
      <c r="Y129" s="32" t="inlineStr"/>
    </row>
    <row r="130">
      <c r="A130" s="17" t="inlineStr">
        <is>
          <t>SU001829</t>
        </is>
      </c>
      <c r="B130" s="17" t="inlineStr">
        <is>
          <t>P001829</t>
        </is>
      </c>
      <c r="C130" s="18" t="n">
        <v>4301011049</v>
      </c>
      <c r="D130" s="19" t="n">
        <v>4607091387339</v>
      </c>
      <c r="E130" s="71" t="n"/>
      <c r="F130" s="72" t="n">
        <v>0.5</v>
      </c>
      <c r="G130" s="21" t="n">
        <v>10</v>
      </c>
      <c r="H130" s="72" t="n">
        <v>5</v>
      </c>
      <c r="I130" s="72" t="n">
        <v>5.24</v>
      </c>
      <c r="J130" s="21" t="n">
        <v>120</v>
      </c>
      <c r="K130" s="22" t="inlineStr">
        <is>
          <t>СК1</t>
        </is>
      </c>
      <c r="L130" s="21" t="n">
        <v>55</v>
      </c>
      <c r="M130" s="8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30" s="74" t="n"/>
      <c r="O130" s="74" t="n"/>
      <c r="P130" s="74" t="n"/>
      <c r="Q130" s="71" t="n"/>
      <c r="R130" s="26" t="inlineStr"/>
      <c r="S130" s="26" t="inlineStr"/>
      <c r="T130" s="27" t="inlineStr">
        <is>
          <t>кг</t>
        </is>
      </c>
      <c r="U130" s="75" t="n">
        <v>0</v>
      </c>
      <c r="V130" s="76">
        <f>IFERROR(IF(U130="",0,CEILING((U130/$H130),1)*$H130),"")</f>
        <v/>
      </c>
      <c r="W130" s="30">
        <f>IFERROR(IF(V130=0,"",ROUNDUP(V130/H130,0)*0.00937),"")</f>
        <v/>
      </c>
      <c r="X130" s="31" t="inlineStr"/>
      <c r="Y130" s="32" t="inlineStr"/>
    </row>
    <row r="131">
      <c r="A131" s="17" t="inlineStr">
        <is>
          <t>SU002787</t>
        </is>
      </c>
      <c r="B131" s="17" t="inlineStr">
        <is>
          <t>P003189</t>
        </is>
      </c>
      <c r="C131" s="18" t="n">
        <v>4301011433</v>
      </c>
      <c r="D131" s="19" t="n">
        <v>4680115882638</v>
      </c>
      <c r="E131" s="71" t="n"/>
      <c r="F131" s="72" t="n">
        <v>0.4</v>
      </c>
      <c r="G131" s="21" t="n">
        <v>10</v>
      </c>
      <c r="H131" s="72" t="n">
        <v>4</v>
      </c>
      <c r="I131" s="72" t="n">
        <v>4.24</v>
      </c>
      <c r="J131" s="21" t="n">
        <v>120</v>
      </c>
      <c r="K131" s="22" t="inlineStr">
        <is>
          <t>СК1</t>
        </is>
      </c>
      <c r="L131" s="21" t="n">
        <v>90</v>
      </c>
      <c r="M131" s="73" t="inlineStr">
        <is>
          <t>Вареные колбасы "Молочная с нежным филе" Фикс.вес 0,4 кг п/а ТМ "Особый рецепт"</t>
        </is>
      </c>
      <c r="N131" s="74" t="n"/>
      <c r="O131" s="74" t="n"/>
      <c r="P131" s="74" t="n"/>
      <c r="Q131" s="71" t="n"/>
      <c r="R131" s="26" t="inlineStr"/>
      <c r="S131" s="26" t="inlineStr"/>
      <c r="T131" s="27" t="inlineStr">
        <is>
          <t>кг</t>
        </is>
      </c>
      <c r="U131" s="75" t="n">
        <v>0</v>
      </c>
      <c r="V131" s="76">
        <f>IFERROR(IF(U131="",0,CEILING((U131/$H131),1)*$H131),"")</f>
        <v/>
      </c>
      <c r="W131" s="30">
        <f>IFERROR(IF(V131=0,"",ROUNDUP(V131/H131,0)*0.00937),"")</f>
        <v/>
      </c>
      <c r="X131" s="31" t="inlineStr"/>
      <c r="Y131" s="32" t="inlineStr"/>
    </row>
    <row r="132">
      <c r="A132" s="17" t="inlineStr">
        <is>
          <t>SU002894</t>
        </is>
      </c>
      <c r="B132" s="17" t="inlineStr">
        <is>
          <t>P003314</t>
        </is>
      </c>
      <c r="C132" s="18" t="n">
        <v>4301011573</v>
      </c>
      <c r="D132" s="19" t="n">
        <v>4680115881938</v>
      </c>
      <c r="E132" s="71" t="n"/>
      <c r="F132" s="72" t="n">
        <v>0.4</v>
      </c>
      <c r="G132" s="21" t="n">
        <v>10</v>
      </c>
      <c r="H132" s="72" t="n">
        <v>4</v>
      </c>
      <c r="I132" s="72" t="n">
        <v>4.24</v>
      </c>
      <c r="J132" s="21" t="n">
        <v>120</v>
      </c>
      <c r="K132" s="22" t="inlineStr">
        <is>
          <t>СК1</t>
        </is>
      </c>
      <c r="L132" s="21" t="n">
        <v>90</v>
      </c>
      <c r="M132" s="73" t="inlineStr">
        <is>
          <t>Вареные колбасы пастеризованная "Стародворская без шпика" Фикс.вес 0,4 п/а ТМ " Стародворье"</t>
        </is>
      </c>
      <c r="N132" s="74" t="n"/>
      <c r="O132" s="74" t="n"/>
      <c r="P132" s="74" t="n"/>
      <c r="Q132" s="71" t="n"/>
      <c r="R132" s="26" t="inlineStr"/>
      <c r="S132" s="26" t="inlineStr"/>
      <c r="T132" s="27" t="inlineStr">
        <is>
          <t>кг</t>
        </is>
      </c>
      <c r="U132" s="75" t="n">
        <v>0</v>
      </c>
      <c r="V132" s="76">
        <f>IFERROR(IF(U132="",0,CEILING((U132/$H132),1)*$H132),"")</f>
        <v/>
      </c>
      <c r="W132" s="30">
        <f>IFERROR(IF(V132=0,"",ROUNDUP(V132/H132,0)*0.00937),"")</f>
        <v/>
      </c>
      <c r="X132" s="31" t="inlineStr"/>
      <c r="Y132" s="32" t="inlineStr"/>
    </row>
    <row r="133">
      <c r="A133" s="17" t="inlineStr">
        <is>
          <t>SU002823</t>
        </is>
      </c>
      <c r="B133" s="17" t="inlineStr">
        <is>
          <t>P003230</t>
        </is>
      </c>
      <c r="C133" s="18" t="n">
        <v>4301011454</v>
      </c>
      <c r="D133" s="19" t="n">
        <v>4680115881396</v>
      </c>
      <c r="E133" s="71" t="n"/>
      <c r="F133" s="72" t="n">
        <v>0.45</v>
      </c>
      <c r="G133" s="21" t="n">
        <v>6</v>
      </c>
      <c r="H133" s="72" t="n">
        <v>2.7</v>
      </c>
      <c r="I133" s="72" t="n">
        <v>2.9</v>
      </c>
      <c r="J133" s="21" t="n">
        <v>156</v>
      </c>
      <c r="K133" s="22" t="inlineStr">
        <is>
          <t>СК2</t>
        </is>
      </c>
      <c r="L133" s="21" t="n">
        <v>55</v>
      </c>
      <c r="M133" s="73" t="inlineStr">
        <is>
          <t>Вареные колбасы Сочинка с сочным окороком ТМ Стародворье ф/в 0,45 кг</t>
        </is>
      </c>
      <c r="N133" s="74" t="n"/>
      <c r="O133" s="74" t="n"/>
      <c r="P133" s="74" t="n"/>
      <c r="Q133" s="71" t="n"/>
      <c r="R133" s="26" t="inlineStr"/>
      <c r="S133" s="26" t="inlineStr"/>
      <c r="T133" s="27" t="inlineStr">
        <is>
          <t>кг</t>
        </is>
      </c>
      <c r="U133" s="75" t="n">
        <v>0</v>
      </c>
      <c r="V133" s="76">
        <f>IFERROR(IF(U133="",0,CEILING((U133/$H133),1)*$H133),"")</f>
        <v/>
      </c>
      <c r="W133" s="30">
        <f>IFERROR(IF(V133=0,"",ROUNDUP(V133/H133,0)*0.00753),"")</f>
        <v/>
      </c>
      <c r="X133" s="31" t="inlineStr"/>
      <c r="Y133" s="32" t="inlineStr"/>
    </row>
    <row r="134">
      <c r="A134" s="17" t="inlineStr">
        <is>
          <t>SU000078</t>
        </is>
      </c>
      <c r="B134" s="17" t="inlineStr">
        <is>
          <t>P001806</t>
        </is>
      </c>
      <c r="C134" s="18" t="n">
        <v>4301010944</v>
      </c>
      <c r="D134" s="19" t="n">
        <v>4607091387346</v>
      </c>
      <c r="E134" s="71" t="n"/>
      <c r="F134" s="72" t="n">
        <v>0.4</v>
      </c>
      <c r="G134" s="21" t="n">
        <v>10</v>
      </c>
      <c r="H134" s="72" t="n">
        <v>4</v>
      </c>
      <c r="I134" s="72" t="n">
        <v>4.24</v>
      </c>
      <c r="J134" s="21" t="n">
        <v>120</v>
      </c>
      <c r="K134" s="22" t="inlineStr">
        <is>
          <t>СК1</t>
        </is>
      </c>
      <c r="L134" s="21" t="n">
        <v>55</v>
      </c>
      <c r="M134" s="8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34" s="74" t="n"/>
      <c r="O134" s="74" t="n"/>
      <c r="P134" s="74" t="n"/>
      <c r="Q134" s="71" t="n"/>
      <c r="R134" s="26" t="inlineStr"/>
      <c r="S134" s="26" t="inlineStr"/>
      <c r="T134" s="27" t="inlineStr">
        <is>
          <t>кг</t>
        </is>
      </c>
      <c r="U134" s="75" t="n">
        <v>0</v>
      </c>
      <c r="V134" s="76">
        <f>IFERROR(IF(U134="",0,CEILING((U134/$H134),1)*$H134),"")</f>
        <v/>
      </c>
      <c r="W134" s="30">
        <f>IFERROR(IF(V134=0,"",ROUNDUP(V134/H134,0)*0.00937),"")</f>
        <v/>
      </c>
      <c r="X134" s="31" t="inlineStr"/>
      <c r="Y134" s="32" t="inlineStr"/>
    </row>
    <row r="135">
      <c r="A135" s="34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77" t="n"/>
      <c r="M135" s="78" t="inlineStr">
        <is>
          <t>Итого</t>
        </is>
      </c>
      <c r="N135" s="79" t="n"/>
      <c r="O135" s="79" t="n"/>
      <c r="P135" s="79" t="n"/>
      <c r="Q135" s="79" t="n"/>
      <c r="R135" s="79" t="n"/>
      <c r="S135" s="80" t="n"/>
      <c r="T135" s="38" t="inlineStr">
        <is>
          <t>кор</t>
        </is>
      </c>
      <c r="U135" s="81">
        <f>IFERROR(U119/H119,"0")+IFERROR(U120/H120,"0")+IFERROR(U121/H121,"0")+IFERROR(U122/H122,"0")+IFERROR(U123/H123,"0")+IFERROR(U124/H124,"0")+IFERROR(U125/H125,"0")+IFERROR(U126/H126,"0")+IFERROR(U127/H127,"0")+IFERROR(U128/H128,"0")+IFERROR(U129/H129,"0")+IFERROR(U130/H130,"0")+IFERROR(U131/H131,"0")+IFERROR(U132/H132,"0")+IFERROR(U133/H133,"0")+IFERROR(U134/H134,"0")</f>
        <v/>
      </c>
      <c r="V135" s="81">
        <f>IFERROR(V119/H119,"0")+IFERROR(V120/H120,"0")+IFERROR(V121/H121,"0")+IFERROR(V122/H122,"0")+IFERROR(V123/H123,"0")+IFERROR(V124/H124,"0")+IFERROR(V125/H125,"0")+IFERROR(V126/H126,"0")+IFERROR(V127/H127,"0")+IFERROR(V128/H128,"0")+IFERROR(V129/H129,"0")+IFERROR(V130/H130,"0")+IFERROR(V131/H131,"0")+IFERROR(V132/H132,"0")+IFERROR(V133/H133,"0")+IFERROR(V134/H134,"0")</f>
        <v/>
      </c>
      <c r="W135" s="81">
        <f>IFERROR(IF(W119="",0,W119),"0")+IFERROR(IF(W120="",0,W120),"0")+IFERROR(IF(W121="",0,W121),"0")+IFERROR(IF(W122="",0,W122),"0")+IFERROR(IF(W123="",0,W123),"0")+IFERROR(IF(W124="",0,W124),"0")+IFERROR(IF(W125="",0,W125),"0")+IFERROR(IF(W126="",0,W126),"0")+IFERROR(IF(W127="",0,W127),"0")+IFERROR(IF(W128="",0,W128),"0")+IFERROR(IF(W129="",0,W129),"0")+IFERROR(IF(W130="",0,W130),"0")+IFERROR(IF(W131="",0,W131),"0")+IFERROR(IF(W132="",0,W132),"0")+IFERROR(IF(W133="",0,W133),"0")+IFERROR(IF(W134="",0,W134),"0")</f>
        <v/>
      </c>
      <c r="X135" s="82" t="n"/>
      <c r="Y135" s="82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77" t="n"/>
      <c r="M136" s="78" t="inlineStr">
        <is>
          <t>Итого</t>
        </is>
      </c>
      <c r="N136" s="79" t="n"/>
      <c r="O136" s="79" t="n"/>
      <c r="P136" s="79" t="n"/>
      <c r="Q136" s="79" t="n"/>
      <c r="R136" s="79" t="n"/>
      <c r="S136" s="80" t="n"/>
      <c r="T136" s="38" t="inlineStr">
        <is>
          <t>кг</t>
        </is>
      </c>
      <c r="U136" s="81">
        <f>IFERROR(SUM(U119:U134),"0")</f>
        <v/>
      </c>
      <c r="V136" s="81">
        <f>IFERROR(SUM(V119:V134),"0")</f>
        <v/>
      </c>
      <c r="W136" s="38" t="n"/>
      <c r="X136" s="82" t="n"/>
      <c r="Y136" s="82" t="n"/>
    </row>
    <row r="137">
      <c r="A137" s="16" t="inlineStr">
        <is>
          <t>Ветчины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" t="n"/>
      <c r="Y137" s="16" t="n"/>
    </row>
    <row r="138">
      <c r="A138" s="17" t="inlineStr">
        <is>
          <t>SU003068</t>
        </is>
      </c>
      <c r="B138" s="17" t="inlineStr">
        <is>
          <t>P003611</t>
        </is>
      </c>
      <c r="C138" s="18" t="n">
        <v>4301020262</v>
      </c>
      <c r="D138" s="19" t="n">
        <v>4680115882935</v>
      </c>
      <c r="E138" s="71" t="n"/>
      <c r="F138" s="72" t="n">
        <v>1.35</v>
      </c>
      <c r="G138" s="21" t="n">
        <v>8</v>
      </c>
      <c r="H138" s="72" t="n">
        <v>10.8</v>
      </c>
      <c r="I138" s="72" t="n">
        <v>11.28</v>
      </c>
      <c r="J138" s="21" t="n">
        <v>56</v>
      </c>
      <c r="K138" s="22" t="inlineStr">
        <is>
          <t>СК3</t>
        </is>
      </c>
      <c r="L138" s="21" t="n">
        <v>50</v>
      </c>
      <c r="M138" s="73" t="inlineStr">
        <is>
          <t>Ветчина "Сочинка с сочным окороком" Весовой п/а ТМ "Стародворье"</t>
        </is>
      </c>
      <c r="N138" s="74" t="n"/>
      <c r="O138" s="74" t="n"/>
      <c r="P138" s="74" t="n"/>
      <c r="Q138" s="71" t="n"/>
      <c r="R138" s="26" t="inlineStr"/>
      <c r="S138" s="26" t="inlineStr"/>
      <c r="T138" s="27" t="inlineStr">
        <is>
          <t>кг</t>
        </is>
      </c>
      <c r="U138" s="75" t="n">
        <v>0</v>
      </c>
      <c r="V138" s="76">
        <f>IFERROR(IF(U138="",0,CEILING((U138/$H138),1)*$H138),"")</f>
        <v/>
      </c>
      <c r="W138" s="30">
        <f>IFERROR(IF(V138=0,"",ROUNDUP(V138/H138,0)*0.02175),"")</f>
        <v/>
      </c>
      <c r="X138" s="31" t="inlineStr"/>
      <c r="Y138" s="32" t="inlineStr">
        <is>
          <t>Новинка</t>
        </is>
      </c>
    </row>
    <row r="139">
      <c r="A139" s="17" t="inlineStr">
        <is>
          <t>SU002788</t>
        </is>
      </c>
      <c r="B139" s="17" t="inlineStr">
        <is>
          <t>P003190</t>
        </is>
      </c>
      <c r="C139" s="18" t="n">
        <v>4301020254</v>
      </c>
      <c r="D139" s="19" t="n">
        <v>4680115881914</v>
      </c>
      <c r="E139" s="71" t="n"/>
      <c r="F139" s="72" t="n">
        <v>0.4</v>
      </c>
      <c r="G139" s="21" t="n">
        <v>10</v>
      </c>
      <c r="H139" s="72" t="n">
        <v>4</v>
      </c>
      <c r="I139" s="72" t="n">
        <v>4.24</v>
      </c>
      <c r="J139" s="21" t="n">
        <v>120</v>
      </c>
      <c r="K139" s="22" t="inlineStr">
        <is>
          <t>СК1</t>
        </is>
      </c>
      <c r="L139" s="21" t="n">
        <v>90</v>
      </c>
      <c r="M139" s="73" t="inlineStr">
        <is>
          <t>Ветчины пастеризованная "Нежная с филе" Фикс.вес 0,4 п/а ТМ "Особый рецепт"</t>
        </is>
      </c>
      <c r="N139" s="74" t="n"/>
      <c r="O139" s="74" t="n"/>
      <c r="P139" s="74" t="n"/>
      <c r="Q139" s="71" t="n"/>
      <c r="R139" s="26" t="inlineStr"/>
      <c r="S139" s="26" t="inlineStr"/>
      <c r="T139" s="27" t="inlineStr">
        <is>
          <t>кг</t>
        </is>
      </c>
      <c r="U139" s="75" t="n">
        <v>0</v>
      </c>
      <c r="V139" s="76">
        <f>IFERROR(IF(U139="",0,CEILING((U139/$H139),1)*$H139),"")</f>
        <v/>
      </c>
      <c r="W139" s="30">
        <f>IFERROR(IF(V139=0,"",ROUNDUP(V139/H139,0)*0.00937),"")</f>
        <v/>
      </c>
      <c r="X139" s="31" t="inlineStr"/>
      <c r="Y139" s="32" t="inlineStr"/>
    </row>
    <row r="140">
      <c r="A140" s="17" t="inlineStr">
        <is>
          <t>SU002757</t>
        </is>
      </c>
      <c r="B140" s="17" t="inlineStr">
        <is>
          <t>P003128</t>
        </is>
      </c>
      <c r="C140" s="18" t="n">
        <v>4301020220</v>
      </c>
      <c r="D140" s="19" t="n">
        <v>4680115880764</v>
      </c>
      <c r="E140" s="71" t="n"/>
      <c r="F140" s="72" t="n">
        <v>0.35</v>
      </c>
      <c r="G140" s="21" t="n">
        <v>6</v>
      </c>
      <c r="H140" s="72" t="n">
        <v>2.1</v>
      </c>
      <c r="I140" s="72" t="n">
        <v>2.3</v>
      </c>
      <c r="J140" s="21" t="n">
        <v>156</v>
      </c>
      <c r="K140" s="22" t="inlineStr">
        <is>
          <t>СК1</t>
        </is>
      </c>
      <c r="L140" s="21" t="n">
        <v>50</v>
      </c>
      <c r="M140" s="73" t="inlineStr">
        <is>
          <t>Ветчина Сочинка с сочным окороком ТМ Стародворье полиамид ф/в 0,35 кг</t>
        </is>
      </c>
      <c r="N140" s="74" t="n"/>
      <c r="O140" s="74" t="n"/>
      <c r="P140" s="74" t="n"/>
      <c r="Q140" s="71" t="n"/>
      <c r="R140" s="26" t="inlineStr"/>
      <c r="S140" s="26" t="inlineStr"/>
      <c r="T140" s="27" t="inlineStr">
        <is>
          <t>кг</t>
        </is>
      </c>
      <c r="U140" s="75" t="n">
        <v>0</v>
      </c>
      <c r="V140" s="76">
        <f>IFERROR(IF(U140="",0,CEILING((U140/$H140),1)*$H140),"")</f>
        <v/>
      </c>
      <c r="W140" s="30">
        <f>IFERROR(IF(V140=0,"",ROUNDUP(V140/H140,0)*0.00753),"")</f>
        <v/>
      </c>
      <c r="X140" s="31" t="inlineStr"/>
      <c r="Y140" s="32" t="inlineStr"/>
    </row>
    <row r="141">
      <c r="A141" s="34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77" t="n"/>
      <c r="M141" s="78" t="inlineStr">
        <is>
          <t>Итого</t>
        </is>
      </c>
      <c r="N141" s="79" t="n"/>
      <c r="O141" s="79" t="n"/>
      <c r="P141" s="79" t="n"/>
      <c r="Q141" s="79" t="n"/>
      <c r="R141" s="79" t="n"/>
      <c r="S141" s="80" t="n"/>
      <c r="T141" s="38" t="inlineStr">
        <is>
          <t>кор</t>
        </is>
      </c>
      <c r="U141" s="81">
        <f>IFERROR(U138/H138,"0")+IFERROR(U139/H139,"0")+IFERROR(U140/H140,"0")</f>
        <v/>
      </c>
      <c r="V141" s="81">
        <f>IFERROR(V138/H138,"0")+IFERROR(V139/H139,"0")+IFERROR(V140/H140,"0")</f>
        <v/>
      </c>
      <c r="W141" s="81">
        <f>IFERROR(IF(W138="",0,W138),"0")+IFERROR(IF(W139="",0,W139),"0")+IFERROR(IF(W140="",0,W140),"0")</f>
        <v/>
      </c>
      <c r="X141" s="82" t="n"/>
      <c r="Y141" s="82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77" t="n"/>
      <c r="M142" s="78" t="inlineStr">
        <is>
          <t>Итого</t>
        </is>
      </c>
      <c r="N142" s="79" t="n"/>
      <c r="O142" s="79" t="n"/>
      <c r="P142" s="79" t="n"/>
      <c r="Q142" s="79" t="n"/>
      <c r="R142" s="79" t="n"/>
      <c r="S142" s="80" t="n"/>
      <c r="T142" s="38" t="inlineStr">
        <is>
          <t>кг</t>
        </is>
      </c>
      <c r="U142" s="81">
        <f>IFERROR(SUM(U138:U140),"0")</f>
        <v/>
      </c>
      <c r="V142" s="81">
        <f>IFERROR(SUM(V138:V140),"0")</f>
        <v/>
      </c>
      <c r="W142" s="38" t="n"/>
      <c r="X142" s="82" t="n"/>
      <c r="Y142" s="82" t="n"/>
    </row>
    <row r="143">
      <c r="A143" s="16" t="inlineStr">
        <is>
          <t>Копченые колбасы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6" t="n"/>
      <c r="Y143" s="16" t="n"/>
    </row>
    <row r="144">
      <c r="A144" s="17" t="inlineStr">
        <is>
          <t>SU001820</t>
        </is>
      </c>
      <c r="B144" s="17" t="inlineStr">
        <is>
          <t>P001820</t>
        </is>
      </c>
      <c r="C144" s="18" t="n">
        <v>4301030878</v>
      </c>
      <c r="D144" s="19" t="n">
        <v>4607091387193</v>
      </c>
      <c r="E144" s="71" t="n"/>
      <c r="F144" s="72" t="n">
        <v>0.7</v>
      </c>
      <c r="G144" s="21" t="n">
        <v>6</v>
      </c>
      <c r="H144" s="72" t="n">
        <v>4.2</v>
      </c>
      <c r="I144" s="72" t="n">
        <v>4.46</v>
      </c>
      <c r="J144" s="21" t="n">
        <v>156</v>
      </c>
      <c r="K144" s="22" t="inlineStr">
        <is>
          <t>СК2</t>
        </is>
      </c>
      <c r="L144" s="21" t="n">
        <v>35</v>
      </c>
      <c r="M144" s="8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44" s="74" t="n"/>
      <c r="O144" s="74" t="n"/>
      <c r="P144" s="74" t="n"/>
      <c r="Q144" s="71" t="n"/>
      <c r="R144" s="26" t="inlineStr"/>
      <c r="S144" s="26" t="inlineStr"/>
      <c r="T144" s="27" t="inlineStr">
        <is>
          <t>кг</t>
        </is>
      </c>
      <c r="U144" s="75" t="n">
        <v>0</v>
      </c>
      <c r="V144" s="76">
        <f>IFERROR(IF(U144="",0,CEILING((U144/$H144),1)*$H144),"")</f>
        <v/>
      </c>
      <c r="W144" s="30">
        <f>IFERROR(IF(V144=0,"",ROUNDUP(V144/H144,0)*0.00753),"")</f>
        <v/>
      </c>
      <c r="X144" s="31" t="inlineStr"/>
      <c r="Y144" s="32" t="inlineStr"/>
    </row>
    <row r="145">
      <c r="A145" s="17" t="inlineStr">
        <is>
          <t>SU001822</t>
        </is>
      </c>
      <c r="B145" s="17" t="inlineStr">
        <is>
          <t>P003013</t>
        </is>
      </c>
      <c r="C145" s="18" t="n">
        <v>4301031153</v>
      </c>
      <c r="D145" s="19" t="n">
        <v>4607091387230</v>
      </c>
      <c r="E145" s="71" t="n"/>
      <c r="F145" s="72" t="n">
        <v>0.7</v>
      </c>
      <c r="G145" s="21" t="n">
        <v>6</v>
      </c>
      <c r="H145" s="72" t="n">
        <v>4.2</v>
      </c>
      <c r="I145" s="72" t="n">
        <v>4.46</v>
      </c>
      <c r="J145" s="21" t="n">
        <v>156</v>
      </c>
      <c r="K145" s="22" t="inlineStr">
        <is>
          <t>СК2</t>
        </is>
      </c>
      <c r="L145" s="21" t="n">
        <v>40</v>
      </c>
      <c r="M145" s="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45" s="74" t="n"/>
      <c r="O145" s="74" t="n"/>
      <c r="P145" s="74" t="n"/>
      <c r="Q145" s="71" t="n"/>
      <c r="R145" s="26" t="inlineStr"/>
      <c r="S145" s="26" t="inlineStr"/>
      <c r="T145" s="27" t="inlineStr">
        <is>
          <t>кг</t>
        </is>
      </c>
      <c r="U145" s="75" t="n">
        <v>0</v>
      </c>
      <c r="V145" s="76">
        <f>IFERROR(IF(U145="",0,CEILING((U145/$H145),1)*$H145),"")</f>
        <v/>
      </c>
      <c r="W145" s="30">
        <f>IFERROR(IF(V145=0,"",ROUNDUP(V145/H145,0)*0.00753),"")</f>
        <v/>
      </c>
      <c r="X145" s="31" t="inlineStr"/>
      <c r="Y145" s="32" t="inlineStr"/>
    </row>
    <row r="146">
      <c r="A146" s="17" t="inlineStr">
        <is>
          <t>SU002756</t>
        </is>
      </c>
      <c r="B146" s="17" t="inlineStr">
        <is>
          <t>P003179</t>
        </is>
      </c>
      <c r="C146" s="18" t="n">
        <v>4301031191</v>
      </c>
      <c r="D146" s="19" t="n">
        <v>4680115880993</v>
      </c>
      <c r="E146" s="71" t="n"/>
      <c r="F146" s="72" t="n">
        <v>0.7</v>
      </c>
      <c r="G146" s="21" t="n">
        <v>6</v>
      </c>
      <c r="H146" s="72" t="n">
        <v>4.2</v>
      </c>
      <c r="I146" s="72" t="n">
        <v>4.46</v>
      </c>
      <c r="J146" s="21" t="n">
        <v>156</v>
      </c>
      <c r="K146" s="22" t="inlineStr">
        <is>
          <t>СК2</t>
        </is>
      </c>
      <c r="L146" s="21" t="n">
        <v>40</v>
      </c>
      <c r="M146" s="83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46" s="74" t="n"/>
      <c r="O146" s="74" t="n"/>
      <c r="P146" s="74" t="n"/>
      <c r="Q146" s="71" t="n"/>
      <c r="R146" s="26" t="inlineStr"/>
      <c r="S146" s="26" t="inlineStr"/>
      <c r="T146" s="27" t="inlineStr">
        <is>
          <t>кг</t>
        </is>
      </c>
      <c r="U146" s="75" t="n">
        <v>0</v>
      </c>
      <c r="V146" s="76">
        <f>IFERROR(IF(U146="",0,CEILING((U146/$H146),1)*$H146),"")</f>
        <v/>
      </c>
      <c r="W146" s="30">
        <f>IFERROR(IF(V146=0,"",ROUNDUP(V146/H146,0)*0.00753),"")</f>
        <v/>
      </c>
      <c r="X146" s="31" t="inlineStr"/>
      <c r="Y146" s="32" t="inlineStr"/>
    </row>
    <row r="147">
      <c r="A147" s="17" t="inlineStr">
        <is>
          <t>SU002876</t>
        </is>
      </c>
      <c r="B147" s="17" t="inlineStr">
        <is>
          <t>P003276</t>
        </is>
      </c>
      <c r="C147" s="18" t="n">
        <v>4301031204</v>
      </c>
      <c r="D147" s="19" t="n">
        <v>4680115881761</v>
      </c>
      <c r="E147" s="71" t="n"/>
      <c r="F147" s="72" t="n">
        <v>0.7</v>
      </c>
      <c r="G147" s="21" t="n">
        <v>6</v>
      </c>
      <c r="H147" s="72" t="n">
        <v>4.2</v>
      </c>
      <c r="I147" s="72" t="n">
        <v>4.46</v>
      </c>
      <c r="J147" s="21" t="n">
        <v>156</v>
      </c>
      <c r="K147" s="22" t="inlineStr">
        <is>
          <t>СК2</t>
        </is>
      </c>
      <c r="L147" s="21" t="n">
        <v>40</v>
      </c>
      <c r="M147" s="73" t="inlineStr">
        <is>
          <t>Копченые колбасы Салями Мясорубская с рубленым шпиком Бордо Весовой фиброуз Стародворье</t>
        </is>
      </c>
      <c r="N147" s="74" t="n"/>
      <c r="O147" s="74" t="n"/>
      <c r="P147" s="74" t="n"/>
      <c r="Q147" s="71" t="n"/>
      <c r="R147" s="26" t="inlineStr"/>
      <c r="S147" s="26" t="inlineStr"/>
      <c r="T147" s="27" t="inlineStr">
        <is>
          <t>кг</t>
        </is>
      </c>
      <c r="U147" s="75" t="n">
        <v>0</v>
      </c>
      <c r="V147" s="76">
        <f>IFERROR(IF(U147="",0,CEILING((U147/$H147),1)*$H147),"")</f>
        <v/>
      </c>
      <c r="W147" s="30">
        <f>IFERROR(IF(V147=0,"",ROUNDUP(V147/H147,0)*0.00753),"")</f>
        <v/>
      </c>
      <c r="X147" s="31" t="inlineStr"/>
      <c r="Y147" s="32" t="inlineStr"/>
    </row>
    <row r="148">
      <c r="A148" s="17" t="inlineStr">
        <is>
          <t>SU002847</t>
        </is>
      </c>
      <c r="B148" s="17" t="inlineStr">
        <is>
          <t>P003259</t>
        </is>
      </c>
      <c r="C148" s="18" t="n">
        <v>4301031201</v>
      </c>
      <c r="D148" s="19" t="n">
        <v>4680115881563</v>
      </c>
      <c r="E148" s="71" t="n"/>
      <c r="F148" s="72" t="n">
        <v>0.7</v>
      </c>
      <c r="G148" s="21" t="n">
        <v>6</v>
      </c>
      <c r="H148" s="72" t="n">
        <v>4.2</v>
      </c>
      <c r="I148" s="72" t="n">
        <v>4.4</v>
      </c>
      <c r="J148" s="21" t="n">
        <v>156</v>
      </c>
      <c r="K148" s="22" t="inlineStr">
        <is>
          <t>СК2</t>
        </is>
      </c>
      <c r="L148" s="21" t="n">
        <v>40</v>
      </c>
      <c r="M148" s="83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48" s="74" t="n"/>
      <c r="O148" s="74" t="n"/>
      <c r="P148" s="74" t="n"/>
      <c r="Q148" s="71" t="n"/>
      <c r="R148" s="26" t="inlineStr"/>
      <c r="S148" s="26" t="inlineStr"/>
      <c r="T148" s="27" t="inlineStr">
        <is>
          <t>кг</t>
        </is>
      </c>
      <c r="U148" s="75" t="n">
        <v>0</v>
      </c>
      <c r="V148" s="76">
        <f>IFERROR(IF(U148="",0,CEILING((U148/$H148),1)*$H148),"")</f>
        <v/>
      </c>
      <c r="W148" s="30">
        <f>IFERROR(IF(V148=0,"",ROUNDUP(V148/H148,0)*0.00753),"")</f>
        <v/>
      </c>
      <c r="X148" s="31" t="inlineStr"/>
      <c r="Y148" s="32" t="inlineStr"/>
    </row>
    <row r="149">
      <c r="A149" s="17" t="inlineStr">
        <is>
          <t>SU002941</t>
        </is>
      </c>
      <c r="B149" s="17" t="inlineStr">
        <is>
          <t>P003387</t>
        </is>
      </c>
      <c r="C149" s="18" t="n">
        <v>4301031224</v>
      </c>
      <c r="D149" s="19" t="n">
        <v>4680115882683</v>
      </c>
      <c r="E149" s="71" t="n"/>
      <c r="F149" s="72" t="n">
        <v>0.9</v>
      </c>
      <c r="G149" s="21" t="n">
        <v>6</v>
      </c>
      <c r="H149" s="72" t="n">
        <v>5.4</v>
      </c>
      <c r="I149" s="72" t="n">
        <v>5.61</v>
      </c>
      <c r="J149" s="21" t="n">
        <v>120</v>
      </c>
      <c r="K149" s="22" t="inlineStr">
        <is>
          <t>СК2</t>
        </is>
      </c>
      <c r="L149" s="21" t="n">
        <v>40</v>
      </c>
      <c r="M149" s="73" t="inlineStr">
        <is>
          <t>В/к колбасы "Сочинка по-европейски с сочной грудинкой" Весовой фиброуз ТМ "Стародворье"</t>
        </is>
      </c>
      <c r="N149" s="74" t="n"/>
      <c r="O149" s="74" t="n"/>
      <c r="P149" s="74" t="n"/>
      <c r="Q149" s="71" t="n"/>
      <c r="R149" s="26" t="inlineStr"/>
      <c r="S149" s="26" t="inlineStr"/>
      <c r="T149" s="27" t="inlineStr">
        <is>
          <t>кг</t>
        </is>
      </c>
      <c r="U149" s="75" t="n">
        <v>0</v>
      </c>
      <c r="V149" s="76">
        <f>IFERROR(IF(U149="",0,CEILING((U149/$H149),1)*$H149),"")</f>
        <v/>
      </c>
      <c r="W149" s="30">
        <f>IFERROR(IF(V149=0,"",ROUNDUP(V149/H149,0)*0.00937),"")</f>
        <v/>
      </c>
      <c r="X149" s="31" t="inlineStr"/>
      <c r="Y149" s="32" t="inlineStr"/>
    </row>
    <row r="150">
      <c r="A150" s="17" t="inlineStr">
        <is>
          <t>SU002943</t>
        </is>
      </c>
      <c r="B150" s="17" t="inlineStr">
        <is>
          <t>P003401</t>
        </is>
      </c>
      <c r="C150" s="18" t="n">
        <v>4301031230</v>
      </c>
      <c r="D150" s="19" t="n">
        <v>4680115882690</v>
      </c>
      <c r="E150" s="71" t="n"/>
      <c r="F150" s="72" t="n">
        <v>0.9</v>
      </c>
      <c r="G150" s="21" t="n">
        <v>6</v>
      </c>
      <c r="H150" s="72" t="n">
        <v>5.4</v>
      </c>
      <c r="I150" s="72" t="n">
        <v>5.61</v>
      </c>
      <c r="J150" s="21" t="n">
        <v>120</v>
      </c>
      <c r="K150" s="22" t="inlineStr">
        <is>
          <t>СК2</t>
        </is>
      </c>
      <c r="L150" s="21" t="n">
        <v>40</v>
      </c>
      <c r="M150" s="73" t="inlineStr">
        <is>
          <t>В/к колбасы "Сочинка по-фински с сочным окороком" Весовой фиброуз ТМ "Стародворье"</t>
        </is>
      </c>
      <c r="N150" s="74" t="n"/>
      <c r="O150" s="74" t="n"/>
      <c r="P150" s="74" t="n"/>
      <c r="Q150" s="71" t="n"/>
      <c r="R150" s="26" t="inlineStr"/>
      <c r="S150" s="26" t="inlineStr"/>
      <c r="T150" s="27" t="inlineStr">
        <is>
          <t>кг</t>
        </is>
      </c>
      <c r="U150" s="75" t="n">
        <v>0</v>
      </c>
      <c r="V150" s="76">
        <f>IFERROR(IF(U150="",0,CEILING((U150/$H150),1)*$H150),"")</f>
        <v/>
      </c>
      <c r="W150" s="30">
        <f>IFERROR(IF(V150=0,"",ROUNDUP(V150/H150,0)*0.00937),"")</f>
        <v/>
      </c>
      <c r="X150" s="31" t="inlineStr"/>
      <c r="Y150" s="32" t="inlineStr"/>
    </row>
    <row r="151">
      <c r="A151" s="17" t="inlineStr">
        <is>
          <t>SU002945</t>
        </is>
      </c>
      <c r="B151" s="17" t="inlineStr">
        <is>
          <t>P003383</t>
        </is>
      </c>
      <c r="C151" s="18" t="n">
        <v>4301031220</v>
      </c>
      <c r="D151" s="19" t="n">
        <v>4680115882669</v>
      </c>
      <c r="E151" s="71" t="n"/>
      <c r="F151" s="72" t="n">
        <v>0.9</v>
      </c>
      <c r="G151" s="21" t="n">
        <v>6</v>
      </c>
      <c r="H151" s="72" t="n">
        <v>5.4</v>
      </c>
      <c r="I151" s="72" t="n">
        <v>5.61</v>
      </c>
      <c r="J151" s="21" t="n">
        <v>120</v>
      </c>
      <c r="K151" s="22" t="inlineStr">
        <is>
          <t>СК2</t>
        </is>
      </c>
      <c r="L151" s="21" t="n">
        <v>40</v>
      </c>
      <c r="M151" s="73" t="inlineStr">
        <is>
          <t>П/к колбасы "Сочинка зернистая с сочной грудинкой" Весовой фиброуз ТМ "Стародворье"</t>
        </is>
      </c>
      <c r="N151" s="74" t="n"/>
      <c r="O151" s="74" t="n"/>
      <c r="P151" s="74" t="n"/>
      <c r="Q151" s="71" t="n"/>
      <c r="R151" s="26" t="inlineStr"/>
      <c r="S151" s="26" t="inlineStr"/>
      <c r="T151" s="27" t="inlineStr">
        <is>
          <t>кг</t>
        </is>
      </c>
      <c r="U151" s="75" t="n">
        <v>0</v>
      </c>
      <c r="V151" s="76">
        <f>IFERROR(IF(U151="",0,CEILING((U151/$H151),1)*$H151),"")</f>
        <v/>
      </c>
      <c r="W151" s="30">
        <f>IFERROR(IF(V151=0,"",ROUNDUP(V151/H151,0)*0.00937),"")</f>
        <v/>
      </c>
      <c r="X151" s="31" t="inlineStr"/>
      <c r="Y151" s="32" t="inlineStr"/>
    </row>
    <row r="152">
      <c r="A152" s="17" t="inlineStr">
        <is>
          <t>SU002947</t>
        </is>
      </c>
      <c r="B152" s="17" t="inlineStr">
        <is>
          <t>P003384</t>
        </is>
      </c>
      <c r="C152" s="18" t="n">
        <v>4301031221</v>
      </c>
      <c r="D152" s="19" t="n">
        <v>4680115882676</v>
      </c>
      <c r="E152" s="71" t="n"/>
      <c r="F152" s="72" t="n">
        <v>0.9</v>
      </c>
      <c r="G152" s="21" t="n">
        <v>6</v>
      </c>
      <c r="H152" s="72" t="n">
        <v>5.4</v>
      </c>
      <c r="I152" s="72" t="n">
        <v>5.61</v>
      </c>
      <c r="J152" s="21" t="n">
        <v>120</v>
      </c>
      <c r="K152" s="22" t="inlineStr">
        <is>
          <t>СК2</t>
        </is>
      </c>
      <c r="L152" s="21" t="n">
        <v>40</v>
      </c>
      <c r="M152" s="73" t="inlineStr">
        <is>
          <t>П/к колбасы "Сочинка рубленая с сочным окороком" Весовой фиброуз ТМ "Стародворье"</t>
        </is>
      </c>
      <c r="N152" s="74" t="n"/>
      <c r="O152" s="74" t="n"/>
      <c r="P152" s="74" t="n"/>
      <c r="Q152" s="71" t="n"/>
      <c r="R152" s="26" t="inlineStr"/>
      <c r="S152" s="26" t="inlineStr"/>
      <c r="T152" s="27" t="inlineStr">
        <is>
          <t>кг</t>
        </is>
      </c>
      <c r="U152" s="75" t="n">
        <v>0</v>
      </c>
      <c r="V152" s="76">
        <f>IFERROR(IF(U152="",0,CEILING((U152/$H152),1)*$H152),"")</f>
        <v/>
      </c>
      <c r="W152" s="30">
        <f>IFERROR(IF(V152=0,"",ROUNDUP(V152/H152,0)*0.00937),"")</f>
        <v/>
      </c>
      <c r="X152" s="31" t="inlineStr"/>
      <c r="Y152" s="32" t="inlineStr"/>
    </row>
    <row r="153">
      <c r="A153" s="17" t="inlineStr">
        <is>
          <t>SU002579</t>
        </is>
      </c>
      <c r="B153" s="17" t="inlineStr">
        <is>
          <t>P003012</t>
        </is>
      </c>
      <c r="C153" s="18" t="n">
        <v>4301031152</v>
      </c>
      <c r="D153" s="19" t="n">
        <v>4607091387285</v>
      </c>
      <c r="E153" s="71" t="n"/>
      <c r="F153" s="72" t="n">
        <v>0.35</v>
      </c>
      <c r="G153" s="21" t="n">
        <v>6</v>
      </c>
      <c r="H153" s="72" t="n">
        <v>2.1</v>
      </c>
      <c r="I153" s="72" t="n">
        <v>2.23</v>
      </c>
      <c r="J153" s="21" t="n">
        <v>234</v>
      </c>
      <c r="K153" s="22" t="inlineStr">
        <is>
          <t>СК2</t>
        </is>
      </c>
      <c r="L153" s="21" t="n">
        <v>40</v>
      </c>
      <c r="M153" s="8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53" s="74" t="n"/>
      <c r="O153" s="74" t="n"/>
      <c r="P153" s="74" t="n"/>
      <c r="Q153" s="71" t="n"/>
      <c r="R153" s="26" t="inlineStr"/>
      <c r="S153" s="26" t="inlineStr"/>
      <c r="T153" s="27" t="inlineStr">
        <is>
          <t>кг</t>
        </is>
      </c>
      <c r="U153" s="75" t="n">
        <v>0</v>
      </c>
      <c r="V153" s="76">
        <f>IFERROR(IF(U153="",0,CEILING((U153/$H153),1)*$H153),"")</f>
        <v/>
      </c>
      <c r="W153" s="30">
        <f>IFERROR(IF(V153=0,"",ROUNDUP(V153/H153,0)*0.00502),"")</f>
        <v/>
      </c>
      <c r="X153" s="31" t="inlineStr"/>
      <c r="Y153" s="32" t="inlineStr"/>
    </row>
    <row r="154">
      <c r="A154" s="17" t="inlineStr">
        <is>
          <t>SU002660</t>
        </is>
      </c>
      <c r="B154" s="17" t="inlineStr">
        <is>
          <t>P003256</t>
        </is>
      </c>
      <c r="C154" s="18" t="n">
        <v>4301031199</v>
      </c>
      <c r="D154" s="19" t="n">
        <v>4680115880986</v>
      </c>
      <c r="E154" s="71" t="n"/>
      <c r="F154" s="72" t="n">
        <v>0.35</v>
      </c>
      <c r="G154" s="21" t="n">
        <v>6</v>
      </c>
      <c r="H154" s="72" t="n">
        <v>2.1</v>
      </c>
      <c r="I154" s="72" t="n">
        <v>2.23</v>
      </c>
      <c r="J154" s="21" t="n">
        <v>234</v>
      </c>
      <c r="K154" s="22" t="inlineStr">
        <is>
          <t>СК2</t>
        </is>
      </c>
      <c r="L154" s="21" t="n">
        <v>40</v>
      </c>
      <c r="M154" s="83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54" s="74" t="n"/>
      <c r="O154" s="74" t="n"/>
      <c r="P154" s="74" t="n"/>
      <c r="Q154" s="71" t="n"/>
      <c r="R154" s="26" t="inlineStr"/>
      <c r="S154" s="26" t="inlineStr"/>
      <c r="T154" s="27" t="inlineStr">
        <is>
          <t>кг</t>
        </is>
      </c>
      <c r="U154" s="75" t="n">
        <v>0</v>
      </c>
      <c r="V154" s="76">
        <f>IFERROR(IF(U154="",0,CEILING((U154/$H154),1)*$H154),"")</f>
        <v/>
      </c>
      <c r="W154" s="30">
        <f>IFERROR(IF(V154=0,"",ROUNDUP(V154/H154,0)*0.00502),"")</f>
        <v/>
      </c>
      <c r="X154" s="31" t="inlineStr"/>
      <c r="Y154" s="32" t="inlineStr"/>
    </row>
    <row r="155">
      <c r="A155" s="17" t="inlineStr">
        <is>
          <t>SU002826</t>
        </is>
      </c>
      <c r="B155" s="17" t="inlineStr">
        <is>
          <t>P003178</t>
        </is>
      </c>
      <c r="C155" s="18" t="n">
        <v>4301031190</v>
      </c>
      <c r="D155" s="19" t="n">
        <v>4680115880207</v>
      </c>
      <c r="E155" s="71" t="n"/>
      <c r="F155" s="72" t="n">
        <v>0.4</v>
      </c>
      <c r="G155" s="21" t="n">
        <v>6</v>
      </c>
      <c r="H155" s="72" t="n">
        <v>2.4</v>
      </c>
      <c r="I155" s="72" t="n">
        <v>2.63</v>
      </c>
      <c r="J155" s="21" t="n">
        <v>156</v>
      </c>
      <c r="K155" s="22" t="inlineStr">
        <is>
          <t>СК2</t>
        </is>
      </c>
      <c r="L155" s="21" t="n">
        <v>40</v>
      </c>
      <c r="M155" s="8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55" s="74" t="n"/>
      <c r="O155" s="74" t="n"/>
      <c r="P155" s="74" t="n"/>
      <c r="Q155" s="71" t="n"/>
      <c r="R155" s="26" t="inlineStr"/>
      <c r="S155" s="26" t="inlineStr"/>
      <c r="T155" s="27" t="inlineStr">
        <is>
          <t>кг</t>
        </is>
      </c>
      <c r="U155" s="75" t="n">
        <v>0</v>
      </c>
      <c r="V155" s="76">
        <f>IFERROR(IF(U155="",0,CEILING((U155/$H155),1)*$H155),"")</f>
        <v/>
      </c>
      <c r="W155" s="30">
        <f>IFERROR(IF(V155=0,"",ROUNDUP(V155/H155,0)*0.00753),"")</f>
        <v/>
      </c>
      <c r="X155" s="31" t="inlineStr"/>
      <c r="Y155" s="32" t="inlineStr"/>
    </row>
    <row r="156">
      <c r="A156" s="17" t="inlineStr">
        <is>
          <t>SU002877</t>
        </is>
      </c>
      <c r="B156" s="17" t="inlineStr">
        <is>
          <t>P003277</t>
        </is>
      </c>
      <c r="C156" s="18" t="n">
        <v>4301031205</v>
      </c>
      <c r="D156" s="19" t="n">
        <v>4680115881785</v>
      </c>
      <c r="E156" s="71" t="n"/>
      <c r="F156" s="72" t="n">
        <v>0.35</v>
      </c>
      <c r="G156" s="21" t="n">
        <v>6</v>
      </c>
      <c r="H156" s="72" t="n">
        <v>2.1</v>
      </c>
      <c r="I156" s="72" t="n">
        <v>2.23</v>
      </c>
      <c r="J156" s="21" t="n">
        <v>234</v>
      </c>
      <c r="K156" s="22" t="inlineStr">
        <is>
          <t>СК2</t>
        </is>
      </c>
      <c r="L156" s="21" t="n">
        <v>40</v>
      </c>
      <c r="M156" s="73" t="inlineStr">
        <is>
          <t>Копченые колбасы Салями Мясорубская с рубленым шпиком срез Бордо ф/в 0,35 фиброуз Стародворье</t>
        </is>
      </c>
      <c r="N156" s="74" t="n"/>
      <c r="O156" s="74" t="n"/>
      <c r="P156" s="74" t="n"/>
      <c r="Q156" s="71" t="n"/>
      <c r="R156" s="26" t="inlineStr"/>
      <c r="S156" s="26" t="inlineStr"/>
      <c r="T156" s="27" t="inlineStr">
        <is>
          <t>кг</t>
        </is>
      </c>
      <c r="U156" s="75" t="n">
        <v>0</v>
      </c>
      <c r="V156" s="76">
        <f>IFERROR(IF(U156="",0,CEILING((U156/$H156),1)*$H156),"")</f>
        <v/>
      </c>
      <c r="W156" s="30">
        <f>IFERROR(IF(V156=0,"",ROUNDUP(V156/H156,0)*0.00502),"")</f>
        <v/>
      </c>
      <c r="X156" s="31" t="inlineStr"/>
      <c r="Y156" s="32" t="inlineStr"/>
    </row>
    <row r="157">
      <c r="A157" s="17" t="inlineStr">
        <is>
          <t>SU002848</t>
        </is>
      </c>
      <c r="B157" s="17" t="inlineStr">
        <is>
          <t>P003260</t>
        </is>
      </c>
      <c r="C157" s="18" t="n">
        <v>4301031202</v>
      </c>
      <c r="D157" s="19" t="n">
        <v>4680115881679</v>
      </c>
      <c r="E157" s="71" t="n"/>
      <c r="F157" s="72" t="n">
        <v>0.35</v>
      </c>
      <c r="G157" s="21" t="n">
        <v>6</v>
      </c>
      <c r="H157" s="72" t="n">
        <v>2.1</v>
      </c>
      <c r="I157" s="72" t="n">
        <v>2.2</v>
      </c>
      <c r="J157" s="21" t="n">
        <v>234</v>
      </c>
      <c r="K157" s="22" t="inlineStr">
        <is>
          <t>СК2</t>
        </is>
      </c>
      <c r="L157" s="21" t="n">
        <v>40</v>
      </c>
      <c r="M157" s="8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57" s="74" t="n"/>
      <c r="O157" s="74" t="n"/>
      <c r="P157" s="74" t="n"/>
      <c r="Q157" s="71" t="n"/>
      <c r="R157" s="26" t="inlineStr"/>
      <c r="S157" s="26" t="inlineStr"/>
      <c r="T157" s="27" t="inlineStr">
        <is>
          <t>кг</t>
        </is>
      </c>
      <c r="U157" s="75" t="n">
        <v>0</v>
      </c>
      <c r="V157" s="76">
        <f>IFERROR(IF(U157="",0,CEILING((U157/$H157),1)*$H157),"")</f>
        <v/>
      </c>
      <c r="W157" s="30">
        <f>IFERROR(IF(V157=0,"",ROUNDUP(V157/H157,0)*0.00502),"")</f>
        <v/>
      </c>
      <c r="X157" s="31" t="inlineStr"/>
      <c r="Y157" s="32" t="inlineStr"/>
    </row>
    <row r="158">
      <c r="A158" s="17" t="inlineStr">
        <is>
          <t>SU002659</t>
        </is>
      </c>
      <c r="B158" s="17" t="inlineStr">
        <is>
          <t>P003034</t>
        </is>
      </c>
      <c r="C158" s="18" t="n">
        <v>4301031158</v>
      </c>
      <c r="D158" s="19" t="n">
        <v>4680115880191</v>
      </c>
      <c r="E158" s="71" t="n"/>
      <c r="F158" s="72" t="n">
        <v>0.4</v>
      </c>
      <c r="G158" s="21" t="n">
        <v>6</v>
      </c>
      <c r="H158" s="72" t="n">
        <v>2.4</v>
      </c>
      <c r="I158" s="72" t="n">
        <v>2.5</v>
      </c>
      <c r="J158" s="21" t="n">
        <v>234</v>
      </c>
      <c r="K158" s="22" t="inlineStr">
        <is>
          <t>СК2</t>
        </is>
      </c>
      <c r="L158" s="21" t="n">
        <v>40</v>
      </c>
      <c r="M158" s="83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58" s="74" t="n"/>
      <c r="O158" s="74" t="n"/>
      <c r="P158" s="74" t="n"/>
      <c r="Q158" s="71" t="n"/>
      <c r="R158" s="26" t="inlineStr"/>
      <c r="S158" s="26" t="inlineStr"/>
      <c r="T158" s="27" t="inlineStr">
        <is>
          <t>кг</t>
        </is>
      </c>
      <c r="U158" s="75" t="n">
        <v>0</v>
      </c>
      <c r="V158" s="76">
        <f>IFERROR(IF(U158="",0,CEILING((U158/$H158),1)*$H158),"")</f>
        <v/>
      </c>
      <c r="W158" s="30">
        <f>IFERROR(IF(V158=0,"",ROUNDUP(V158/H158,0)*0.00502),"")</f>
        <v/>
      </c>
      <c r="X158" s="31" t="inlineStr"/>
      <c r="Y158" s="32" t="inlineStr"/>
    </row>
    <row r="159">
      <c r="A159" s="17" t="inlineStr">
        <is>
          <t>SU002617</t>
        </is>
      </c>
      <c r="B159" s="17" t="inlineStr">
        <is>
          <t>P002951</t>
        </is>
      </c>
      <c r="C159" s="18" t="n">
        <v>4301031151</v>
      </c>
      <c r="D159" s="19" t="n">
        <v>4607091389845</v>
      </c>
      <c r="E159" s="71" t="n"/>
      <c r="F159" s="72" t="n">
        <v>0.35</v>
      </c>
      <c r="G159" s="21" t="n">
        <v>6</v>
      </c>
      <c r="H159" s="72" t="n">
        <v>2.1</v>
      </c>
      <c r="I159" s="72" t="n">
        <v>2.2</v>
      </c>
      <c r="J159" s="21" t="n">
        <v>234</v>
      </c>
      <c r="K159" s="22" t="inlineStr">
        <is>
          <t>СК2</t>
        </is>
      </c>
      <c r="L159" s="21" t="n">
        <v>40</v>
      </c>
      <c r="M159" s="8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59" s="74" t="n"/>
      <c r="O159" s="74" t="n"/>
      <c r="P159" s="74" t="n"/>
      <c r="Q159" s="71" t="n"/>
      <c r="R159" s="26" t="inlineStr"/>
      <c r="S159" s="26" t="inlineStr"/>
      <c r="T159" s="27" t="inlineStr">
        <is>
          <t>кг</t>
        </is>
      </c>
      <c r="U159" s="75" t="n">
        <v>0</v>
      </c>
      <c r="V159" s="76">
        <f>IFERROR(IF(U159="",0,CEILING((U159/$H159),1)*$H159),"")</f>
        <v/>
      </c>
      <c r="W159" s="30">
        <f>IFERROR(IF(V159=0,"",ROUNDUP(V159/H159,0)*0.00502),"")</f>
        <v/>
      </c>
      <c r="X159" s="31" t="inlineStr"/>
      <c r="Y159" s="32" t="inlineStr"/>
    </row>
    <row r="160">
      <c r="A160" s="3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77" t="n"/>
      <c r="M160" s="78" t="inlineStr">
        <is>
          <t>Итого</t>
        </is>
      </c>
      <c r="N160" s="79" t="n"/>
      <c r="O160" s="79" t="n"/>
      <c r="P160" s="79" t="n"/>
      <c r="Q160" s="79" t="n"/>
      <c r="R160" s="79" t="n"/>
      <c r="S160" s="80" t="n"/>
      <c r="T160" s="38" t="inlineStr">
        <is>
          <t>кор</t>
        </is>
      </c>
      <c r="U160" s="81">
        <f>IFERROR(U144/H144,"0")+IFERROR(U145/H145,"0")+IFERROR(U146/H146,"0")+IFERROR(U147/H147,"0")+IFERROR(U148/H148,"0")+IFERROR(U149/H149,"0")+IFERROR(U150/H150,"0")+IFERROR(U151/H151,"0")+IFERROR(U152/H152,"0")+IFERROR(U153/H153,"0")+IFERROR(U154/H154,"0")+IFERROR(U155/H155,"0")+IFERROR(U156/H156,"0")+IFERROR(U157/H157,"0")+IFERROR(U158/H158,"0")+IFERROR(U159/H159,"0")</f>
        <v/>
      </c>
      <c r="V160" s="81">
        <f>IFERROR(V144/H144,"0")+IFERROR(V145/H145,"0")+IFERROR(V146/H146,"0")+IFERROR(V147/H147,"0")+IFERROR(V148/H148,"0")+IFERROR(V149/H149,"0")+IFERROR(V150/H150,"0")+IFERROR(V151/H151,"0")+IFERROR(V152/H152,"0")+IFERROR(V153/H153,"0")+IFERROR(V154/H154,"0")+IFERROR(V155/H155,"0")+IFERROR(V156/H156,"0")+IFERROR(V157/H157,"0")+IFERROR(V158/H158,"0")+IFERROR(V159/H159,"0")</f>
        <v/>
      </c>
      <c r="W160" s="81">
        <f>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+IFERROR(IF(W155="",0,W155),"0")+IFERROR(IF(W156="",0,W156),"0")+IFERROR(IF(W157="",0,W157),"0")+IFERROR(IF(W158="",0,W158),"0")+IFERROR(IF(W159="",0,W159),"0")</f>
        <v/>
      </c>
      <c r="X160" s="82" t="n"/>
      <c r="Y160" s="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77" t="n"/>
      <c r="M161" s="78" t="inlineStr">
        <is>
          <t>Итого</t>
        </is>
      </c>
      <c r="N161" s="79" t="n"/>
      <c r="O161" s="79" t="n"/>
      <c r="P161" s="79" t="n"/>
      <c r="Q161" s="79" t="n"/>
      <c r="R161" s="79" t="n"/>
      <c r="S161" s="80" t="n"/>
      <c r="T161" s="38" t="inlineStr">
        <is>
          <t>кг</t>
        </is>
      </c>
      <c r="U161" s="81">
        <f>IFERROR(SUM(U144:U159),"0")</f>
        <v/>
      </c>
      <c r="V161" s="81">
        <f>IFERROR(SUM(V144:V159),"0")</f>
        <v/>
      </c>
      <c r="W161" s="38" t="n"/>
      <c r="X161" s="82" t="n"/>
      <c r="Y161" s="82" t="n"/>
    </row>
    <row r="162">
      <c r="A162" s="16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6" t="n"/>
      <c r="Y162" s="16" t="n"/>
    </row>
    <row r="163">
      <c r="A163" s="17" t="inlineStr">
        <is>
          <t>SU002857</t>
        </is>
      </c>
      <c r="B163" s="17" t="inlineStr">
        <is>
          <t>P003264</t>
        </is>
      </c>
      <c r="C163" s="18" t="n">
        <v>4301051409</v>
      </c>
      <c r="D163" s="19" t="n">
        <v>4680115881556</v>
      </c>
      <c r="E163" s="71" t="n"/>
      <c r="F163" s="72" t="n">
        <v>1</v>
      </c>
      <c r="G163" s="21" t="n">
        <v>4</v>
      </c>
      <c r="H163" s="72" t="n">
        <v>4</v>
      </c>
      <c r="I163" s="72" t="n">
        <v>4.408</v>
      </c>
      <c r="J163" s="21" t="n">
        <v>104</v>
      </c>
      <c r="K163" s="22" t="inlineStr">
        <is>
          <t>СК3</t>
        </is>
      </c>
      <c r="L163" s="21" t="n">
        <v>45</v>
      </c>
      <c r="M163" s="73" t="inlineStr">
        <is>
          <t>Сосиски Сочинки по-баварски ТМ Стародворье полиамид мгс вес СК3</t>
        </is>
      </c>
      <c r="N163" s="74" t="n"/>
      <c r="O163" s="74" t="n"/>
      <c r="P163" s="74" t="n"/>
      <c r="Q163" s="71" t="n"/>
      <c r="R163" s="26" t="inlineStr"/>
      <c r="S163" s="26" t="inlineStr"/>
      <c r="T163" s="27" t="inlineStr">
        <is>
          <t>кг</t>
        </is>
      </c>
      <c r="U163" s="75" t="n">
        <v>0</v>
      </c>
      <c r="V163" s="76">
        <f>IFERROR(IF(U163="",0,CEILING((U163/$H163),1)*$H163),"")</f>
        <v/>
      </c>
      <c r="W163" s="30">
        <f>IFERROR(IF(V163=0,"",ROUNDUP(V163/H163,0)*0.01196),"")</f>
        <v/>
      </c>
      <c r="X163" s="31" t="inlineStr"/>
      <c r="Y163" s="32" t="inlineStr"/>
    </row>
    <row r="164">
      <c r="A164" s="17" t="inlineStr">
        <is>
          <t>SU001340</t>
        </is>
      </c>
      <c r="B164" s="17" t="inlineStr">
        <is>
          <t>P002209</t>
        </is>
      </c>
      <c r="C164" s="18" t="n">
        <v>4301051101</v>
      </c>
      <c r="D164" s="19" t="n">
        <v>4607091387766</v>
      </c>
      <c r="E164" s="71" t="n"/>
      <c r="F164" s="72" t="n">
        <v>1.35</v>
      </c>
      <c r="G164" s="21" t="n">
        <v>6</v>
      </c>
      <c r="H164" s="72" t="n">
        <v>8.1</v>
      </c>
      <c r="I164" s="72" t="n">
        <v>8.657999999999999</v>
      </c>
      <c r="J164" s="21" t="n">
        <v>56</v>
      </c>
      <c r="K164" s="22" t="inlineStr">
        <is>
          <t>СК2</t>
        </is>
      </c>
      <c r="L164" s="21" t="n">
        <v>40</v>
      </c>
      <c r="M164" s="83">
        <f>HYPERLINK("https://abi.ru/products/Охлажденные/Стародворье/Бордо/Сосиски/P002209/","Сосиски Ганноверские Бордо Весовые П/а мгс Баварушка")</f>
        <v/>
      </c>
      <c r="N164" s="74" t="n"/>
      <c r="O164" s="74" t="n"/>
      <c r="P164" s="74" t="n"/>
      <c r="Q164" s="71" t="n"/>
      <c r="R164" s="26" t="inlineStr"/>
      <c r="S164" s="26" t="inlineStr"/>
      <c r="T164" s="27" t="inlineStr">
        <is>
          <t>кг</t>
        </is>
      </c>
      <c r="U164" s="75" t="n">
        <v>0</v>
      </c>
      <c r="V164" s="76">
        <f>IFERROR(IF(U164="",0,CEILING((U164/$H164),1)*$H164),"")</f>
        <v/>
      </c>
      <c r="W164" s="30">
        <f>IFERROR(IF(V164=0,"",ROUNDUP(V164/H164,0)*0.02175),"")</f>
        <v/>
      </c>
      <c r="X164" s="31" t="inlineStr"/>
      <c r="Y164" s="32" t="inlineStr"/>
    </row>
    <row r="165">
      <c r="A165" s="17" t="inlineStr">
        <is>
          <t>SU001727</t>
        </is>
      </c>
      <c r="B165" s="17" t="inlineStr">
        <is>
          <t>P002205</t>
        </is>
      </c>
      <c r="C165" s="18" t="n">
        <v>4301051116</v>
      </c>
      <c r="D165" s="19" t="n">
        <v>4607091387957</v>
      </c>
      <c r="E165" s="71" t="n"/>
      <c r="F165" s="72" t="n">
        <v>1.3</v>
      </c>
      <c r="G165" s="21" t="n">
        <v>6</v>
      </c>
      <c r="H165" s="72" t="n">
        <v>7.8</v>
      </c>
      <c r="I165" s="72" t="n">
        <v>8.364000000000001</v>
      </c>
      <c r="J165" s="21" t="n">
        <v>56</v>
      </c>
      <c r="K165" s="22" t="inlineStr">
        <is>
          <t>СК2</t>
        </is>
      </c>
      <c r="L165" s="21" t="n">
        <v>40</v>
      </c>
      <c r="M165" s="8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65" s="74" t="n"/>
      <c r="O165" s="74" t="n"/>
      <c r="P165" s="74" t="n"/>
      <c r="Q165" s="71" t="n"/>
      <c r="R165" s="26" t="inlineStr"/>
      <c r="S165" s="26" t="inlineStr"/>
      <c r="T165" s="27" t="inlineStr">
        <is>
          <t>кг</t>
        </is>
      </c>
      <c r="U165" s="75" t="n">
        <v>0</v>
      </c>
      <c r="V165" s="76">
        <f>IFERROR(IF(U165="",0,CEILING((U165/$H165),1)*$H165),"")</f>
        <v/>
      </c>
      <c r="W165" s="30">
        <f>IFERROR(IF(V165=0,"",ROUNDUP(V165/H165,0)*0.02175),"")</f>
        <v/>
      </c>
      <c r="X165" s="31" t="inlineStr"/>
      <c r="Y165" s="32" t="inlineStr"/>
    </row>
    <row r="166">
      <c r="A166" s="17" t="inlineStr">
        <is>
          <t>SU001728</t>
        </is>
      </c>
      <c r="B166" s="17" t="inlineStr">
        <is>
          <t>P002207</t>
        </is>
      </c>
      <c r="C166" s="18" t="n">
        <v>4301051115</v>
      </c>
      <c r="D166" s="19" t="n">
        <v>4607091387964</v>
      </c>
      <c r="E166" s="71" t="n"/>
      <c r="F166" s="72" t="n">
        <v>1.35</v>
      </c>
      <c r="G166" s="21" t="n">
        <v>6</v>
      </c>
      <c r="H166" s="72" t="n">
        <v>8.1</v>
      </c>
      <c r="I166" s="72" t="n">
        <v>8.646000000000001</v>
      </c>
      <c r="J166" s="21" t="n">
        <v>56</v>
      </c>
      <c r="K166" s="22" t="inlineStr">
        <is>
          <t>СК2</t>
        </is>
      </c>
      <c r="L166" s="21" t="n">
        <v>40</v>
      </c>
      <c r="M166" s="8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66" s="74" t="n"/>
      <c r="O166" s="74" t="n"/>
      <c r="P166" s="74" t="n"/>
      <c r="Q166" s="71" t="n"/>
      <c r="R166" s="26" t="inlineStr"/>
      <c r="S166" s="26" t="inlineStr"/>
      <c r="T166" s="27" t="inlineStr">
        <is>
          <t>кг</t>
        </is>
      </c>
      <c r="U166" s="75" t="n">
        <v>0</v>
      </c>
      <c r="V166" s="76">
        <f>IFERROR(IF(U166="",0,CEILING((U166/$H166),1)*$H166),"")</f>
        <v/>
      </c>
      <c r="W166" s="30">
        <f>IFERROR(IF(V166=0,"",ROUNDUP(V166/H166,0)*0.02175),"")</f>
        <v/>
      </c>
      <c r="X166" s="31" t="inlineStr"/>
      <c r="Y166" s="32" t="inlineStr"/>
    </row>
    <row r="167">
      <c r="A167" s="17" t="inlineStr">
        <is>
          <t>SU002725</t>
        </is>
      </c>
      <c r="B167" s="17" t="inlineStr">
        <is>
          <t>P003404</t>
        </is>
      </c>
      <c r="C167" s="18" t="n">
        <v>4301051470</v>
      </c>
      <c r="D167" s="19" t="n">
        <v>4680115880573</v>
      </c>
      <c r="E167" s="71" t="n"/>
      <c r="F167" s="72" t="n">
        <v>1.3</v>
      </c>
      <c r="G167" s="21" t="n">
        <v>6</v>
      </c>
      <c r="H167" s="72" t="n">
        <v>7.8</v>
      </c>
      <c r="I167" s="72" t="n">
        <v>8.364000000000001</v>
      </c>
      <c r="J167" s="21" t="n">
        <v>56</v>
      </c>
      <c r="K167" s="22" t="inlineStr">
        <is>
          <t>СК3</t>
        </is>
      </c>
      <c r="L167" s="21" t="n">
        <v>45</v>
      </c>
      <c r="M167" s="73" t="inlineStr">
        <is>
          <t>Сосиски "Сочинки" Весовой п/а ТМ "Стародворье"</t>
        </is>
      </c>
      <c r="N167" s="74" t="n"/>
      <c r="O167" s="74" t="n"/>
      <c r="P167" s="74" t="n"/>
      <c r="Q167" s="71" t="n"/>
      <c r="R167" s="26" t="inlineStr"/>
      <c r="S167" s="26" t="inlineStr"/>
      <c r="T167" s="27" t="inlineStr">
        <is>
          <t>кг</t>
        </is>
      </c>
      <c r="U167" s="75" t="n">
        <v>0</v>
      </c>
      <c r="V167" s="76">
        <f>IFERROR(IF(U167="",0,CEILING((U167/$H167),1)*$H167),"")</f>
        <v/>
      </c>
      <c r="W167" s="30">
        <f>IFERROR(IF(V167=0,"",ROUNDUP(V167/H167,0)*0.02175),"")</f>
        <v/>
      </c>
      <c r="X167" s="31" t="inlineStr"/>
      <c r="Y167" s="32" t="inlineStr"/>
    </row>
    <row r="168">
      <c r="A168" s="17" t="inlineStr">
        <is>
          <t>SU002843</t>
        </is>
      </c>
      <c r="B168" s="17" t="inlineStr">
        <is>
          <t>P003263</t>
        </is>
      </c>
      <c r="C168" s="18" t="n">
        <v>4301051408</v>
      </c>
      <c r="D168" s="19" t="n">
        <v>4680115881594</v>
      </c>
      <c r="E168" s="71" t="n"/>
      <c r="F168" s="72" t="n">
        <v>1.35</v>
      </c>
      <c r="G168" s="21" t="n">
        <v>6</v>
      </c>
      <c r="H168" s="72" t="n">
        <v>8.1</v>
      </c>
      <c r="I168" s="72" t="n">
        <v>8.664</v>
      </c>
      <c r="J168" s="21" t="n">
        <v>56</v>
      </c>
      <c r="K168" s="22" t="inlineStr">
        <is>
          <t>СК3</t>
        </is>
      </c>
      <c r="L168" s="21" t="n">
        <v>40</v>
      </c>
      <c r="M168" s="73" t="inlineStr">
        <is>
          <t>Сосиски "Сочинки Молочные" Весовой п/а мгс ТМ "Стародворье"</t>
        </is>
      </c>
      <c r="N168" s="74" t="n"/>
      <c r="O168" s="74" t="n"/>
      <c r="P168" s="74" t="n"/>
      <c r="Q168" s="71" t="n"/>
      <c r="R168" s="26" t="inlineStr"/>
      <c r="S168" s="26" t="inlineStr"/>
      <c r="T168" s="27" t="inlineStr">
        <is>
          <t>кг</t>
        </is>
      </c>
      <c r="U168" s="75" t="n">
        <v>0</v>
      </c>
      <c r="V168" s="76">
        <f>IFERROR(IF(U168="",0,CEILING((U168/$H168),1)*$H168),"")</f>
        <v/>
      </c>
      <c r="W168" s="30">
        <f>IFERROR(IF(V168=0,"",ROUNDUP(V168/H168,0)*0.02175),"")</f>
        <v/>
      </c>
      <c r="X168" s="31" t="inlineStr"/>
      <c r="Y168" s="32" t="inlineStr"/>
    </row>
    <row r="169">
      <c r="A169" s="17" t="inlineStr">
        <is>
          <t>SU002858</t>
        </is>
      </c>
      <c r="B169" s="17" t="inlineStr">
        <is>
          <t>P003322</t>
        </is>
      </c>
      <c r="C169" s="18" t="n">
        <v>4301051433</v>
      </c>
      <c r="D169" s="19" t="n">
        <v>4680115881587</v>
      </c>
      <c r="E169" s="71" t="n"/>
      <c r="F169" s="72" t="n">
        <v>1</v>
      </c>
      <c r="G169" s="21" t="n">
        <v>4</v>
      </c>
      <c r="H169" s="72" t="n">
        <v>4</v>
      </c>
      <c r="I169" s="72" t="n">
        <v>4.408</v>
      </c>
      <c r="J169" s="21" t="n">
        <v>104</v>
      </c>
      <c r="K169" s="22" t="inlineStr">
        <is>
          <t>СК2</t>
        </is>
      </c>
      <c r="L169" s="21" t="n">
        <v>35</v>
      </c>
      <c r="M169" s="73" t="inlineStr">
        <is>
          <t>Сосиски Сочинки по-баварски с сыром Бордо Весовой п/а Стародворье</t>
        </is>
      </c>
      <c r="N169" s="74" t="n"/>
      <c r="O169" s="74" t="n"/>
      <c r="P169" s="74" t="n"/>
      <c r="Q169" s="71" t="n"/>
      <c r="R169" s="26" t="inlineStr"/>
      <c r="S169" s="26" t="inlineStr"/>
      <c r="T169" s="27" t="inlineStr">
        <is>
          <t>кг</t>
        </is>
      </c>
      <c r="U169" s="75" t="n">
        <v>0</v>
      </c>
      <c r="V169" s="76">
        <f>IFERROR(IF(U169="",0,CEILING((U169/$H169),1)*$H169),"")</f>
        <v/>
      </c>
      <c r="W169" s="30">
        <f>IFERROR(IF(V169=0,"",ROUNDUP(V169/H169,0)*0.01196),"")</f>
        <v/>
      </c>
      <c r="X169" s="31" t="inlineStr"/>
      <c r="Y169" s="32" t="inlineStr"/>
    </row>
    <row r="170">
      <c r="A170" s="17" t="inlineStr">
        <is>
          <t>SU002795</t>
        </is>
      </c>
      <c r="B170" s="17" t="inlineStr">
        <is>
          <t>P003203</t>
        </is>
      </c>
      <c r="C170" s="18" t="n">
        <v>4301051380</v>
      </c>
      <c r="D170" s="19" t="n">
        <v>4680115880962</v>
      </c>
      <c r="E170" s="71" t="n"/>
      <c r="F170" s="72" t="n">
        <v>1.3</v>
      </c>
      <c r="G170" s="21" t="n">
        <v>6</v>
      </c>
      <c r="H170" s="72" t="n">
        <v>7.8</v>
      </c>
      <c r="I170" s="72" t="n">
        <v>8.364000000000001</v>
      </c>
      <c r="J170" s="21" t="n">
        <v>56</v>
      </c>
      <c r="K170" s="22" t="inlineStr">
        <is>
          <t>СК2</t>
        </is>
      </c>
      <c r="L170" s="21" t="n">
        <v>40</v>
      </c>
      <c r="M170" s="73" t="inlineStr">
        <is>
          <t>Сосиски Сочинки с сыром Бордо Весовой п/а Стародворье</t>
        </is>
      </c>
      <c r="N170" s="74" t="n"/>
      <c r="O170" s="74" t="n"/>
      <c r="P170" s="74" t="n"/>
      <c r="Q170" s="71" t="n"/>
      <c r="R170" s="26" t="inlineStr"/>
      <c r="S170" s="26" t="inlineStr"/>
      <c r="T170" s="27" t="inlineStr">
        <is>
          <t>кг</t>
        </is>
      </c>
      <c r="U170" s="75" t="n">
        <v>0</v>
      </c>
      <c r="V170" s="76">
        <f>IFERROR(IF(U170="",0,CEILING((U170/$H170),1)*$H170),"")</f>
        <v/>
      </c>
      <c r="W170" s="30">
        <f>IFERROR(IF(V170=0,"",ROUNDUP(V170/H170,0)*0.02175),"")</f>
        <v/>
      </c>
      <c r="X170" s="31" t="inlineStr"/>
      <c r="Y170" s="32" t="inlineStr"/>
    </row>
    <row r="171">
      <c r="A171" s="17" t="inlineStr">
        <is>
          <t>SU002845</t>
        </is>
      </c>
      <c r="B171" s="17" t="inlineStr">
        <is>
          <t>P003266</t>
        </is>
      </c>
      <c r="C171" s="18" t="n">
        <v>4301051411</v>
      </c>
      <c r="D171" s="19" t="n">
        <v>4680115881617</v>
      </c>
      <c r="E171" s="71" t="n"/>
      <c r="F171" s="72" t="n">
        <v>1.35</v>
      </c>
      <c r="G171" s="21" t="n">
        <v>6</v>
      </c>
      <c r="H171" s="72" t="n">
        <v>8.1</v>
      </c>
      <c r="I171" s="72" t="n">
        <v>8.646000000000001</v>
      </c>
      <c r="J171" s="21" t="n">
        <v>56</v>
      </c>
      <c r="K171" s="22" t="inlineStr">
        <is>
          <t>СК3</t>
        </is>
      </c>
      <c r="L171" s="21" t="n">
        <v>40</v>
      </c>
      <c r="M171" s="73" t="inlineStr">
        <is>
          <t>Сосиски "Сочинки Сливочные" Весовые ТМ "Стародворье" 1,35 кг</t>
        </is>
      </c>
      <c r="N171" s="74" t="n"/>
      <c r="O171" s="74" t="n"/>
      <c r="P171" s="74" t="n"/>
      <c r="Q171" s="71" t="n"/>
      <c r="R171" s="26" t="inlineStr"/>
      <c r="S171" s="26" t="inlineStr"/>
      <c r="T171" s="27" t="inlineStr">
        <is>
          <t>кг</t>
        </is>
      </c>
      <c r="U171" s="75" t="n">
        <v>0</v>
      </c>
      <c r="V171" s="76">
        <f>IFERROR(IF(U171="",0,CEILING((U171/$H171),1)*$H171),"")</f>
        <v/>
      </c>
      <c r="W171" s="30">
        <f>IFERROR(IF(V171=0,"",ROUNDUP(V171/H171,0)*0.02175),"")</f>
        <v/>
      </c>
      <c r="X171" s="31" t="inlineStr"/>
      <c r="Y171" s="32" t="inlineStr"/>
    </row>
    <row r="172">
      <c r="A172" s="17" t="inlineStr">
        <is>
          <t>SU002801</t>
        </is>
      </c>
      <c r="B172" s="17" t="inlineStr">
        <is>
          <t>P003200</t>
        </is>
      </c>
      <c r="C172" s="18" t="n">
        <v>4301051377</v>
      </c>
      <c r="D172" s="19" t="n">
        <v>4680115881228</v>
      </c>
      <c r="E172" s="71" t="n"/>
      <c r="F172" s="72" t="n">
        <v>0.4</v>
      </c>
      <c r="G172" s="21" t="n">
        <v>6</v>
      </c>
      <c r="H172" s="72" t="n">
        <v>2.4</v>
      </c>
      <c r="I172" s="72" t="n">
        <v>2.6</v>
      </c>
      <c r="J172" s="21" t="n">
        <v>156</v>
      </c>
      <c r="K172" s="22" t="inlineStr">
        <is>
          <t>СК2</t>
        </is>
      </c>
      <c r="L172" s="21" t="n">
        <v>35</v>
      </c>
      <c r="M172" s="83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2" s="74" t="n"/>
      <c r="O172" s="74" t="n"/>
      <c r="P172" s="74" t="n"/>
      <c r="Q172" s="71" t="n"/>
      <c r="R172" s="26" t="inlineStr"/>
      <c r="S172" s="26" t="inlineStr"/>
      <c r="T172" s="27" t="inlineStr">
        <is>
          <t>кг</t>
        </is>
      </c>
      <c r="U172" s="75" t="n">
        <v>0</v>
      </c>
      <c r="V172" s="76">
        <f>IFERROR(IF(U172="",0,CEILING((U172/$H172),1)*$H172),"")</f>
        <v/>
      </c>
      <c r="W172" s="30">
        <f>IFERROR(IF(V172=0,"",ROUNDUP(V172/H172,0)*0.00753),"")</f>
        <v/>
      </c>
      <c r="X172" s="31" t="inlineStr"/>
      <c r="Y172" s="32" t="inlineStr"/>
    </row>
    <row r="173">
      <c r="A173" s="17" t="inlineStr">
        <is>
          <t>SU002802</t>
        </is>
      </c>
      <c r="B173" s="17" t="inlineStr">
        <is>
          <t>P003321</t>
        </is>
      </c>
      <c r="C173" s="18" t="n">
        <v>4301051432</v>
      </c>
      <c r="D173" s="19" t="n">
        <v>4680115881037</v>
      </c>
      <c r="E173" s="71" t="n"/>
      <c r="F173" s="72" t="n">
        <v>0.84</v>
      </c>
      <c r="G173" s="21" t="n">
        <v>4</v>
      </c>
      <c r="H173" s="72" t="n">
        <v>3.36</v>
      </c>
      <c r="I173" s="72" t="n">
        <v>3.618</v>
      </c>
      <c r="J173" s="21" t="n">
        <v>120</v>
      </c>
      <c r="K173" s="22" t="inlineStr">
        <is>
          <t>СК2</t>
        </is>
      </c>
      <c r="L173" s="21" t="n">
        <v>35</v>
      </c>
      <c r="M173" s="73" t="inlineStr">
        <is>
          <t>Сосиски Сочинки по-баварски с сыром ТМ Стародворье полиамид мгс ф/в 0,84 кг СК3</t>
        </is>
      </c>
      <c r="N173" s="74" t="n"/>
      <c r="O173" s="74" t="n"/>
      <c r="P173" s="74" t="n"/>
      <c r="Q173" s="71" t="n"/>
      <c r="R173" s="26" t="inlineStr"/>
      <c r="S173" s="26" t="inlineStr"/>
      <c r="T173" s="27" t="inlineStr">
        <is>
          <t>кг</t>
        </is>
      </c>
      <c r="U173" s="75" t="n">
        <v>0</v>
      </c>
      <c r="V173" s="76">
        <f>IFERROR(IF(U173="",0,CEILING((U173/$H173),1)*$H173),"")</f>
        <v/>
      </c>
      <c r="W173" s="30">
        <f>IFERROR(IF(V173=0,"",ROUNDUP(V173/H173,0)*0.00937),"")</f>
        <v/>
      </c>
      <c r="X173" s="31" t="inlineStr"/>
      <c r="Y173" s="32" t="inlineStr"/>
    </row>
    <row r="174">
      <c r="A174" s="17" t="inlineStr">
        <is>
          <t>SU002799</t>
        </is>
      </c>
      <c r="B174" s="17" t="inlineStr">
        <is>
          <t>P003217</t>
        </is>
      </c>
      <c r="C174" s="18" t="n">
        <v>4301051384</v>
      </c>
      <c r="D174" s="19" t="n">
        <v>4680115881211</v>
      </c>
      <c r="E174" s="71" t="n"/>
      <c r="F174" s="72" t="n">
        <v>0.4</v>
      </c>
      <c r="G174" s="21" t="n">
        <v>6</v>
      </c>
      <c r="H174" s="72" t="n">
        <v>2.4</v>
      </c>
      <c r="I174" s="72" t="n">
        <v>2.6</v>
      </c>
      <c r="J174" s="21" t="n">
        <v>156</v>
      </c>
      <c r="K174" s="22" t="inlineStr">
        <is>
          <t>СК2</t>
        </is>
      </c>
      <c r="L174" s="21" t="n">
        <v>45</v>
      </c>
      <c r="M174" s="73" t="inlineStr">
        <is>
          <t>Сосиски Сочинки по-баварски Бавария Фикс.вес 0,4 П/а мгс Стародворье</t>
        </is>
      </c>
      <c r="N174" s="74" t="n"/>
      <c r="O174" s="74" t="n"/>
      <c r="P174" s="74" t="n"/>
      <c r="Q174" s="71" t="n"/>
      <c r="R174" s="26" t="inlineStr"/>
      <c r="S174" s="26" t="inlineStr"/>
      <c r="T174" s="27" t="inlineStr">
        <is>
          <t>кг</t>
        </is>
      </c>
      <c r="U174" s="75" t="n">
        <v>0</v>
      </c>
      <c r="V174" s="76">
        <f>IFERROR(IF(U174="",0,CEILING((U174/$H174),1)*$H174),"")</f>
        <v/>
      </c>
      <c r="W174" s="30">
        <f>IFERROR(IF(V174=0,"",ROUNDUP(V174/H174,0)*0.00753),"")</f>
        <v/>
      </c>
      <c r="X174" s="31" t="inlineStr"/>
      <c r="Y174" s="32" t="inlineStr"/>
    </row>
    <row r="175">
      <c r="A175" s="17" t="inlineStr">
        <is>
          <t>SU002800</t>
        </is>
      </c>
      <c r="B175" s="17" t="inlineStr">
        <is>
          <t>P003201</t>
        </is>
      </c>
      <c r="C175" s="18" t="n">
        <v>4301051378</v>
      </c>
      <c r="D175" s="19" t="n">
        <v>4680115881020</v>
      </c>
      <c r="E175" s="71" t="n"/>
      <c r="F175" s="72" t="n">
        <v>0.84</v>
      </c>
      <c r="G175" s="21" t="n">
        <v>4</v>
      </c>
      <c r="H175" s="72" t="n">
        <v>3.36</v>
      </c>
      <c r="I175" s="72" t="n">
        <v>3.57</v>
      </c>
      <c r="J175" s="21" t="n">
        <v>120</v>
      </c>
      <c r="K175" s="22" t="inlineStr">
        <is>
          <t>СК2</t>
        </is>
      </c>
      <c r="L175" s="21" t="n">
        <v>45</v>
      </c>
      <c r="M175" s="73" t="inlineStr">
        <is>
          <t>Сосиски Сочинки по-баварски Бавария Фикс.вес 0,84 П/а мгс Стародворье</t>
        </is>
      </c>
      <c r="N175" s="74" t="n"/>
      <c r="O175" s="74" t="n"/>
      <c r="P175" s="74" t="n"/>
      <c r="Q175" s="71" t="n"/>
      <c r="R175" s="26" t="inlineStr"/>
      <c r="S175" s="26" t="inlineStr"/>
      <c r="T175" s="27" t="inlineStr">
        <is>
          <t>кг</t>
        </is>
      </c>
      <c r="U175" s="75" t="n">
        <v>0</v>
      </c>
      <c r="V175" s="76">
        <f>IFERROR(IF(U175="",0,CEILING((U175/$H175),1)*$H175),"")</f>
        <v/>
      </c>
      <c r="W175" s="30">
        <f>IFERROR(IF(V175=0,"",ROUNDUP(V175/H175,0)*0.00937),"")</f>
        <v/>
      </c>
      <c r="X175" s="31" t="inlineStr"/>
      <c r="Y175" s="32" t="inlineStr"/>
    </row>
    <row r="176">
      <c r="A176" s="17" t="inlineStr">
        <is>
          <t>SU001341</t>
        </is>
      </c>
      <c r="B176" s="17" t="inlineStr">
        <is>
          <t>P002204</t>
        </is>
      </c>
      <c r="C176" s="18" t="n">
        <v>4301051134</v>
      </c>
      <c r="D176" s="19" t="n">
        <v>4607091381672</v>
      </c>
      <c r="E176" s="71" t="n"/>
      <c r="F176" s="72" t="n">
        <v>0.6</v>
      </c>
      <c r="G176" s="21" t="n">
        <v>6</v>
      </c>
      <c r="H176" s="72" t="n">
        <v>3.6</v>
      </c>
      <c r="I176" s="72" t="n">
        <v>3.876</v>
      </c>
      <c r="J176" s="21" t="n">
        <v>120</v>
      </c>
      <c r="K176" s="22" t="inlineStr">
        <is>
          <t>СК2</t>
        </is>
      </c>
      <c r="L176" s="21" t="n">
        <v>40</v>
      </c>
      <c r="M176" s="83">
        <f>HYPERLINK("https://abi.ru/products/Охлажденные/Стародворье/Бордо/Сосиски/P002204/","Сосиски Ганноверские Бордо Фикс.вес 0,6 П/а мгс Баварушка")</f>
        <v/>
      </c>
      <c r="N176" s="74" t="n"/>
      <c r="O176" s="74" t="n"/>
      <c r="P176" s="74" t="n"/>
      <c r="Q176" s="71" t="n"/>
      <c r="R176" s="26" t="inlineStr"/>
      <c r="S176" s="26" t="inlineStr"/>
      <c r="T176" s="27" t="inlineStr">
        <is>
          <t>кг</t>
        </is>
      </c>
      <c r="U176" s="75" t="n">
        <v>0</v>
      </c>
      <c r="V176" s="76">
        <f>IFERROR(IF(U176="",0,CEILING((U176/$H176),1)*$H176),"")</f>
        <v/>
      </c>
      <c r="W176" s="30">
        <f>IFERROR(IF(V176=0,"",ROUNDUP(V176/H176,0)*0.00937),"")</f>
        <v/>
      </c>
      <c r="X176" s="31" t="inlineStr"/>
      <c r="Y176" s="32" t="inlineStr"/>
    </row>
    <row r="177">
      <c r="A177" s="17" t="inlineStr">
        <is>
          <t>SU001763</t>
        </is>
      </c>
      <c r="B177" s="17" t="inlineStr">
        <is>
          <t>P002206</t>
        </is>
      </c>
      <c r="C177" s="18" t="n">
        <v>4301051130</v>
      </c>
      <c r="D177" s="19" t="n">
        <v>4607091387537</v>
      </c>
      <c r="E177" s="71" t="n"/>
      <c r="F177" s="72" t="n">
        <v>0.45</v>
      </c>
      <c r="G177" s="21" t="n">
        <v>6</v>
      </c>
      <c r="H177" s="72" t="n">
        <v>2.7</v>
      </c>
      <c r="I177" s="72" t="n">
        <v>2.99</v>
      </c>
      <c r="J177" s="21" t="n">
        <v>156</v>
      </c>
      <c r="K177" s="22" t="inlineStr">
        <is>
          <t>СК2</t>
        </is>
      </c>
      <c r="L177" s="21" t="n">
        <v>40</v>
      </c>
      <c r="M177" s="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77" s="74" t="n"/>
      <c r="O177" s="74" t="n"/>
      <c r="P177" s="74" t="n"/>
      <c r="Q177" s="71" t="n"/>
      <c r="R177" s="26" t="inlineStr"/>
      <c r="S177" s="26" t="inlineStr"/>
      <c r="T177" s="27" t="inlineStr">
        <is>
          <t>кг</t>
        </is>
      </c>
      <c r="U177" s="75" t="n">
        <v>0</v>
      </c>
      <c r="V177" s="76">
        <f>IFERROR(IF(U177="",0,CEILING((U177/$H177),1)*$H177),"")</f>
        <v/>
      </c>
      <c r="W177" s="30">
        <f>IFERROR(IF(V177=0,"",ROUNDUP(V177/H177,0)*0.00753),"")</f>
        <v/>
      </c>
      <c r="X177" s="31" t="inlineStr"/>
      <c r="Y177" s="32" t="inlineStr"/>
    </row>
    <row r="178">
      <c r="A178" s="17" t="inlineStr">
        <is>
          <t>SU001762</t>
        </is>
      </c>
      <c r="B178" s="17" t="inlineStr">
        <is>
          <t>P002208</t>
        </is>
      </c>
      <c r="C178" s="18" t="n">
        <v>4301051132</v>
      </c>
      <c r="D178" s="19" t="n">
        <v>4607091387513</v>
      </c>
      <c r="E178" s="71" t="n"/>
      <c r="F178" s="72" t="n">
        <v>0.45</v>
      </c>
      <c r="G178" s="21" t="n">
        <v>6</v>
      </c>
      <c r="H178" s="72" t="n">
        <v>2.7</v>
      </c>
      <c r="I178" s="72" t="n">
        <v>2.978</v>
      </c>
      <c r="J178" s="21" t="n">
        <v>156</v>
      </c>
      <c r="K178" s="22" t="inlineStr">
        <is>
          <t>СК2</t>
        </is>
      </c>
      <c r="L178" s="21" t="n">
        <v>40</v>
      </c>
      <c r="M178" s="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78" s="74" t="n"/>
      <c r="O178" s="74" t="n"/>
      <c r="P178" s="74" t="n"/>
      <c r="Q178" s="71" t="n"/>
      <c r="R178" s="26" t="inlineStr"/>
      <c r="S178" s="26" t="inlineStr"/>
      <c r="T178" s="27" t="inlineStr">
        <is>
          <t>кг</t>
        </is>
      </c>
      <c r="U178" s="75" t="n">
        <v>0</v>
      </c>
      <c r="V178" s="76">
        <f>IFERROR(IF(U178="",0,CEILING((U178/$H178),1)*$H178),"")</f>
        <v/>
      </c>
      <c r="W178" s="30">
        <f>IFERROR(IF(V178=0,"",ROUNDUP(V178/H178,0)*0.00753),"")</f>
        <v/>
      </c>
      <c r="X178" s="31" t="inlineStr"/>
      <c r="Y178" s="32" t="inlineStr"/>
    </row>
    <row r="179">
      <c r="A179" s="17" t="inlineStr">
        <is>
          <t>SU002842</t>
        </is>
      </c>
      <c r="B179" s="17" t="inlineStr">
        <is>
          <t>P003262</t>
        </is>
      </c>
      <c r="C179" s="18" t="n">
        <v>4301051407</v>
      </c>
      <c r="D179" s="19" t="n">
        <v>4680115882195</v>
      </c>
      <c r="E179" s="71" t="n"/>
      <c r="F179" s="72" t="n">
        <v>0.4</v>
      </c>
      <c r="G179" s="21" t="n">
        <v>6</v>
      </c>
      <c r="H179" s="72" t="n">
        <v>2.4</v>
      </c>
      <c r="I179" s="72" t="n">
        <v>2.69</v>
      </c>
      <c r="J179" s="21" t="n">
        <v>156</v>
      </c>
      <c r="K179" s="22" t="inlineStr">
        <is>
          <t>СК3</t>
        </is>
      </c>
      <c r="L179" s="21" t="n">
        <v>40</v>
      </c>
      <c r="M179" s="73" t="inlineStr">
        <is>
          <t>Сосиски "Сочинки Молочные" Фикс.вес 0,4 п/а мгс ТМ "Стародворье"</t>
        </is>
      </c>
      <c r="N179" s="74" t="n"/>
      <c r="O179" s="74" t="n"/>
      <c r="P179" s="74" t="n"/>
      <c r="Q179" s="71" t="n"/>
      <c r="R179" s="26" t="inlineStr"/>
      <c r="S179" s="26" t="inlineStr"/>
      <c r="T179" s="27" t="inlineStr">
        <is>
          <t>кг</t>
        </is>
      </c>
      <c r="U179" s="75" t="n">
        <v>0</v>
      </c>
      <c r="V179" s="76">
        <f>IFERROR(IF(U179="",0,CEILING((U179/$H179),1)*$H179),"")</f>
        <v/>
      </c>
      <c r="W179" s="30">
        <f>IFERROR(IF(V179=0,"",ROUNDUP(V179/H179,0)*0.00753),"")</f>
        <v/>
      </c>
      <c r="X179" s="31" t="inlineStr"/>
      <c r="Y179" s="32" t="inlineStr"/>
    </row>
    <row r="180">
      <c r="A180" s="17" t="inlineStr">
        <is>
          <t>SU002992</t>
        </is>
      </c>
      <c r="B180" s="17" t="inlineStr">
        <is>
          <t>P003443</t>
        </is>
      </c>
      <c r="C180" s="18" t="n">
        <v>4301051479</v>
      </c>
      <c r="D180" s="19" t="n">
        <v>4680115882607</v>
      </c>
      <c r="E180" s="71" t="n"/>
      <c r="F180" s="72" t="n">
        <v>0.3</v>
      </c>
      <c r="G180" s="21" t="n">
        <v>6</v>
      </c>
      <c r="H180" s="72" t="n">
        <v>1.8</v>
      </c>
      <c r="I180" s="72" t="n">
        <v>2.072</v>
      </c>
      <c r="J180" s="21" t="n">
        <v>156</v>
      </c>
      <c r="K180" s="22" t="inlineStr">
        <is>
          <t>СК3</t>
        </is>
      </c>
      <c r="L180" s="21" t="n">
        <v>45</v>
      </c>
      <c r="M180" s="73" t="inlineStr">
        <is>
          <t>Сосиски "Сочинки с сочной грудинкой" Фикс.вес 0,3 П/а мгс ТМ "Стародворье"</t>
        </is>
      </c>
      <c r="N180" s="74" t="n"/>
      <c r="O180" s="74" t="n"/>
      <c r="P180" s="74" t="n"/>
      <c r="Q180" s="71" t="n"/>
      <c r="R180" s="26" t="inlineStr"/>
      <c r="S180" s="26" t="inlineStr"/>
      <c r="T180" s="27" t="inlineStr">
        <is>
          <t>кг</t>
        </is>
      </c>
      <c r="U180" s="75" t="n">
        <v>0</v>
      </c>
      <c r="V180" s="76">
        <f>IFERROR(IF(U180="",0,CEILING((U180/$H180),1)*$H180),"")</f>
        <v/>
      </c>
      <c r="W180" s="30">
        <f>IFERROR(IF(V180=0,"",ROUNDUP(V180/H180,0)*0.00753),"")</f>
        <v/>
      </c>
      <c r="X180" s="31" t="inlineStr"/>
      <c r="Y180" s="32" t="inlineStr"/>
    </row>
    <row r="181">
      <c r="A181" s="17" t="inlineStr">
        <is>
          <t>SU002618</t>
        </is>
      </c>
      <c r="B181" s="17" t="inlineStr">
        <is>
          <t>P003398</t>
        </is>
      </c>
      <c r="C181" s="18" t="n">
        <v>4301051468</v>
      </c>
      <c r="D181" s="19" t="n">
        <v>4680115880092</v>
      </c>
      <c r="E181" s="71" t="n"/>
      <c r="F181" s="72" t="n">
        <v>0.4</v>
      </c>
      <c r="G181" s="21" t="n">
        <v>6</v>
      </c>
      <c r="H181" s="72" t="n">
        <v>2.4</v>
      </c>
      <c r="I181" s="72" t="n">
        <v>2.672</v>
      </c>
      <c r="J181" s="21" t="n">
        <v>156</v>
      </c>
      <c r="K181" s="22" t="inlineStr">
        <is>
          <t>СК3</t>
        </is>
      </c>
      <c r="L181" s="21" t="n">
        <v>45</v>
      </c>
      <c r="M181" s="73" t="inlineStr">
        <is>
          <t>Сосиски "Сочинки с сочной грудинкой" Фикс.вес 0,4 П/а мгс ТМ "Стародворье"</t>
        </is>
      </c>
      <c r="N181" s="74" t="n"/>
      <c r="O181" s="74" t="n"/>
      <c r="P181" s="74" t="n"/>
      <c r="Q181" s="71" t="n"/>
      <c r="R181" s="26" t="inlineStr"/>
      <c r="S181" s="26" t="inlineStr"/>
      <c r="T181" s="27" t="inlineStr">
        <is>
          <t>кг</t>
        </is>
      </c>
      <c r="U181" s="75" t="n">
        <v>0</v>
      </c>
      <c r="V181" s="76">
        <f>IFERROR(IF(U181="",0,CEILING((U181/$H181),1)*$H181),"")</f>
        <v/>
      </c>
      <c r="W181" s="30">
        <f>IFERROR(IF(V181=0,"",ROUNDUP(V181/H181,0)*0.00753),"")</f>
        <v/>
      </c>
      <c r="X181" s="31" t="inlineStr"/>
      <c r="Y181" s="32" t="inlineStr"/>
    </row>
    <row r="182">
      <c r="A182" s="17" t="inlineStr">
        <is>
          <t>SU002621</t>
        </is>
      </c>
      <c r="B182" s="17" t="inlineStr">
        <is>
          <t>P003399</t>
        </is>
      </c>
      <c r="C182" s="18" t="n">
        <v>4301051469</v>
      </c>
      <c r="D182" s="19" t="n">
        <v>4680115880221</v>
      </c>
      <c r="E182" s="71" t="n"/>
      <c r="F182" s="72" t="n">
        <v>0.4</v>
      </c>
      <c r="G182" s="21" t="n">
        <v>6</v>
      </c>
      <c r="H182" s="72" t="n">
        <v>2.4</v>
      </c>
      <c r="I182" s="72" t="n">
        <v>2.672</v>
      </c>
      <c r="J182" s="21" t="n">
        <v>156</v>
      </c>
      <c r="K182" s="22" t="inlineStr">
        <is>
          <t>СК3</t>
        </is>
      </c>
      <c r="L182" s="21" t="n">
        <v>45</v>
      </c>
      <c r="M182" s="73" t="inlineStr">
        <is>
          <t>Сосиски Сочинки с сочным окороком Бордо Фикс.вес 0,4 П/а мгс Стародворье</t>
        </is>
      </c>
      <c r="N182" s="74" t="n"/>
      <c r="O182" s="74" t="n"/>
      <c r="P182" s="74" t="n"/>
      <c r="Q182" s="71" t="n"/>
      <c r="R182" s="26" t="inlineStr"/>
      <c r="S182" s="26" t="inlineStr"/>
      <c r="T182" s="27" t="inlineStr">
        <is>
          <t>кг</t>
        </is>
      </c>
      <c r="U182" s="75" t="n">
        <v>0</v>
      </c>
      <c r="V182" s="76">
        <f>IFERROR(IF(U182="",0,CEILING((U182/$H182),1)*$H182),"")</f>
        <v/>
      </c>
      <c r="W182" s="30">
        <f>IFERROR(IF(V182=0,"",ROUNDUP(V182/H182,0)*0.00753),"")</f>
        <v/>
      </c>
      <c r="X182" s="31" t="inlineStr"/>
      <c r="Y182" s="32" t="inlineStr"/>
    </row>
    <row r="183">
      <c r="A183" s="17" t="inlineStr">
        <is>
          <t>SU003073</t>
        </is>
      </c>
      <c r="B183" s="17" t="inlineStr">
        <is>
          <t>P003613</t>
        </is>
      </c>
      <c r="C183" s="18" t="n">
        <v>4301051523</v>
      </c>
      <c r="D183" s="19" t="n">
        <v>4680115882942</v>
      </c>
      <c r="E183" s="71" t="n"/>
      <c r="F183" s="72" t="n">
        <v>0.3</v>
      </c>
      <c r="G183" s="21" t="n">
        <v>6</v>
      </c>
      <c r="H183" s="72" t="n">
        <v>1.8</v>
      </c>
      <c r="I183" s="72" t="n">
        <v>2.072</v>
      </c>
      <c r="J183" s="21" t="n">
        <v>156</v>
      </c>
      <c r="K183" s="22" t="inlineStr">
        <is>
          <t>СК2</t>
        </is>
      </c>
      <c r="L183" s="21" t="n">
        <v>40</v>
      </c>
      <c r="M183" s="73" t="inlineStr">
        <is>
          <t>Сосиски "Сочинки с сыром" ф/в 0,3 кг п/а ТМ "Стародворье"</t>
        </is>
      </c>
      <c r="N183" s="74" t="n"/>
      <c r="O183" s="74" t="n"/>
      <c r="P183" s="74" t="n"/>
      <c r="Q183" s="71" t="n"/>
      <c r="R183" s="26" t="inlineStr"/>
      <c r="S183" s="26" t="inlineStr"/>
      <c r="T183" s="27" t="inlineStr">
        <is>
          <t>кг</t>
        </is>
      </c>
      <c r="U183" s="75" t="n">
        <v>0</v>
      </c>
      <c r="V183" s="76">
        <f>IFERROR(IF(U183="",0,CEILING((U183/$H183),1)*$H183),"")</f>
        <v/>
      </c>
      <c r="W183" s="30">
        <f>IFERROR(IF(V183=0,"",ROUNDUP(V183/H183,0)*0.00753),"")</f>
        <v/>
      </c>
      <c r="X183" s="31" t="inlineStr"/>
      <c r="Y183" s="32" t="inlineStr"/>
    </row>
    <row r="184">
      <c r="A184" s="17" t="inlineStr">
        <is>
          <t>SU002686</t>
        </is>
      </c>
      <c r="B184" s="17" t="inlineStr">
        <is>
          <t>P003071</t>
        </is>
      </c>
      <c r="C184" s="18" t="n">
        <v>4301051326</v>
      </c>
      <c r="D184" s="19" t="n">
        <v>4680115880504</v>
      </c>
      <c r="E184" s="71" t="n"/>
      <c r="F184" s="72" t="n">
        <v>0.4</v>
      </c>
      <c r="G184" s="21" t="n">
        <v>6</v>
      </c>
      <c r="H184" s="72" t="n">
        <v>2.4</v>
      </c>
      <c r="I184" s="72" t="n">
        <v>2.672</v>
      </c>
      <c r="J184" s="21" t="n">
        <v>156</v>
      </c>
      <c r="K184" s="22" t="inlineStr">
        <is>
          <t>СК2</t>
        </is>
      </c>
      <c r="L184" s="21" t="n">
        <v>40</v>
      </c>
      <c r="M184" s="83">
        <f>HYPERLINK("https://abi.ru/products/Охлажденные/Стародворье/Бордо/Сосиски/P003071/","Сосиски Сочинки с сыром Бордо ф/в 0,4 кг п/а Стародворье")</f>
        <v/>
      </c>
      <c r="N184" s="74" t="n"/>
      <c r="O184" s="74" t="n"/>
      <c r="P184" s="74" t="n"/>
      <c r="Q184" s="71" t="n"/>
      <c r="R184" s="26" t="inlineStr"/>
      <c r="S184" s="26" t="inlineStr"/>
      <c r="T184" s="27" t="inlineStr">
        <is>
          <t>кг</t>
        </is>
      </c>
      <c r="U184" s="75" t="n">
        <v>0</v>
      </c>
      <c r="V184" s="76">
        <f>IFERROR(IF(U184="",0,CEILING((U184/$H184),1)*$H184),"")</f>
        <v/>
      </c>
      <c r="W184" s="30">
        <f>IFERROR(IF(V184=0,"",ROUNDUP(V184/H184,0)*0.00753),"")</f>
        <v/>
      </c>
      <c r="X184" s="31" t="inlineStr"/>
      <c r="Y184" s="32" t="inlineStr"/>
    </row>
    <row r="185">
      <c r="A185" s="17" t="inlineStr">
        <is>
          <t>SU002844</t>
        </is>
      </c>
      <c r="B185" s="17" t="inlineStr">
        <is>
          <t>P003265</t>
        </is>
      </c>
      <c r="C185" s="18" t="n">
        <v>4301051410</v>
      </c>
      <c r="D185" s="19" t="n">
        <v>4680115882164</v>
      </c>
      <c r="E185" s="71" t="n"/>
      <c r="F185" s="72" t="n">
        <v>0.4</v>
      </c>
      <c r="G185" s="21" t="n">
        <v>6</v>
      </c>
      <c r="H185" s="72" t="n">
        <v>2.4</v>
      </c>
      <c r="I185" s="72" t="n">
        <v>2.678</v>
      </c>
      <c r="J185" s="21" t="n">
        <v>156</v>
      </c>
      <c r="K185" s="22" t="inlineStr">
        <is>
          <t>СК3</t>
        </is>
      </c>
      <c r="L185" s="21" t="n">
        <v>40</v>
      </c>
      <c r="M185" s="73" t="inlineStr">
        <is>
          <t>Сосиски "Сочинки Сливочные" Фикс.вес 0,4 п/а мгс ТМ "Стародворье"</t>
        </is>
      </c>
      <c r="N185" s="74" t="n"/>
      <c r="O185" s="74" t="n"/>
      <c r="P185" s="74" t="n"/>
      <c r="Q185" s="71" t="n"/>
      <c r="R185" s="26" t="inlineStr"/>
      <c r="S185" s="26" t="inlineStr"/>
      <c r="T185" s="27" t="inlineStr">
        <is>
          <t>кг</t>
        </is>
      </c>
      <c r="U185" s="75" t="n">
        <v>0</v>
      </c>
      <c r="V185" s="76">
        <f>IFERROR(IF(U185="",0,CEILING((U185/$H185),1)*$H185),"")</f>
        <v/>
      </c>
      <c r="W185" s="30">
        <f>IFERROR(IF(V185=0,"",ROUNDUP(V185/H185,0)*0.00753),"")</f>
        <v/>
      </c>
      <c r="X185" s="31" t="inlineStr"/>
      <c r="Y185" s="32" t="inlineStr"/>
    </row>
    <row r="186">
      <c r="A186" s="3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77" t="n"/>
      <c r="M186" s="78" t="inlineStr">
        <is>
          <t>Итого</t>
        </is>
      </c>
      <c r="N186" s="79" t="n"/>
      <c r="O186" s="79" t="n"/>
      <c r="P186" s="79" t="n"/>
      <c r="Q186" s="79" t="n"/>
      <c r="R186" s="79" t="n"/>
      <c r="S186" s="80" t="n"/>
      <c r="T186" s="38" t="inlineStr">
        <is>
          <t>кор</t>
        </is>
      </c>
      <c r="U186" s="8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8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8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82" t="n"/>
      <c r="Y186" s="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77" t="n"/>
      <c r="M187" s="78" t="inlineStr">
        <is>
          <t>Итого</t>
        </is>
      </c>
      <c r="N187" s="79" t="n"/>
      <c r="O187" s="79" t="n"/>
      <c r="P187" s="79" t="n"/>
      <c r="Q187" s="79" t="n"/>
      <c r="R187" s="79" t="n"/>
      <c r="S187" s="80" t="n"/>
      <c r="T187" s="38" t="inlineStr">
        <is>
          <t>кг</t>
        </is>
      </c>
      <c r="U187" s="81">
        <f>IFERROR(SUM(U163:U185),"0")</f>
        <v/>
      </c>
      <c r="V187" s="81">
        <f>IFERROR(SUM(V163:V185),"0")</f>
        <v/>
      </c>
      <c r="W187" s="38" t="n"/>
      <c r="X187" s="82" t="n"/>
      <c r="Y187" s="82" t="n"/>
    </row>
    <row r="188">
      <c r="A188" s="16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6" t="n"/>
      <c r="Y188" s="16" t="n"/>
    </row>
    <row r="189">
      <c r="A189" s="17" t="inlineStr">
        <is>
          <t>SU001051</t>
        </is>
      </c>
      <c r="B189" s="17" t="inlineStr">
        <is>
          <t>P002061</t>
        </is>
      </c>
      <c r="C189" s="18" t="n">
        <v>4301060326</v>
      </c>
      <c r="D189" s="19" t="n">
        <v>4607091380880</v>
      </c>
      <c r="E189" s="71" t="n"/>
      <c r="F189" s="72" t="n">
        <v>1.4</v>
      </c>
      <c r="G189" s="21" t="n">
        <v>6</v>
      </c>
      <c r="H189" s="72" t="n">
        <v>8.4</v>
      </c>
      <c r="I189" s="72" t="n">
        <v>8.964</v>
      </c>
      <c r="J189" s="21" t="n">
        <v>56</v>
      </c>
      <c r="K189" s="22" t="inlineStr">
        <is>
          <t>СК2</t>
        </is>
      </c>
      <c r="L189" s="21" t="n">
        <v>30</v>
      </c>
      <c r="M189" s="83">
        <f>HYPERLINK("https://abi.ru/products/Охлажденные/Стародворье/Бордо/Сардельки/P002061/","Сардельки Нежные Бордо Весовые н/о мгс Стародворье")</f>
        <v/>
      </c>
      <c r="N189" s="74" t="n"/>
      <c r="O189" s="74" t="n"/>
      <c r="P189" s="74" t="n"/>
      <c r="Q189" s="71" t="n"/>
      <c r="R189" s="26" t="inlineStr"/>
      <c r="S189" s="26" t="inlineStr"/>
      <c r="T189" s="27" t="inlineStr">
        <is>
          <t>кг</t>
        </is>
      </c>
      <c r="U189" s="75" t="n">
        <v>0</v>
      </c>
      <c r="V189" s="76">
        <f>IFERROR(IF(U189="",0,CEILING((U189/$H189),1)*$H189),"")</f>
        <v/>
      </c>
      <c r="W189" s="30">
        <f>IFERROR(IF(V189=0,"",ROUNDUP(V189/H189,0)*0.02175),"")</f>
        <v/>
      </c>
      <c r="X189" s="31" t="inlineStr"/>
      <c r="Y189" s="32" t="inlineStr"/>
    </row>
    <row r="190">
      <c r="A190" s="17" t="inlineStr">
        <is>
          <t>SU000227</t>
        </is>
      </c>
      <c r="B190" s="17" t="inlineStr">
        <is>
          <t>P002536</t>
        </is>
      </c>
      <c r="C190" s="18" t="n">
        <v>4301060308</v>
      </c>
      <c r="D190" s="19" t="n">
        <v>4607091384482</v>
      </c>
      <c r="E190" s="71" t="n"/>
      <c r="F190" s="72" t="n">
        <v>1.3</v>
      </c>
      <c r="G190" s="21" t="n">
        <v>6</v>
      </c>
      <c r="H190" s="72" t="n">
        <v>7.8</v>
      </c>
      <c r="I190" s="72" t="n">
        <v>8.364000000000001</v>
      </c>
      <c r="J190" s="21" t="n">
        <v>56</v>
      </c>
      <c r="K190" s="22" t="inlineStr">
        <is>
          <t>СК2</t>
        </is>
      </c>
      <c r="L190" s="21" t="n">
        <v>30</v>
      </c>
      <c r="M190" s="8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190" s="74" t="n"/>
      <c r="O190" s="74" t="n"/>
      <c r="P190" s="74" t="n"/>
      <c r="Q190" s="71" t="n"/>
      <c r="R190" s="26" t="inlineStr"/>
      <c r="S190" s="26" t="inlineStr"/>
      <c r="T190" s="27" t="inlineStr">
        <is>
          <t>кг</t>
        </is>
      </c>
      <c r="U190" s="75" t="n">
        <v>0</v>
      </c>
      <c r="V190" s="76">
        <f>IFERROR(IF(U190="",0,CEILING((U190/$H190),1)*$H190),"")</f>
        <v/>
      </c>
      <c r="W190" s="30">
        <f>IFERROR(IF(V190=0,"",ROUNDUP(V190/H190,0)*0.02175),"")</f>
        <v/>
      </c>
      <c r="X190" s="31" t="inlineStr"/>
      <c r="Y190" s="32" t="inlineStr"/>
    </row>
    <row r="191">
      <c r="A191" s="17" t="inlineStr">
        <is>
          <t>SU001430</t>
        </is>
      </c>
      <c r="B191" s="17" t="inlineStr">
        <is>
          <t>P002036</t>
        </is>
      </c>
      <c r="C191" s="18" t="n">
        <v>4301060325</v>
      </c>
      <c r="D191" s="19" t="n">
        <v>4607091380897</v>
      </c>
      <c r="E191" s="71" t="n"/>
      <c r="F191" s="72" t="n">
        <v>1.4</v>
      </c>
      <c r="G191" s="21" t="n">
        <v>6</v>
      </c>
      <c r="H191" s="72" t="n">
        <v>8.4</v>
      </c>
      <c r="I191" s="72" t="n">
        <v>8.964</v>
      </c>
      <c r="J191" s="21" t="n">
        <v>56</v>
      </c>
      <c r="K191" s="22" t="inlineStr">
        <is>
          <t>СК2</t>
        </is>
      </c>
      <c r="L191" s="21" t="n">
        <v>30</v>
      </c>
      <c r="M191" s="83">
        <f>HYPERLINK("https://abi.ru/products/Охлажденные/Стародворье/Бордо/Сардельки/P002036/","Сардельки Шпикачки Бордо Весовые NDX мгс Стародворье")</f>
        <v/>
      </c>
      <c r="N191" s="74" t="n"/>
      <c r="O191" s="74" t="n"/>
      <c r="P191" s="74" t="n"/>
      <c r="Q191" s="71" t="n"/>
      <c r="R191" s="26" t="inlineStr"/>
      <c r="S191" s="26" t="inlineStr"/>
      <c r="T191" s="27" t="inlineStr">
        <is>
          <t>кг</t>
        </is>
      </c>
      <c r="U191" s="75" t="n">
        <v>0</v>
      </c>
      <c r="V191" s="76">
        <f>IFERROR(IF(U191="",0,CEILING((U191/$H191),1)*$H191),"")</f>
        <v/>
      </c>
      <c r="W191" s="30">
        <f>IFERROR(IF(V191=0,"",ROUNDUP(V191/H191,0)*0.02175),"")</f>
        <v/>
      </c>
      <c r="X191" s="31" t="inlineStr"/>
      <c r="Y191" s="32" t="inlineStr"/>
    </row>
    <row r="192">
      <c r="A192" s="17" t="inlineStr">
        <is>
          <t>SU002758</t>
        </is>
      </c>
      <c r="B192" s="17" t="inlineStr">
        <is>
          <t>P003129</t>
        </is>
      </c>
      <c r="C192" s="18" t="n">
        <v>4301060338</v>
      </c>
      <c r="D192" s="19" t="n">
        <v>4680115880801</v>
      </c>
      <c r="E192" s="71" t="n"/>
      <c r="F192" s="72" t="n">
        <v>0.4</v>
      </c>
      <c r="G192" s="21" t="n">
        <v>6</v>
      </c>
      <c r="H192" s="72" t="n">
        <v>2.4</v>
      </c>
      <c r="I192" s="72" t="n">
        <v>2.672</v>
      </c>
      <c r="J192" s="21" t="n">
        <v>156</v>
      </c>
      <c r="K192" s="22" t="inlineStr">
        <is>
          <t>СК2</t>
        </is>
      </c>
      <c r="L192" s="21" t="n">
        <v>40</v>
      </c>
      <c r="M192" s="73" t="inlineStr">
        <is>
          <t>Сардельки Сочинки с сочным окороком ТМ Стародворье полиамид мгс ф/в 0,4 кг СК3</t>
        </is>
      </c>
      <c r="N192" s="74" t="n"/>
      <c r="O192" s="74" t="n"/>
      <c r="P192" s="74" t="n"/>
      <c r="Q192" s="71" t="n"/>
      <c r="R192" s="26" t="inlineStr"/>
      <c r="S192" s="26" t="inlineStr"/>
      <c r="T192" s="27" t="inlineStr">
        <is>
          <t>кг</t>
        </is>
      </c>
      <c r="U192" s="75" t="n">
        <v>0</v>
      </c>
      <c r="V192" s="76">
        <f>IFERROR(IF(U192="",0,CEILING((U192/$H192),1)*$H192),"")</f>
        <v/>
      </c>
      <c r="W192" s="30">
        <f>IFERROR(IF(V192=0,"",ROUNDUP(V192/H192,0)*0.00753),"")</f>
        <v/>
      </c>
      <c r="X192" s="31" t="inlineStr"/>
      <c r="Y192" s="32" t="inlineStr"/>
    </row>
    <row r="193">
      <c r="A193" s="17" t="inlineStr">
        <is>
          <t>SU002759</t>
        </is>
      </c>
      <c r="B193" s="17" t="inlineStr">
        <is>
          <t>P003130</t>
        </is>
      </c>
      <c r="C193" s="18" t="n">
        <v>4301060339</v>
      </c>
      <c r="D193" s="19" t="n">
        <v>4680115880818</v>
      </c>
      <c r="E193" s="71" t="n"/>
      <c r="F193" s="72" t="n">
        <v>0.4</v>
      </c>
      <c r="G193" s="21" t="n">
        <v>6</v>
      </c>
      <c r="H193" s="72" t="n">
        <v>2.4</v>
      </c>
      <c r="I193" s="72" t="n">
        <v>2.672</v>
      </c>
      <c r="J193" s="21" t="n">
        <v>156</v>
      </c>
      <c r="K193" s="22" t="inlineStr">
        <is>
          <t>СК2</t>
        </is>
      </c>
      <c r="L193" s="21" t="n">
        <v>40</v>
      </c>
      <c r="M193" s="73" t="inlineStr">
        <is>
          <t>Сардельки Сочинки с сыром Бордо Фикс.вес 0,4 п/а Стародворье</t>
        </is>
      </c>
      <c r="N193" s="74" t="n"/>
      <c r="O193" s="74" t="n"/>
      <c r="P193" s="74" t="n"/>
      <c r="Q193" s="71" t="n"/>
      <c r="R193" s="26" t="inlineStr"/>
      <c r="S193" s="26" t="inlineStr"/>
      <c r="T193" s="27" t="inlineStr">
        <is>
          <t>кг</t>
        </is>
      </c>
      <c r="U193" s="75" t="n">
        <v>0</v>
      </c>
      <c r="V193" s="76">
        <f>IFERROR(IF(U193="",0,CEILING((U193/$H193),1)*$H193),"")</f>
        <v/>
      </c>
      <c r="W193" s="30">
        <f>IFERROR(IF(V193=0,"",ROUNDUP(V193/H193,0)*0.00753),"")</f>
        <v/>
      </c>
      <c r="X193" s="31" t="inlineStr"/>
      <c r="Y193" s="32" t="inlineStr"/>
    </row>
    <row r="194">
      <c r="A194" s="17" t="inlineStr">
        <is>
          <t>SU002691</t>
        </is>
      </c>
      <c r="B194" s="17" t="inlineStr">
        <is>
          <t>P003055</t>
        </is>
      </c>
      <c r="C194" s="18" t="n">
        <v>4301060337</v>
      </c>
      <c r="D194" s="19" t="n">
        <v>4680115880368</v>
      </c>
      <c r="E194" s="71" t="n"/>
      <c r="F194" s="72" t="n">
        <v>1</v>
      </c>
      <c r="G194" s="21" t="n">
        <v>4</v>
      </c>
      <c r="H194" s="72" t="n">
        <v>4</v>
      </c>
      <c r="I194" s="72" t="n">
        <v>4.36</v>
      </c>
      <c r="J194" s="21" t="n">
        <v>104</v>
      </c>
      <c r="K194" s="22" t="inlineStr">
        <is>
          <t>СК3</t>
        </is>
      </c>
      <c r="L194" s="21" t="n">
        <v>40</v>
      </c>
      <c r="M194" s="73" t="inlineStr">
        <is>
          <t>Сардельки Царедворские Бордо ф/в 1 кг п/а Стародворье</t>
        </is>
      </c>
      <c r="N194" s="74" t="n"/>
      <c r="O194" s="74" t="n"/>
      <c r="P194" s="74" t="n"/>
      <c r="Q194" s="71" t="n"/>
      <c r="R194" s="26" t="inlineStr"/>
      <c r="S194" s="26" t="inlineStr"/>
      <c r="T194" s="27" t="inlineStr">
        <is>
          <t>кг</t>
        </is>
      </c>
      <c r="U194" s="75" t="n">
        <v>0</v>
      </c>
      <c r="V194" s="76">
        <f>IFERROR(IF(U194="",0,CEILING((U194/$H194),1)*$H194),"")</f>
        <v/>
      </c>
      <c r="W194" s="30">
        <f>IFERROR(IF(V194=0,"",ROUNDUP(V194/H194,0)*0.01196),"")</f>
        <v/>
      </c>
      <c r="X194" s="31" t="inlineStr"/>
      <c r="Y194" s="32" t="inlineStr"/>
    </row>
    <row r="195">
      <c r="A195" s="34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77" t="n"/>
      <c r="M195" s="78" t="inlineStr">
        <is>
          <t>Итого</t>
        </is>
      </c>
      <c r="N195" s="79" t="n"/>
      <c r="O195" s="79" t="n"/>
      <c r="P195" s="79" t="n"/>
      <c r="Q195" s="79" t="n"/>
      <c r="R195" s="79" t="n"/>
      <c r="S195" s="80" t="n"/>
      <c r="T195" s="38" t="inlineStr">
        <is>
          <t>кор</t>
        </is>
      </c>
      <c r="U195" s="81">
        <f>IFERROR(U189/H189,"0")+IFERROR(U190/H190,"0")+IFERROR(U191/H191,"0")+IFERROR(U192/H192,"0")+IFERROR(U193/H193,"0")+IFERROR(U194/H194,"0")</f>
        <v/>
      </c>
      <c r="V195" s="81">
        <f>IFERROR(V189/H189,"0")+IFERROR(V190/H190,"0")+IFERROR(V191/H191,"0")+IFERROR(V192/H192,"0")+IFERROR(V193/H193,"0")+IFERROR(V194/H194,"0")</f>
        <v/>
      </c>
      <c r="W195" s="81">
        <f>IFERROR(IF(W189="",0,W189),"0")+IFERROR(IF(W190="",0,W190),"0")+IFERROR(IF(W191="",0,W191),"0")+IFERROR(IF(W192="",0,W192),"0")+IFERROR(IF(W193="",0,W193),"0")+IFERROR(IF(W194="",0,W194),"0")</f>
        <v/>
      </c>
      <c r="X195" s="82" t="n"/>
      <c r="Y195" s="82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77" t="n"/>
      <c r="M196" s="78" t="inlineStr">
        <is>
          <t>Итого</t>
        </is>
      </c>
      <c r="N196" s="79" t="n"/>
      <c r="O196" s="79" t="n"/>
      <c r="P196" s="79" t="n"/>
      <c r="Q196" s="79" t="n"/>
      <c r="R196" s="79" t="n"/>
      <c r="S196" s="80" t="n"/>
      <c r="T196" s="38" t="inlineStr">
        <is>
          <t>кг</t>
        </is>
      </c>
      <c r="U196" s="81">
        <f>IFERROR(SUM(U189:U194),"0")</f>
        <v/>
      </c>
      <c r="V196" s="81">
        <f>IFERROR(SUM(V189:V194),"0")</f>
        <v/>
      </c>
      <c r="W196" s="38" t="n"/>
      <c r="X196" s="82" t="n"/>
      <c r="Y196" s="82" t="n"/>
    </row>
    <row r="197">
      <c r="A197" s="16" t="inlineStr">
        <is>
          <t>Сырокопченые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" t="n"/>
      <c r="Y197" s="16" t="n"/>
    </row>
    <row r="198">
      <c r="A198" s="17" t="inlineStr">
        <is>
          <t>SU001920</t>
        </is>
      </c>
      <c r="B198" s="17" t="inlineStr">
        <is>
          <t>P001900</t>
        </is>
      </c>
      <c r="C198" s="18" t="n">
        <v>4301030232</v>
      </c>
      <c r="D198" s="19" t="n">
        <v>4607091388374</v>
      </c>
      <c r="E198" s="71" t="n"/>
      <c r="F198" s="72" t="n">
        <v>0.38</v>
      </c>
      <c r="G198" s="21" t="n">
        <v>8</v>
      </c>
      <c r="H198" s="72" t="n">
        <v>3.04</v>
      </c>
      <c r="I198" s="72" t="n">
        <v>3.28</v>
      </c>
      <c r="J198" s="21" t="n">
        <v>156</v>
      </c>
      <c r="K198" s="22" t="inlineStr">
        <is>
          <t>АК</t>
        </is>
      </c>
      <c r="L198" s="21" t="n">
        <v>180</v>
      </c>
      <c r="M198" s="73" t="inlineStr">
        <is>
          <t>С/к колбасы Княжеская Бордо Весовые б/о терм/п Стародворье</t>
        </is>
      </c>
      <c r="N198" s="74" t="n"/>
      <c r="O198" s="74" t="n"/>
      <c r="P198" s="74" t="n"/>
      <c r="Q198" s="71" t="n"/>
      <c r="R198" s="26" t="inlineStr"/>
      <c r="S198" s="26" t="inlineStr"/>
      <c r="T198" s="27" t="inlineStr">
        <is>
          <t>кг</t>
        </is>
      </c>
      <c r="U198" s="75" t="n">
        <v>0</v>
      </c>
      <c r="V198" s="76">
        <f>IFERROR(IF(U198="",0,CEILING((U198/$H198),1)*$H198),"")</f>
        <v/>
      </c>
      <c r="W198" s="30">
        <f>IFERROR(IF(V198=0,"",ROUNDUP(V198/H198,0)*0.00753),"")</f>
        <v/>
      </c>
      <c r="X198" s="31" t="inlineStr"/>
      <c r="Y198" s="32" t="inlineStr"/>
    </row>
    <row r="199">
      <c r="A199" s="17" t="inlineStr">
        <is>
          <t>SU001921</t>
        </is>
      </c>
      <c r="B199" s="17" t="inlineStr">
        <is>
          <t>P001916</t>
        </is>
      </c>
      <c r="C199" s="18" t="n">
        <v>4301030235</v>
      </c>
      <c r="D199" s="19" t="n">
        <v>4607091388381</v>
      </c>
      <c r="E199" s="71" t="n"/>
      <c r="F199" s="72" t="n">
        <v>0.38</v>
      </c>
      <c r="G199" s="21" t="n">
        <v>8</v>
      </c>
      <c r="H199" s="72" t="n">
        <v>3.04</v>
      </c>
      <c r="I199" s="72" t="n">
        <v>3.32</v>
      </c>
      <c r="J199" s="21" t="n">
        <v>156</v>
      </c>
      <c r="K199" s="22" t="inlineStr">
        <is>
          <t>АК</t>
        </is>
      </c>
      <c r="L199" s="21" t="n">
        <v>180</v>
      </c>
      <c r="M199" s="73" t="inlineStr">
        <is>
          <t>С/к колбасы Салями Охотничья Бордо Весовые б/о терм/п 180 Стародворье</t>
        </is>
      </c>
      <c r="N199" s="74" t="n"/>
      <c r="O199" s="74" t="n"/>
      <c r="P199" s="74" t="n"/>
      <c r="Q199" s="71" t="n"/>
      <c r="R199" s="26" t="inlineStr"/>
      <c r="S199" s="26" t="inlineStr"/>
      <c r="T199" s="27" t="inlineStr">
        <is>
          <t>кг</t>
        </is>
      </c>
      <c r="U199" s="75" t="n">
        <v>0</v>
      </c>
      <c r="V199" s="76">
        <f>IFERROR(IF(U199="",0,CEILING((U199/$H199),1)*$H199),"")</f>
        <v/>
      </c>
      <c r="W199" s="30">
        <f>IFERROR(IF(V199=0,"",ROUNDUP(V199/H199,0)*0.00753),"")</f>
        <v/>
      </c>
      <c r="X199" s="31" t="inlineStr"/>
      <c r="Y199" s="32" t="inlineStr"/>
    </row>
    <row r="200">
      <c r="A200" s="17" t="inlineStr">
        <is>
          <t>SU001869</t>
        </is>
      </c>
      <c r="B200" s="17" t="inlineStr">
        <is>
          <t>P001909</t>
        </is>
      </c>
      <c r="C200" s="18" t="n">
        <v>4301030233</v>
      </c>
      <c r="D200" s="19" t="n">
        <v>4607091388404</v>
      </c>
      <c r="E200" s="71" t="n"/>
      <c r="F200" s="72" t="n">
        <v>0.17</v>
      </c>
      <c r="G200" s="21" t="n">
        <v>15</v>
      </c>
      <c r="H200" s="72" t="n">
        <v>2.55</v>
      </c>
      <c r="I200" s="72" t="n">
        <v>2.9</v>
      </c>
      <c r="J200" s="21" t="n">
        <v>156</v>
      </c>
      <c r="K200" s="22" t="inlineStr">
        <is>
          <t>АК</t>
        </is>
      </c>
      <c r="L200" s="21" t="n">
        <v>180</v>
      </c>
      <c r="M200" s="8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00" s="74" t="n"/>
      <c r="O200" s="74" t="n"/>
      <c r="P200" s="74" t="n"/>
      <c r="Q200" s="71" t="n"/>
      <c r="R200" s="26" t="inlineStr"/>
      <c r="S200" s="26" t="inlineStr"/>
      <c r="T200" s="27" t="inlineStr">
        <is>
          <t>кг</t>
        </is>
      </c>
      <c r="U200" s="75" t="n">
        <v>0</v>
      </c>
      <c r="V200" s="76">
        <f>IFERROR(IF(U200="",0,CEILING((U200/$H200),1)*$H200),"")</f>
        <v/>
      </c>
      <c r="W200" s="30">
        <f>IFERROR(IF(V200=0,"",ROUNDUP(V200/H200,0)*0.00753),"")</f>
        <v/>
      </c>
      <c r="X200" s="31" t="inlineStr"/>
      <c r="Y200" s="32" t="inlineStr"/>
    </row>
    <row r="201">
      <c r="A201" s="34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77" t="n"/>
      <c r="M201" s="78" t="inlineStr">
        <is>
          <t>Итого</t>
        </is>
      </c>
      <c r="N201" s="79" t="n"/>
      <c r="O201" s="79" t="n"/>
      <c r="P201" s="79" t="n"/>
      <c r="Q201" s="79" t="n"/>
      <c r="R201" s="79" t="n"/>
      <c r="S201" s="80" t="n"/>
      <c r="T201" s="38" t="inlineStr">
        <is>
          <t>кор</t>
        </is>
      </c>
      <c r="U201" s="81">
        <f>IFERROR(U198/H198,"0")+IFERROR(U199/H199,"0")+IFERROR(U200/H200,"0")</f>
        <v/>
      </c>
      <c r="V201" s="81">
        <f>IFERROR(V198/H198,"0")+IFERROR(V199/H199,"0")+IFERROR(V200/H200,"0")</f>
        <v/>
      </c>
      <c r="W201" s="81">
        <f>IFERROR(IF(W198="",0,W198),"0")+IFERROR(IF(W199="",0,W199),"0")+IFERROR(IF(W200="",0,W200),"0")</f>
        <v/>
      </c>
      <c r="X201" s="82" t="n"/>
      <c r="Y201" s="8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77" t="n"/>
      <c r="M202" s="78" t="inlineStr">
        <is>
          <t>Итого</t>
        </is>
      </c>
      <c r="N202" s="79" t="n"/>
      <c r="O202" s="79" t="n"/>
      <c r="P202" s="79" t="n"/>
      <c r="Q202" s="79" t="n"/>
      <c r="R202" s="79" t="n"/>
      <c r="S202" s="80" t="n"/>
      <c r="T202" s="38" t="inlineStr">
        <is>
          <t>кг</t>
        </is>
      </c>
      <c r="U202" s="81">
        <f>IFERROR(SUM(U198:U200),"0")</f>
        <v/>
      </c>
      <c r="V202" s="81">
        <f>IFERROR(SUM(V198:V200),"0")</f>
        <v/>
      </c>
      <c r="W202" s="38" t="n"/>
      <c r="X202" s="82" t="n"/>
      <c r="Y202" s="82" t="n"/>
    </row>
    <row r="203">
      <c r="A203" s="16" t="inlineStr">
        <is>
          <t>Паштеты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" t="n"/>
      <c r="Y203" s="16" t="n"/>
    </row>
    <row r="204">
      <c r="A204" s="17" t="inlineStr">
        <is>
          <t>SU002369</t>
        </is>
      </c>
      <c r="B204" s="17" t="inlineStr">
        <is>
          <t>P002649</t>
        </is>
      </c>
      <c r="C204" s="18" t="n">
        <v>4301180002</v>
      </c>
      <c r="D204" s="19" t="n">
        <v>4680115880122</v>
      </c>
      <c r="E204" s="71" t="n"/>
      <c r="F204" s="72" t="n">
        <v>0.1</v>
      </c>
      <c r="G204" s="21" t="n">
        <v>20</v>
      </c>
      <c r="H204" s="72" t="n">
        <v>2</v>
      </c>
      <c r="I204" s="72" t="n">
        <v>2.24</v>
      </c>
      <c r="J204" s="21" t="n">
        <v>238</v>
      </c>
      <c r="K204" s="22" t="inlineStr">
        <is>
          <t>РК</t>
        </is>
      </c>
      <c r="L204" s="21" t="n">
        <v>730</v>
      </c>
      <c r="M204" s="83">
        <f>HYPERLINK("https://abi.ru/products/Охлажденные/Стародворье/Бордо/Паштеты/P002649/","Паштеты Копчёный бекон Бордо фикс.вес 0,1 Стародворье")</f>
        <v/>
      </c>
      <c r="N204" s="74" t="n"/>
      <c r="O204" s="74" t="n"/>
      <c r="P204" s="74" t="n"/>
      <c r="Q204" s="71" t="n"/>
      <c r="R204" s="26" t="inlineStr"/>
      <c r="S204" s="26" t="inlineStr"/>
      <c r="T204" s="27" t="inlineStr">
        <is>
          <t>кг</t>
        </is>
      </c>
      <c r="U204" s="75" t="n">
        <v>0</v>
      </c>
      <c r="V204" s="76">
        <f>IFERROR(IF(U204="",0,CEILING((U204/$H204),1)*$H204),"")</f>
        <v/>
      </c>
      <c r="W204" s="30">
        <f>IFERROR(IF(V204=0,"",ROUNDUP(V204/H204,0)*0.00474),"")</f>
        <v/>
      </c>
      <c r="X204" s="31" t="inlineStr"/>
      <c r="Y204" s="32" t="inlineStr"/>
    </row>
    <row r="205">
      <c r="A205" s="17" t="inlineStr">
        <is>
          <t>SU002841</t>
        </is>
      </c>
      <c r="B205" s="17" t="inlineStr">
        <is>
          <t>P003253</t>
        </is>
      </c>
      <c r="C205" s="18" t="n">
        <v>4301180007</v>
      </c>
      <c r="D205" s="19" t="n">
        <v>4680115881808</v>
      </c>
      <c r="E205" s="71" t="n"/>
      <c r="F205" s="72" t="n">
        <v>0.1</v>
      </c>
      <c r="G205" s="21" t="n">
        <v>20</v>
      </c>
      <c r="H205" s="72" t="n">
        <v>2</v>
      </c>
      <c r="I205" s="72" t="n">
        <v>2.24</v>
      </c>
      <c r="J205" s="21" t="n">
        <v>238</v>
      </c>
      <c r="K205" s="22" t="inlineStr">
        <is>
          <t>РК</t>
        </is>
      </c>
      <c r="L205" s="21" t="n">
        <v>730</v>
      </c>
      <c r="M205" s="73" t="inlineStr">
        <is>
          <t>Паштеты "Любительский ГОСТ" Фикс.вес 0,1 ТМ "Стародворье"</t>
        </is>
      </c>
      <c r="N205" s="74" t="n"/>
      <c r="O205" s="74" t="n"/>
      <c r="P205" s="74" t="n"/>
      <c r="Q205" s="71" t="n"/>
      <c r="R205" s="26" t="inlineStr"/>
      <c r="S205" s="26" t="inlineStr"/>
      <c r="T205" s="27" t="inlineStr">
        <is>
          <t>кг</t>
        </is>
      </c>
      <c r="U205" s="75" t="n">
        <v>0</v>
      </c>
      <c r="V205" s="76">
        <f>IFERROR(IF(U205="",0,CEILING((U205/$H205),1)*$H205),"")</f>
        <v/>
      </c>
      <c r="W205" s="30">
        <f>IFERROR(IF(V205=0,"",ROUNDUP(V205/H205,0)*0.00474),"")</f>
        <v/>
      </c>
      <c r="X205" s="31" t="inlineStr"/>
      <c r="Y205" s="32" t="inlineStr"/>
    </row>
    <row r="206">
      <c r="A206" s="17" t="inlineStr">
        <is>
          <t>SU002840</t>
        </is>
      </c>
      <c r="B206" s="17" t="inlineStr">
        <is>
          <t>P003252</t>
        </is>
      </c>
      <c r="C206" s="18" t="n">
        <v>4301180006</v>
      </c>
      <c r="D206" s="19" t="n">
        <v>4680115881822</v>
      </c>
      <c r="E206" s="71" t="n"/>
      <c r="F206" s="72" t="n">
        <v>0.1</v>
      </c>
      <c r="G206" s="21" t="n">
        <v>20</v>
      </c>
      <c r="H206" s="72" t="n">
        <v>2</v>
      </c>
      <c r="I206" s="72" t="n">
        <v>2.24</v>
      </c>
      <c r="J206" s="21" t="n">
        <v>238</v>
      </c>
      <c r="K206" s="22" t="inlineStr">
        <is>
          <t>РК</t>
        </is>
      </c>
      <c r="L206" s="21" t="n">
        <v>730</v>
      </c>
      <c r="M206" s="73" t="inlineStr">
        <is>
          <t>Паштеты "Печеночный с морковью ГОСТ" Фикс.вес 0,1 ТМ "Стародворье"</t>
        </is>
      </c>
      <c r="N206" s="74" t="n"/>
      <c r="O206" s="74" t="n"/>
      <c r="P206" s="74" t="n"/>
      <c r="Q206" s="71" t="n"/>
      <c r="R206" s="26" t="inlineStr"/>
      <c r="S206" s="26" t="inlineStr"/>
      <c r="T206" s="27" t="inlineStr">
        <is>
          <t>кг</t>
        </is>
      </c>
      <c r="U206" s="75" t="n">
        <v>0</v>
      </c>
      <c r="V206" s="76">
        <f>IFERROR(IF(U206="",0,CEILING((U206/$H206),1)*$H206),"")</f>
        <v/>
      </c>
      <c r="W206" s="30">
        <f>IFERROR(IF(V206=0,"",ROUNDUP(V206/H206,0)*0.00474),"")</f>
        <v/>
      </c>
      <c r="X206" s="31" t="inlineStr"/>
      <c r="Y206" s="32" t="inlineStr"/>
    </row>
    <row r="207">
      <c r="A207" s="17" t="inlineStr">
        <is>
          <t>SU002368</t>
        </is>
      </c>
      <c r="B207" s="17" t="inlineStr">
        <is>
          <t>P002648</t>
        </is>
      </c>
      <c r="C207" s="18" t="n">
        <v>4301180001</v>
      </c>
      <c r="D207" s="19" t="n">
        <v>4680115880016</v>
      </c>
      <c r="E207" s="71" t="n"/>
      <c r="F207" s="72" t="n">
        <v>0.1</v>
      </c>
      <c r="G207" s="21" t="n">
        <v>20</v>
      </c>
      <c r="H207" s="72" t="n">
        <v>2</v>
      </c>
      <c r="I207" s="72" t="n">
        <v>2.24</v>
      </c>
      <c r="J207" s="21" t="n">
        <v>238</v>
      </c>
      <c r="K207" s="22" t="inlineStr">
        <is>
          <t>РК</t>
        </is>
      </c>
      <c r="L207" s="21" t="n">
        <v>730</v>
      </c>
      <c r="M207" s="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07" s="74" t="n"/>
      <c r="O207" s="74" t="n"/>
      <c r="P207" s="74" t="n"/>
      <c r="Q207" s="71" t="n"/>
      <c r="R207" s="26" t="inlineStr"/>
      <c r="S207" s="26" t="inlineStr"/>
      <c r="T207" s="27" t="inlineStr">
        <is>
          <t>кг</t>
        </is>
      </c>
      <c r="U207" s="75" t="n">
        <v>0</v>
      </c>
      <c r="V207" s="76">
        <f>IFERROR(IF(U207="",0,CEILING((U207/$H207),1)*$H207),"")</f>
        <v/>
      </c>
      <c r="W207" s="30">
        <f>IFERROR(IF(V207=0,"",ROUNDUP(V207/H207,0)*0.00474),"")</f>
        <v/>
      </c>
      <c r="X207" s="31" t="inlineStr"/>
      <c r="Y207" s="32" t="inlineStr"/>
    </row>
    <row r="208">
      <c r="A208" s="34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77" t="n"/>
      <c r="M208" s="78" t="inlineStr">
        <is>
          <t>Итого</t>
        </is>
      </c>
      <c r="N208" s="79" t="n"/>
      <c r="O208" s="79" t="n"/>
      <c r="P208" s="79" t="n"/>
      <c r="Q208" s="79" t="n"/>
      <c r="R208" s="79" t="n"/>
      <c r="S208" s="80" t="n"/>
      <c r="T208" s="38" t="inlineStr">
        <is>
          <t>кор</t>
        </is>
      </c>
      <c r="U208" s="81">
        <f>IFERROR(U204/H204,"0")+IFERROR(U205/H205,"0")+IFERROR(U206/H206,"0")+IFERROR(U207/H207,"0")</f>
        <v/>
      </c>
      <c r="V208" s="81">
        <f>IFERROR(V204/H204,"0")+IFERROR(V205/H205,"0")+IFERROR(V206/H206,"0")+IFERROR(V207/H207,"0")</f>
        <v/>
      </c>
      <c r="W208" s="81">
        <f>IFERROR(IF(W204="",0,W204),"0")+IFERROR(IF(W205="",0,W205),"0")+IFERROR(IF(W206="",0,W206),"0")+IFERROR(IF(W207="",0,W207),"0")</f>
        <v/>
      </c>
      <c r="X208" s="82" t="n"/>
      <c r="Y208" s="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77" t="n"/>
      <c r="M209" s="78" t="inlineStr">
        <is>
          <t>Итого</t>
        </is>
      </c>
      <c r="N209" s="79" t="n"/>
      <c r="O209" s="79" t="n"/>
      <c r="P209" s="79" t="n"/>
      <c r="Q209" s="79" t="n"/>
      <c r="R209" s="79" t="n"/>
      <c r="S209" s="80" t="n"/>
      <c r="T209" s="38" t="inlineStr">
        <is>
          <t>кг</t>
        </is>
      </c>
      <c r="U209" s="81">
        <f>IFERROR(SUM(U204:U207),"0")</f>
        <v/>
      </c>
      <c r="V209" s="81">
        <f>IFERROR(SUM(V204:V207),"0")</f>
        <v/>
      </c>
      <c r="W209" s="38" t="n"/>
      <c r="X209" s="82" t="n"/>
      <c r="Y209" s="82" t="n"/>
    </row>
    <row r="210">
      <c r="A210" s="14" t="inlineStr">
        <is>
          <t>Фирменная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4" t="n"/>
      <c r="Y210" s="14" t="n"/>
    </row>
    <row r="211">
      <c r="A211" s="16" t="inlineStr">
        <is>
          <t>Вареные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6" t="n"/>
      <c r="Y211" s="16" t="n"/>
    </row>
    <row r="212">
      <c r="A212" s="17" t="inlineStr">
        <is>
          <t>SU001793</t>
        </is>
      </c>
      <c r="B212" s="17" t="inlineStr">
        <is>
          <t>P001793</t>
        </is>
      </c>
      <c r="C212" s="18" t="n">
        <v>4301011315</v>
      </c>
      <c r="D212" s="19" t="n">
        <v>4607091387421</v>
      </c>
      <c r="E212" s="71" t="n"/>
      <c r="F212" s="72" t="n">
        <v>1.35</v>
      </c>
      <c r="G212" s="21" t="n">
        <v>8</v>
      </c>
      <c r="H212" s="72" t="n">
        <v>10.8</v>
      </c>
      <c r="I212" s="72" t="n">
        <v>11.28</v>
      </c>
      <c r="J212" s="21" t="n">
        <v>56</v>
      </c>
      <c r="K212" s="22" t="inlineStr">
        <is>
          <t>СК1</t>
        </is>
      </c>
      <c r="L212" s="21" t="n">
        <v>55</v>
      </c>
      <c r="M212" s="8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12" s="74" t="n"/>
      <c r="O212" s="74" t="n"/>
      <c r="P212" s="74" t="n"/>
      <c r="Q212" s="71" t="n"/>
      <c r="R212" s="26" t="inlineStr"/>
      <c r="S212" s="26" t="inlineStr"/>
      <c r="T212" s="27" t="inlineStr">
        <is>
          <t>кг</t>
        </is>
      </c>
      <c r="U212" s="84" t="n">
        <v>21</v>
      </c>
      <c r="V212" s="76">
        <f>IFERROR(IF(U212="",0,CEILING((U212/$H212),1)*$H212),"")</f>
        <v/>
      </c>
      <c r="W212" s="30">
        <f>IFERROR(IF(V212=0,"",ROUNDUP(V212/H212,0)*0.02175),"")</f>
        <v/>
      </c>
      <c r="X212" s="31" t="inlineStr"/>
      <c r="Y212" s="32" t="inlineStr"/>
    </row>
    <row r="213">
      <c r="A213" s="17" t="inlineStr">
        <is>
          <t>SU001793</t>
        </is>
      </c>
      <c r="B213" s="17" t="inlineStr">
        <is>
          <t>P002227</t>
        </is>
      </c>
      <c r="C213" s="18" t="n">
        <v>4301011121</v>
      </c>
      <c r="D213" s="19" t="n">
        <v>4607091387421</v>
      </c>
      <c r="E213" s="71" t="n"/>
      <c r="F213" s="72" t="n">
        <v>1.35</v>
      </c>
      <c r="G213" s="21" t="n">
        <v>8</v>
      </c>
      <c r="H213" s="72" t="n">
        <v>10.8</v>
      </c>
      <c r="I213" s="72" t="n">
        <v>11.28</v>
      </c>
      <c r="J213" s="21" t="n">
        <v>48</v>
      </c>
      <c r="K213" s="22" t="inlineStr">
        <is>
          <t>ВЗ</t>
        </is>
      </c>
      <c r="L213" s="21" t="n">
        <v>55</v>
      </c>
      <c r="M213" s="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13" s="74" t="n"/>
      <c r="O213" s="74" t="n"/>
      <c r="P213" s="74" t="n"/>
      <c r="Q213" s="71" t="n"/>
      <c r="R213" s="26" t="inlineStr"/>
      <c r="S213" s="26" t="inlineStr"/>
      <c r="T213" s="27" t="inlineStr">
        <is>
          <t>кг</t>
        </is>
      </c>
      <c r="U213" s="75" t="n">
        <v>0</v>
      </c>
      <c r="V213" s="76">
        <f>IFERROR(IF(U213="",0,CEILING((U213/$H213),1)*$H213),"")</f>
        <v/>
      </c>
      <c r="W213" s="30">
        <f>IFERROR(IF(V213=0,"",ROUNDUP(V213/H213,0)*0.02039),"")</f>
        <v/>
      </c>
      <c r="X213" s="31" t="inlineStr"/>
      <c r="Y213" s="32" t="inlineStr"/>
    </row>
    <row r="214">
      <c r="A214" s="17" t="inlineStr">
        <is>
          <t>SU001799</t>
        </is>
      </c>
      <c r="B214" s="17" t="inlineStr">
        <is>
          <t>P003076</t>
        </is>
      </c>
      <c r="C214" s="18" t="n">
        <v>4301011396</v>
      </c>
      <c r="D214" s="19" t="n">
        <v>4607091387452</v>
      </c>
      <c r="E214" s="71" t="n"/>
      <c r="F214" s="72" t="n">
        <v>1.35</v>
      </c>
      <c r="G214" s="21" t="n">
        <v>8</v>
      </c>
      <c r="H214" s="72" t="n">
        <v>10.8</v>
      </c>
      <c r="I214" s="72" t="n">
        <v>11.28</v>
      </c>
      <c r="J214" s="21" t="n">
        <v>48</v>
      </c>
      <c r="K214" s="22" t="inlineStr">
        <is>
          <t>ВЗ</t>
        </is>
      </c>
      <c r="L214" s="21" t="n">
        <v>55</v>
      </c>
      <c r="M214" s="8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14" s="74" t="n"/>
      <c r="O214" s="74" t="n"/>
      <c r="P214" s="74" t="n"/>
      <c r="Q214" s="71" t="n"/>
      <c r="R214" s="26" t="inlineStr"/>
      <c r="S214" s="26" t="inlineStr"/>
      <c r="T214" s="27" t="inlineStr">
        <is>
          <t>кг</t>
        </is>
      </c>
      <c r="U214" s="75" t="n">
        <v>0</v>
      </c>
      <c r="V214" s="76">
        <f>IFERROR(IF(U214="",0,CEILING((U214/$H214),1)*$H214),"")</f>
        <v/>
      </c>
      <c r="W214" s="30">
        <f>IFERROR(IF(V214=0,"",ROUNDUP(V214/H214,0)*0.02039),"")</f>
        <v/>
      </c>
      <c r="X214" s="31" t="inlineStr"/>
      <c r="Y214" s="32" t="inlineStr"/>
    </row>
    <row r="215">
      <c r="A215" s="17" t="inlineStr">
        <is>
          <t>SU001799</t>
        </is>
      </c>
      <c r="B215" s="17" t="inlineStr">
        <is>
          <t>P001799</t>
        </is>
      </c>
      <c r="C215" s="18" t="n">
        <v>4301011322</v>
      </c>
      <c r="D215" s="19" t="n">
        <v>4607091387452</v>
      </c>
      <c r="E215" s="71" t="n"/>
      <c r="F215" s="72" t="n">
        <v>1.35</v>
      </c>
      <c r="G215" s="21" t="n">
        <v>8</v>
      </c>
      <c r="H215" s="72" t="n">
        <v>10.8</v>
      </c>
      <c r="I215" s="72" t="n">
        <v>11.28</v>
      </c>
      <c r="J215" s="21" t="n">
        <v>56</v>
      </c>
      <c r="K215" s="22" t="inlineStr">
        <is>
          <t>СК3</t>
        </is>
      </c>
      <c r="L215" s="21" t="n">
        <v>55</v>
      </c>
      <c r="M215" s="8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15" s="74" t="n"/>
      <c r="O215" s="74" t="n"/>
      <c r="P215" s="74" t="n"/>
      <c r="Q215" s="71" t="n"/>
      <c r="R215" s="26" t="inlineStr"/>
      <c r="S215" s="26" t="inlineStr"/>
      <c r="T215" s="27" t="inlineStr">
        <is>
          <t>кг</t>
        </is>
      </c>
      <c r="U215" s="75" t="n">
        <v>0</v>
      </c>
      <c r="V215" s="76">
        <f>IFERROR(IF(U215="",0,CEILING((U215/$H215),1)*$H215),"")</f>
        <v/>
      </c>
      <c r="W215" s="30">
        <f>IFERROR(IF(V215=0,"",ROUNDUP(V215/H215,0)*0.02175),"")</f>
        <v/>
      </c>
      <c r="X215" s="31" t="inlineStr"/>
      <c r="Y215" s="32" t="inlineStr"/>
    </row>
    <row r="216">
      <c r="A216" s="17" t="inlineStr">
        <is>
          <t>SU001792</t>
        </is>
      </c>
      <c r="B216" s="17" t="inlineStr">
        <is>
          <t>P001792</t>
        </is>
      </c>
      <c r="C216" s="18" t="n">
        <v>4301011313</v>
      </c>
      <c r="D216" s="19" t="n">
        <v>4607091385984</v>
      </c>
      <c r="E216" s="71" t="n"/>
      <c r="F216" s="72" t="n">
        <v>1.35</v>
      </c>
      <c r="G216" s="21" t="n">
        <v>8</v>
      </c>
      <c r="H216" s="72" t="n">
        <v>10.8</v>
      </c>
      <c r="I216" s="72" t="n">
        <v>11.28</v>
      </c>
      <c r="J216" s="21" t="n">
        <v>56</v>
      </c>
      <c r="K216" s="22" t="inlineStr">
        <is>
          <t>СК1</t>
        </is>
      </c>
      <c r="L216" s="21" t="n">
        <v>55</v>
      </c>
      <c r="M216" s="8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16" s="74" t="n"/>
      <c r="O216" s="74" t="n"/>
      <c r="P216" s="74" t="n"/>
      <c r="Q216" s="71" t="n"/>
      <c r="R216" s="26" t="inlineStr"/>
      <c r="S216" s="26" t="inlineStr"/>
      <c r="T216" s="27" t="inlineStr">
        <is>
          <t>кг</t>
        </is>
      </c>
      <c r="U216" s="75" t="n">
        <v>0</v>
      </c>
      <c r="V216" s="76">
        <f>IFERROR(IF(U216="",0,CEILING((U216/$H216),1)*$H216),"")</f>
        <v/>
      </c>
      <c r="W216" s="30">
        <f>IFERROR(IF(V216=0,"",ROUNDUP(V216/H216,0)*0.02175),"")</f>
        <v/>
      </c>
      <c r="X216" s="31" t="inlineStr"/>
      <c r="Y216" s="32" t="inlineStr"/>
    </row>
    <row r="217">
      <c r="A217" s="17" t="inlineStr">
        <is>
          <t>SU001794</t>
        </is>
      </c>
      <c r="B217" s="17" t="inlineStr">
        <is>
          <t>P001794</t>
        </is>
      </c>
      <c r="C217" s="18" t="n">
        <v>4301011316</v>
      </c>
      <c r="D217" s="19" t="n">
        <v>4607091387438</v>
      </c>
      <c r="E217" s="71" t="n"/>
      <c r="F217" s="72" t="n">
        <v>0.5</v>
      </c>
      <c r="G217" s="21" t="n">
        <v>10</v>
      </c>
      <c r="H217" s="72" t="n">
        <v>5</v>
      </c>
      <c r="I217" s="72" t="n">
        <v>5.24</v>
      </c>
      <c r="J217" s="21" t="n">
        <v>120</v>
      </c>
      <c r="K217" s="22" t="inlineStr">
        <is>
          <t>СК1</t>
        </is>
      </c>
      <c r="L217" s="21" t="n">
        <v>55</v>
      </c>
      <c r="M217" s="8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17" s="74" t="n"/>
      <c r="O217" s="74" t="n"/>
      <c r="P217" s="74" t="n"/>
      <c r="Q217" s="71" t="n"/>
      <c r="R217" s="26" t="inlineStr"/>
      <c r="S217" s="26" t="inlineStr"/>
      <c r="T217" s="27" t="inlineStr">
        <is>
          <t>кг</t>
        </is>
      </c>
      <c r="U217" s="75" t="n">
        <v>0</v>
      </c>
      <c r="V217" s="76">
        <f>IFERROR(IF(U217="",0,CEILING((U217/$H217),1)*$H217),"")</f>
        <v/>
      </c>
      <c r="W217" s="30">
        <f>IFERROR(IF(V217=0,"",ROUNDUP(V217/H217,0)*0.00937),"")</f>
        <v/>
      </c>
      <c r="X217" s="31" t="inlineStr"/>
      <c r="Y217" s="32" t="inlineStr"/>
    </row>
    <row r="218">
      <c r="A218" s="17" t="inlineStr">
        <is>
          <t>SU001795</t>
        </is>
      </c>
      <c r="B218" s="17" t="inlineStr">
        <is>
          <t>P001795</t>
        </is>
      </c>
      <c r="C218" s="18" t="n">
        <v>4301011318</v>
      </c>
      <c r="D218" s="19" t="n">
        <v>4607091387469</v>
      </c>
      <c r="E218" s="71" t="n"/>
      <c r="F218" s="72" t="n">
        <v>0.5</v>
      </c>
      <c r="G218" s="21" t="n">
        <v>10</v>
      </c>
      <c r="H218" s="72" t="n">
        <v>5</v>
      </c>
      <c r="I218" s="72" t="n">
        <v>5.21</v>
      </c>
      <c r="J218" s="21" t="n">
        <v>120</v>
      </c>
      <c r="K218" s="22" t="inlineStr">
        <is>
          <t>СК2</t>
        </is>
      </c>
      <c r="L218" s="21" t="n">
        <v>55</v>
      </c>
      <c r="M218" s="8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18" s="74" t="n"/>
      <c r="O218" s="74" t="n"/>
      <c r="P218" s="74" t="n"/>
      <c r="Q218" s="71" t="n"/>
      <c r="R218" s="26" t="inlineStr"/>
      <c r="S218" s="26" t="inlineStr"/>
      <c r="T218" s="27" t="inlineStr">
        <is>
          <t>кг</t>
        </is>
      </c>
      <c r="U218" s="75" t="n">
        <v>0</v>
      </c>
      <c r="V218" s="76">
        <f>IFERROR(IF(U218="",0,CEILING((U218/$H218),1)*$H218),"")</f>
        <v/>
      </c>
      <c r="W218" s="30">
        <f>IFERROR(IF(V218=0,"",ROUNDUP(V218/H218,0)*0.00937),"")</f>
        <v/>
      </c>
      <c r="X218" s="31" t="inlineStr"/>
      <c r="Y218" s="32" t="inlineStr"/>
    </row>
    <row r="219">
      <c r="A219" s="34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77" t="n"/>
      <c r="M219" s="78" t="inlineStr">
        <is>
          <t>Итого</t>
        </is>
      </c>
      <c r="N219" s="79" t="n"/>
      <c r="O219" s="79" t="n"/>
      <c r="P219" s="79" t="n"/>
      <c r="Q219" s="79" t="n"/>
      <c r="R219" s="79" t="n"/>
      <c r="S219" s="80" t="n"/>
      <c r="T219" s="38" t="inlineStr">
        <is>
          <t>кор</t>
        </is>
      </c>
      <c r="U219" s="81">
        <f>IFERROR(U212/H212,"0")+IFERROR(U213/H213,"0")+IFERROR(U214/H214,"0")+IFERROR(U215/H215,"0")+IFERROR(U216/H216,"0")+IFERROR(U217/H217,"0")+IFERROR(U218/H218,"0")</f>
        <v/>
      </c>
      <c r="V219" s="81">
        <f>IFERROR(V212/H212,"0")+IFERROR(V213/H213,"0")+IFERROR(V214/H214,"0")+IFERROR(V215/H215,"0")+IFERROR(V216/H216,"0")+IFERROR(V217/H217,"0")+IFERROR(V218/H218,"0")</f>
        <v/>
      </c>
      <c r="W219" s="81">
        <f>IFERROR(IF(W212="",0,W212),"0")+IFERROR(IF(W213="",0,W213),"0")+IFERROR(IF(W214="",0,W214),"0")+IFERROR(IF(W215="",0,W215),"0")+IFERROR(IF(W216="",0,W216),"0")+IFERROR(IF(W217="",0,W217),"0")+IFERROR(IF(W218="",0,W218),"0")</f>
        <v/>
      </c>
      <c r="X219" s="82" t="n"/>
      <c r="Y219" s="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77" t="n"/>
      <c r="M220" s="78" t="inlineStr">
        <is>
          <t>Итого</t>
        </is>
      </c>
      <c r="N220" s="79" t="n"/>
      <c r="O220" s="79" t="n"/>
      <c r="P220" s="79" t="n"/>
      <c r="Q220" s="79" t="n"/>
      <c r="R220" s="79" t="n"/>
      <c r="S220" s="80" t="n"/>
      <c r="T220" s="38" t="inlineStr">
        <is>
          <t>кг</t>
        </is>
      </c>
      <c r="U220" s="81">
        <f>IFERROR(SUM(U212:U218),"0")</f>
        <v/>
      </c>
      <c r="V220" s="81">
        <f>IFERROR(SUM(V212:V218),"0")</f>
        <v/>
      </c>
      <c r="W220" s="38" t="n"/>
      <c r="X220" s="82" t="n"/>
      <c r="Y220" s="82" t="n"/>
    </row>
    <row r="221">
      <c r="A221" s="16" t="inlineStr">
        <is>
          <t>Копченые колбасы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" t="n"/>
      <c r="Y221" s="16" t="n"/>
    </row>
    <row r="222">
      <c r="A222" s="17" t="inlineStr">
        <is>
          <t>SU001801</t>
        </is>
      </c>
      <c r="B222" s="17" t="inlineStr">
        <is>
          <t>P003014</t>
        </is>
      </c>
      <c r="C222" s="18" t="n">
        <v>4301031154</v>
      </c>
      <c r="D222" s="19" t="n">
        <v>4607091387292</v>
      </c>
      <c r="E222" s="71" t="n"/>
      <c r="F222" s="72" t="n">
        <v>0.63</v>
      </c>
      <c r="G222" s="21" t="n">
        <v>6</v>
      </c>
      <c r="H222" s="72" t="n">
        <v>3.78</v>
      </c>
      <c r="I222" s="72" t="n">
        <v>4.04</v>
      </c>
      <c r="J222" s="21" t="n">
        <v>156</v>
      </c>
      <c r="K222" s="22" t="inlineStr">
        <is>
          <t>СК2</t>
        </is>
      </c>
      <c r="L222" s="21" t="n">
        <v>45</v>
      </c>
      <c r="M222" s="8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22" s="74" t="n"/>
      <c r="O222" s="74" t="n"/>
      <c r="P222" s="74" t="n"/>
      <c r="Q222" s="71" t="n"/>
      <c r="R222" s="26" t="inlineStr"/>
      <c r="S222" s="26" t="inlineStr"/>
      <c r="T222" s="27" t="inlineStr">
        <is>
          <t>кг</t>
        </is>
      </c>
      <c r="U222" s="75" t="n">
        <v>0</v>
      </c>
      <c r="V222" s="76">
        <f>IFERROR(IF(U222="",0,CEILING((U222/$H222),1)*$H222),"")</f>
        <v/>
      </c>
      <c r="W222" s="30">
        <f>IFERROR(IF(V222=0,"",ROUNDUP(V222/H222,0)*0.00753),"")</f>
        <v/>
      </c>
      <c r="X222" s="31" t="inlineStr"/>
      <c r="Y222" s="32" t="inlineStr"/>
    </row>
    <row r="223">
      <c r="A223" s="17" t="inlineStr">
        <is>
          <t>SU000231</t>
        </is>
      </c>
      <c r="B223" s="17" t="inlineStr">
        <is>
          <t>P003015</t>
        </is>
      </c>
      <c r="C223" s="18" t="n">
        <v>4301031155</v>
      </c>
      <c r="D223" s="19" t="n">
        <v>4607091387315</v>
      </c>
      <c r="E223" s="71" t="n"/>
      <c r="F223" s="72" t="n">
        <v>0.7</v>
      </c>
      <c r="G223" s="21" t="n">
        <v>4</v>
      </c>
      <c r="H223" s="72" t="n">
        <v>2.8</v>
      </c>
      <c r="I223" s="72" t="n">
        <v>3.048</v>
      </c>
      <c r="J223" s="21" t="n">
        <v>156</v>
      </c>
      <c r="K223" s="22" t="inlineStr">
        <is>
          <t>СК2</t>
        </is>
      </c>
      <c r="L223" s="21" t="n">
        <v>45</v>
      </c>
      <c r="M223" s="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23" s="74" t="n"/>
      <c r="O223" s="74" t="n"/>
      <c r="P223" s="74" t="n"/>
      <c r="Q223" s="71" t="n"/>
      <c r="R223" s="26" t="inlineStr"/>
      <c r="S223" s="26" t="inlineStr"/>
      <c r="T223" s="27" t="inlineStr">
        <is>
          <t>кг</t>
        </is>
      </c>
      <c r="U223" s="75" t="n">
        <v>0</v>
      </c>
      <c r="V223" s="76">
        <f>IFERROR(IF(U223="",0,CEILING((U223/$H223),1)*$H223),"")</f>
        <v/>
      </c>
      <c r="W223" s="30">
        <f>IFERROR(IF(V223=0,"",ROUNDUP(V223/H223,0)*0.00753),"")</f>
        <v/>
      </c>
      <c r="X223" s="31" t="inlineStr"/>
      <c r="Y223" s="32" t="inlineStr"/>
    </row>
    <row r="224">
      <c r="A224" s="3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77" t="n"/>
      <c r="M224" s="78" t="inlineStr">
        <is>
          <t>Итого</t>
        </is>
      </c>
      <c r="N224" s="79" t="n"/>
      <c r="O224" s="79" t="n"/>
      <c r="P224" s="79" t="n"/>
      <c r="Q224" s="79" t="n"/>
      <c r="R224" s="79" t="n"/>
      <c r="S224" s="80" t="n"/>
      <c r="T224" s="38" t="inlineStr">
        <is>
          <t>кор</t>
        </is>
      </c>
      <c r="U224" s="81">
        <f>IFERROR(U222/H222,"0")+IFERROR(U223/H223,"0")</f>
        <v/>
      </c>
      <c r="V224" s="81">
        <f>IFERROR(V222/H222,"0")+IFERROR(V223/H223,"0")</f>
        <v/>
      </c>
      <c r="W224" s="81">
        <f>IFERROR(IF(W222="",0,W222),"0")+IFERROR(IF(W223="",0,W223),"0")</f>
        <v/>
      </c>
      <c r="X224" s="82" t="n"/>
      <c r="Y224" s="8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77" t="n"/>
      <c r="M225" s="78" t="inlineStr">
        <is>
          <t>Итого</t>
        </is>
      </c>
      <c r="N225" s="79" t="n"/>
      <c r="O225" s="79" t="n"/>
      <c r="P225" s="79" t="n"/>
      <c r="Q225" s="79" t="n"/>
      <c r="R225" s="79" t="n"/>
      <c r="S225" s="80" t="n"/>
      <c r="T225" s="38" t="inlineStr">
        <is>
          <t>кг</t>
        </is>
      </c>
      <c r="U225" s="81">
        <f>IFERROR(SUM(U222:U223),"0")</f>
        <v/>
      </c>
      <c r="V225" s="81">
        <f>IFERROR(SUM(V222:V223),"0")</f>
        <v/>
      </c>
      <c r="W225" s="38" t="n"/>
      <c r="X225" s="82" t="n"/>
      <c r="Y225" s="82" t="n"/>
    </row>
    <row r="226">
      <c r="A226" s="14" t="inlineStr">
        <is>
          <t>Бавария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4" t="n"/>
      <c r="Y226" s="14" t="n"/>
    </row>
    <row r="227">
      <c r="A227" s="16" t="inlineStr">
        <is>
          <t>Копченые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" t="n"/>
      <c r="Y227" s="16" t="n"/>
    </row>
    <row r="228">
      <c r="A228" s="17" t="inlineStr">
        <is>
          <t>SU002061</t>
        </is>
      </c>
      <c r="B228" s="17" t="inlineStr">
        <is>
          <t>P002232</t>
        </is>
      </c>
      <c r="C228" s="18" t="n">
        <v>4301030368</v>
      </c>
      <c r="D228" s="19" t="n">
        <v>4607091383232</v>
      </c>
      <c r="E228" s="71" t="n"/>
      <c r="F228" s="72" t="n">
        <v>0.28</v>
      </c>
      <c r="G228" s="21" t="n">
        <v>6</v>
      </c>
      <c r="H228" s="72" t="n">
        <v>1.68</v>
      </c>
      <c r="I228" s="72" t="n">
        <v>2.6</v>
      </c>
      <c r="J228" s="21" t="n">
        <v>156</v>
      </c>
      <c r="K228" s="22" t="inlineStr">
        <is>
          <t>СК2</t>
        </is>
      </c>
      <c r="L228" s="21" t="n">
        <v>35</v>
      </c>
      <c r="M228" s="8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28" s="74" t="n"/>
      <c r="O228" s="74" t="n"/>
      <c r="P228" s="74" t="n"/>
      <c r="Q228" s="71" t="n"/>
      <c r="R228" s="26" t="inlineStr"/>
      <c r="S228" s="26" t="inlineStr"/>
      <c r="T228" s="27" t="inlineStr">
        <is>
          <t>кг</t>
        </is>
      </c>
      <c r="U228" s="75" t="n">
        <v>0</v>
      </c>
      <c r="V228" s="76">
        <f>IFERROR(IF(U228="",0,CEILING((U228/$H228),1)*$H228),"")</f>
        <v/>
      </c>
      <c r="W228" s="30">
        <f>IFERROR(IF(V228=0,"",ROUNDUP(V228/H228,0)*0.00753),"")</f>
        <v/>
      </c>
      <c r="X228" s="31" t="inlineStr"/>
      <c r="Y228" s="32" t="inlineStr"/>
    </row>
    <row r="229">
      <c r="A229" s="17" t="inlineStr">
        <is>
          <t>SU002252</t>
        </is>
      </c>
      <c r="B229" s="17" t="inlineStr">
        <is>
          <t>P002461</t>
        </is>
      </c>
      <c r="C229" s="18" t="n">
        <v>4301031066</v>
      </c>
      <c r="D229" s="19" t="n">
        <v>4607091383836</v>
      </c>
      <c r="E229" s="71" t="n"/>
      <c r="F229" s="72" t="n">
        <v>0.3</v>
      </c>
      <c r="G229" s="21" t="n">
        <v>6</v>
      </c>
      <c r="H229" s="72" t="n">
        <v>1.8</v>
      </c>
      <c r="I229" s="72" t="n">
        <v>2.048</v>
      </c>
      <c r="J229" s="21" t="n">
        <v>156</v>
      </c>
      <c r="K229" s="22" t="inlineStr">
        <is>
          <t>СК2</t>
        </is>
      </c>
      <c r="L229" s="21" t="n">
        <v>40</v>
      </c>
      <c r="M229" s="8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29" s="74" t="n"/>
      <c r="O229" s="74" t="n"/>
      <c r="P229" s="74" t="n"/>
      <c r="Q229" s="71" t="n"/>
      <c r="R229" s="26" t="inlineStr"/>
      <c r="S229" s="26" t="inlineStr"/>
      <c r="T229" s="27" t="inlineStr">
        <is>
          <t>кг</t>
        </is>
      </c>
      <c r="U229" s="75" t="n">
        <v>0</v>
      </c>
      <c r="V229" s="76">
        <f>IFERROR(IF(U229="",0,CEILING((U229/$H229),1)*$H229),"")</f>
        <v/>
      </c>
      <c r="W229" s="30">
        <f>IFERROR(IF(V229=0,"",ROUNDUP(V229/H229,0)*0.00753),"")</f>
        <v/>
      </c>
      <c r="X229" s="31" t="inlineStr"/>
      <c r="Y229" s="32" t="inlineStr"/>
    </row>
    <row r="230">
      <c r="A230" s="3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77" t="n"/>
      <c r="M230" s="78" t="inlineStr">
        <is>
          <t>Итого</t>
        </is>
      </c>
      <c r="N230" s="79" t="n"/>
      <c r="O230" s="79" t="n"/>
      <c r="P230" s="79" t="n"/>
      <c r="Q230" s="79" t="n"/>
      <c r="R230" s="79" t="n"/>
      <c r="S230" s="80" t="n"/>
      <c r="T230" s="38" t="inlineStr">
        <is>
          <t>кор</t>
        </is>
      </c>
      <c r="U230" s="81">
        <f>IFERROR(U228/H228,"0")+IFERROR(U229/H229,"0")</f>
        <v/>
      </c>
      <c r="V230" s="81">
        <f>IFERROR(V228/H228,"0")+IFERROR(V229/H229,"0")</f>
        <v/>
      </c>
      <c r="W230" s="81">
        <f>IFERROR(IF(W228="",0,W228),"0")+IFERROR(IF(W229="",0,W229),"0")</f>
        <v/>
      </c>
      <c r="X230" s="82" t="n"/>
      <c r="Y230" s="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77" t="n"/>
      <c r="M231" s="78" t="inlineStr">
        <is>
          <t>Итого</t>
        </is>
      </c>
      <c r="N231" s="79" t="n"/>
      <c r="O231" s="79" t="n"/>
      <c r="P231" s="79" t="n"/>
      <c r="Q231" s="79" t="n"/>
      <c r="R231" s="79" t="n"/>
      <c r="S231" s="80" t="n"/>
      <c r="T231" s="38" t="inlineStr">
        <is>
          <t>кг</t>
        </is>
      </c>
      <c r="U231" s="81">
        <f>IFERROR(SUM(U228:U229),"0")</f>
        <v/>
      </c>
      <c r="V231" s="81">
        <f>IFERROR(SUM(V228:V229),"0")</f>
        <v/>
      </c>
      <c r="W231" s="38" t="n"/>
      <c r="X231" s="82" t="n"/>
      <c r="Y231" s="82" t="n"/>
    </row>
    <row r="232">
      <c r="A232" s="16" t="inlineStr">
        <is>
          <t>Сосиски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" t="n"/>
      <c r="Y232" s="16" t="n"/>
    </row>
    <row r="233">
      <c r="A233" s="17" t="inlineStr">
        <is>
          <t>SU001835</t>
        </is>
      </c>
      <c r="B233" s="17" t="inlineStr">
        <is>
          <t>P002202</t>
        </is>
      </c>
      <c r="C233" s="18" t="n">
        <v>4301051142</v>
      </c>
      <c r="D233" s="19" t="n">
        <v>4607091387919</v>
      </c>
      <c r="E233" s="71" t="n"/>
      <c r="F233" s="72" t="n">
        <v>1.35</v>
      </c>
      <c r="G233" s="21" t="n">
        <v>6</v>
      </c>
      <c r="H233" s="72" t="n">
        <v>8.1</v>
      </c>
      <c r="I233" s="72" t="n">
        <v>8.664</v>
      </c>
      <c r="J233" s="21" t="n">
        <v>56</v>
      </c>
      <c r="K233" s="22" t="inlineStr">
        <is>
          <t>СК2</t>
        </is>
      </c>
      <c r="L233" s="21" t="n">
        <v>45</v>
      </c>
      <c r="M233" s="8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33" s="74" t="n"/>
      <c r="O233" s="74" t="n"/>
      <c r="P233" s="74" t="n"/>
      <c r="Q233" s="71" t="n"/>
      <c r="R233" s="26" t="inlineStr"/>
      <c r="S233" s="26" t="inlineStr"/>
      <c r="T233" s="27" t="inlineStr">
        <is>
          <t>кг</t>
        </is>
      </c>
      <c r="U233" s="75" t="n">
        <v>0</v>
      </c>
      <c r="V233" s="76">
        <f>IFERROR(IF(U233="",0,CEILING((U233/$H233),1)*$H233),"")</f>
        <v/>
      </c>
      <c r="W233" s="30">
        <f>IFERROR(IF(V233=0,"",ROUNDUP(V233/H233,0)*0.02175),"")</f>
        <v/>
      </c>
      <c r="X233" s="31" t="inlineStr"/>
      <c r="Y233" s="32" t="inlineStr"/>
    </row>
    <row r="234">
      <c r="A234" s="17" t="inlineStr">
        <is>
          <t>SU001836</t>
        </is>
      </c>
      <c r="B234" s="17" t="inlineStr">
        <is>
          <t>P002201</t>
        </is>
      </c>
      <c r="C234" s="18" t="n">
        <v>4301051109</v>
      </c>
      <c r="D234" s="19" t="n">
        <v>4607091383942</v>
      </c>
      <c r="E234" s="71" t="n"/>
      <c r="F234" s="72" t="n">
        <v>0.42</v>
      </c>
      <c r="G234" s="21" t="n">
        <v>6</v>
      </c>
      <c r="H234" s="72" t="n">
        <v>2.52</v>
      </c>
      <c r="I234" s="72" t="n">
        <v>2.792</v>
      </c>
      <c r="J234" s="21" t="n">
        <v>156</v>
      </c>
      <c r="K234" s="22" t="inlineStr">
        <is>
          <t>СК3</t>
        </is>
      </c>
      <c r="L234" s="21" t="n">
        <v>45</v>
      </c>
      <c r="M234" s="8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34" s="74" t="n"/>
      <c r="O234" s="74" t="n"/>
      <c r="P234" s="74" t="n"/>
      <c r="Q234" s="71" t="n"/>
      <c r="R234" s="26" t="inlineStr"/>
      <c r="S234" s="26" t="inlineStr"/>
      <c r="T234" s="27" t="inlineStr">
        <is>
          <t>кг</t>
        </is>
      </c>
      <c r="U234" s="75" t="n">
        <v>0</v>
      </c>
      <c r="V234" s="76">
        <f>IFERROR(IF(U234="",0,CEILING((U234/$H234),1)*$H234),"")</f>
        <v/>
      </c>
      <c r="W234" s="30">
        <f>IFERROR(IF(V234=0,"",ROUNDUP(V234/H234,0)*0.00753),"")</f>
        <v/>
      </c>
      <c r="X234" s="31" t="inlineStr"/>
      <c r="Y234" s="32" t="inlineStr"/>
    </row>
    <row r="235">
      <c r="A235" s="17" t="inlineStr">
        <is>
          <t>SU001970</t>
        </is>
      </c>
      <c r="B235" s="17" t="inlineStr">
        <is>
          <t>P001837</t>
        </is>
      </c>
      <c r="C235" s="18" t="n">
        <v>4301051300</v>
      </c>
      <c r="D235" s="19" t="n">
        <v>4607091383959</v>
      </c>
      <c r="E235" s="71" t="n"/>
      <c r="F235" s="72" t="n">
        <v>0.42</v>
      </c>
      <c r="G235" s="21" t="n">
        <v>6</v>
      </c>
      <c r="H235" s="72" t="n">
        <v>2.52</v>
      </c>
      <c r="I235" s="72" t="n">
        <v>2.78</v>
      </c>
      <c r="J235" s="21" t="n">
        <v>156</v>
      </c>
      <c r="K235" s="22" t="inlineStr">
        <is>
          <t>СК2</t>
        </is>
      </c>
      <c r="L235" s="21" t="n">
        <v>35</v>
      </c>
      <c r="M235" s="8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35" s="74" t="n"/>
      <c r="O235" s="74" t="n"/>
      <c r="P235" s="74" t="n"/>
      <c r="Q235" s="71" t="n"/>
      <c r="R235" s="26" t="inlineStr"/>
      <c r="S235" s="26" t="inlineStr"/>
      <c r="T235" s="27" t="inlineStr">
        <is>
          <t>кг</t>
        </is>
      </c>
      <c r="U235" s="75" t="n">
        <v>0</v>
      </c>
      <c r="V235" s="76">
        <f>IFERROR(IF(U235="",0,CEILING((U235/$H235),1)*$H235),"")</f>
        <v/>
      </c>
      <c r="W235" s="30">
        <f>IFERROR(IF(V235=0,"",ROUNDUP(V235/H235,0)*0.00753),"")</f>
        <v/>
      </c>
      <c r="X235" s="31" t="inlineStr"/>
      <c r="Y235" s="32" t="inlineStr"/>
    </row>
    <row r="236">
      <c r="A236" s="3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77" t="n"/>
      <c r="M236" s="78" t="inlineStr">
        <is>
          <t>Итого</t>
        </is>
      </c>
      <c r="N236" s="79" t="n"/>
      <c r="O236" s="79" t="n"/>
      <c r="P236" s="79" t="n"/>
      <c r="Q236" s="79" t="n"/>
      <c r="R236" s="79" t="n"/>
      <c r="S236" s="80" t="n"/>
      <c r="T236" s="38" t="inlineStr">
        <is>
          <t>кор</t>
        </is>
      </c>
      <c r="U236" s="81">
        <f>IFERROR(U233/H233,"0")+IFERROR(U234/H234,"0")+IFERROR(U235/H235,"0")</f>
        <v/>
      </c>
      <c r="V236" s="81">
        <f>IFERROR(V233/H233,"0")+IFERROR(V234/H234,"0")+IFERROR(V235/H235,"0")</f>
        <v/>
      </c>
      <c r="W236" s="81">
        <f>IFERROR(IF(W233="",0,W233),"0")+IFERROR(IF(W234="",0,W234),"0")+IFERROR(IF(W235="",0,W235),"0")</f>
        <v/>
      </c>
      <c r="X236" s="82" t="n"/>
      <c r="Y236" s="82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77" t="n"/>
      <c r="M237" s="78" t="inlineStr">
        <is>
          <t>Итого</t>
        </is>
      </c>
      <c r="N237" s="79" t="n"/>
      <c r="O237" s="79" t="n"/>
      <c r="P237" s="79" t="n"/>
      <c r="Q237" s="79" t="n"/>
      <c r="R237" s="79" t="n"/>
      <c r="S237" s="80" t="n"/>
      <c r="T237" s="38" t="inlineStr">
        <is>
          <t>кг</t>
        </is>
      </c>
      <c r="U237" s="81">
        <f>IFERROR(SUM(U233:U235),"0")</f>
        <v/>
      </c>
      <c r="V237" s="81">
        <f>IFERROR(SUM(V233:V235),"0")</f>
        <v/>
      </c>
      <c r="W237" s="38" t="n"/>
      <c r="X237" s="82" t="n"/>
      <c r="Y237" s="82" t="n"/>
    </row>
    <row r="238">
      <c r="A238" s="16" t="inlineStr">
        <is>
          <t>Сардельки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" t="n"/>
      <c r="Y238" s="16" t="n"/>
    </row>
    <row r="239">
      <c r="A239" s="17" t="inlineStr">
        <is>
          <t>SU002173</t>
        </is>
      </c>
      <c r="B239" s="17" t="inlineStr">
        <is>
          <t>P002361</t>
        </is>
      </c>
      <c r="C239" s="18" t="n">
        <v>4301060324</v>
      </c>
      <c r="D239" s="19" t="n">
        <v>4607091388831</v>
      </c>
      <c r="E239" s="71" t="n"/>
      <c r="F239" s="72" t="n">
        <v>0.38</v>
      </c>
      <c r="G239" s="21" t="n">
        <v>6</v>
      </c>
      <c r="H239" s="72" t="n">
        <v>2.28</v>
      </c>
      <c r="I239" s="72" t="n">
        <v>2.552</v>
      </c>
      <c r="J239" s="21" t="n">
        <v>156</v>
      </c>
      <c r="K239" s="22" t="inlineStr">
        <is>
          <t>СК2</t>
        </is>
      </c>
      <c r="L239" s="21" t="n">
        <v>40</v>
      </c>
      <c r="M239" s="8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39" s="74" t="n"/>
      <c r="O239" s="74" t="n"/>
      <c r="P239" s="74" t="n"/>
      <c r="Q239" s="71" t="n"/>
      <c r="R239" s="26" t="inlineStr"/>
      <c r="S239" s="26" t="inlineStr"/>
      <c r="T239" s="27" t="inlineStr">
        <is>
          <t>кг</t>
        </is>
      </c>
      <c r="U239" s="75" t="n">
        <v>0</v>
      </c>
      <c r="V239" s="76">
        <f>IFERROR(IF(U239="",0,CEILING((U239/$H239),1)*$H239),"")</f>
        <v/>
      </c>
      <c r="W239" s="30">
        <f>IFERROR(IF(V239=0,"",ROUNDUP(V239/H239,0)*0.00753),"")</f>
        <v/>
      </c>
      <c r="X239" s="31" t="inlineStr"/>
      <c r="Y239" s="32" t="inlineStr"/>
    </row>
    <row r="240">
      <c r="A240" s="34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77" t="n"/>
      <c r="M240" s="78" t="inlineStr">
        <is>
          <t>Итого</t>
        </is>
      </c>
      <c r="N240" s="79" t="n"/>
      <c r="O240" s="79" t="n"/>
      <c r="P240" s="79" t="n"/>
      <c r="Q240" s="79" t="n"/>
      <c r="R240" s="79" t="n"/>
      <c r="S240" s="80" t="n"/>
      <c r="T240" s="38" t="inlineStr">
        <is>
          <t>кор</t>
        </is>
      </c>
      <c r="U240" s="81">
        <f>IFERROR(U239/H239,"0")</f>
        <v/>
      </c>
      <c r="V240" s="81">
        <f>IFERROR(V239/H239,"0")</f>
        <v/>
      </c>
      <c r="W240" s="81">
        <f>IFERROR(IF(W239="",0,W239),"0")</f>
        <v/>
      </c>
      <c r="X240" s="82" t="n"/>
      <c r="Y240" s="82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77" t="n"/>
      <c r="M241" s="78" t="inlineStr">
        <is>
          <t>Итого</t>
        </is>
      </c>
      <c r="N241" s="79" t="n"/>
      <c r="O241" s="79" t="n"/>
      <c r="P241" s="79" t="n"/>
      <c r="Q241" s="79" t="n"/>
      <c r="R241" s="79" t="n"/>
      <c r="S241" s="80" t="n"/>
      <c r="T241" s="38" t="inlineStr">
        <is>
          <t>кг</t>
        </is>
      </c>
      <c r="U241" s="81">
        <f>IFERROR(SUM(U239:U239),"0")</f>
        <v/>
      </c>
      <c r="V241" s="81">
        <f>IFERROR(SUM(V239:V239),"0")</f>
        <v/>
      </c>
      <c r="W241" s="38" t="n"/>
      <c r="X241" s="82" t="n"/>
      <c r="Y241" s="82" t="n"/>
    </row>
    <row r="242">
      <c r="A242" s="16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6" t="n"/>
      <c r="Y242" s="16" t="n"/>
    </row>
    <row r="243">
      <c r="A243" s="17" t="inlineStr">
        <is>
          <t>SU002092</t>
        </is>
      </c>
      <c r="B243" s="17" t="inlineStr">
        <is>
          <t>P002290</t>
        </is>
      </c>
      <c r="C243" s="18" t="n">
        <v>4301032015</v>
      </c>
      <c r="D243" s="19" t="n">
        <v>4607091383102</v>
      </c>
      <c r="E243" s="71" t="n"/>
      <c r="F243" s="72" t="n">
        <v>0.17</v>
      </c>
      <c r="G243" s="21" t="n">
        <v>15</v>
      </c>
      <c r="H243" s="72" t="n">
        <v>2.55</v>
      </c>
      <c r="I243" s="72" t="n">
        <v>2.975</v>
      </c>
      <c r="J243" s="21" t="n">
        <v>156</v>
      </c>
      <c r="K243" s="22" t="inlineStr">
        <is>
          <t>АК</t>
        </is>
      </c>
      <c r="L243" s="21" t="n">
        <v>180</v>
      </c>
      <c r="M243" s="8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43" s="74" t="n"/>
      <c r="O243" s="74" t="n"/>
      <c r="P243" s="74" t="n"/>
      <c r="Q243" s="71" t="n"/>
      <c r="R243" s="26" t="inlineStr"/>
      <c r="S243" s="26" t="inlineStr"/>
      <c r="T243" s="27" t="inlineStr">
        <is>
          <t>кг</t>
        </is>
      </c>
      <c r="U243" s="75" t="n">
        <v>0</v>
      </c>
      <c r="V243" s="76">
        <f>IFERROR(IF(U243="",0,CEILING((U243/$H243),1)*$H243),"")</f>
        <v/>
      </c>
      <c r="W243" s="30">
        <f>IFERROR(IF(V243=0,"",ROUNDUP(V243/H243,0)*0.00753),"")</f>
        <v/>
      </c>
      <c r="X243" s="31" t="inlineStr"/>
      <c r="Y243" s="32" t="inlineStr"/>
    </row>
    <row r="244">
      <c r="A244" s="3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77" t="n"/>
      <c r="M244" s="78" t="inlineStr">
        <is>
          <t>Итого</t>
        </is>
      </c>
      <c r="N244" s="79" t="n"/>
      <c r="O244" s="79" t="n"/>
      <c r="P244" s="79" t="n"/>
      <c r="Q244" s="79" t="n"/>
      <c r="R244" s="79" t="n"/>
      <c r="S244" s="80" t="n"/>
      <c r="T244" s="38" t="inlineStr">
        <is>
          <t>кор</t>
        </is>
      </c>
      <c r="U244" s="81">
        <f>IFERROR(U243/H243,"0")</f>
        <v/>
      </c>
      <c r="V244" s="81">
        <f>IFERROR(V243/H243,"0")</f>
        <v/>
      </c>
      <c r="W244" s="81">
        <f>IFERROR(IF(W243="",0,W243),"0")</f>
        <v/>
      </c>
      <c r="X244" s="82" t="n"/>
      <c r="Y244" s="82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77" t="n"/>
      <c r="M245" s="78" t="inlineStr">
        <is>
          <t>Итого</t>
        </is>
      </c>
      <c r="N245" s="79" t="n"/>
      <c r="O245" s="79" t="n"/>
      <c r="P245" s="79" t="n"/>
      <c r="Q245" s="79" t="n"/>
      <c r="R245" s="79" t="n"/>
      <c r="S245" s="80" t="n"/>
      <c r="T245" s="38" t="inlineStr">
        <is>
          <t>кг</t>
        </is>
      </c>
      <c r="U245" s="81">
        <f>IFERROR(SUM(U243:U243),"0")</f>
        <v/>
      </c>
      <c r="V245" s="81">
        <f>IFERROR(SUM(V243:V243),"0")</f>
        <v/>
      </c>
      <c r="W245" s="38" t="n"/>
      <c r="X245" s="82" t="n"/>
      <c r="Y245" s="82" t="n"/>
    </row>
    <row r="246" ht="20.25" customHeight="1">
      <c r="A246" s="11" t="inlineStr">
        <is>
          <t>Особый рецепт</t>
        </is>
      </c>
      <c r="B246" s="70" t="n"/>
      <c r="C246" s="70" t="n"/>
      <c r="D246" s="70" t="n"/>
      <c r="E246" s="70" t="n"/>
      <c r="F246" s="70" t="n"/>
      <c r="G246" s="70" t="n"/>
      <c r="H246" s="70" t="n"/>
      <c r="I246" s="70" t="n"/>
      <c r="J246" s="70" t="n"/>
      <c r="K246" s="70" t="n"/>
      <c r="L246" s="70" t="n"/>
      <c r="M246" s="70" t="n"/>
      <c r="N246" s="70" t="n"/>
      <c r="O246" s="70" t="n"/>
      <c r="P246" s="70" t="n"/>
      <c r="Q246" s="70" t="n"/>
      <c r="R246" s="70" t="n"/>
      <c r="S246" s="70" t="n"/>
      <c r="T246" s="70" t="n"/>
      <c r="U246" s="70" t="n"/>
      <c r="V246" s="70" t="n"/>
      <c r="W246" s="70" t="n"/>
      <c r="X246" s="12" t="n"/>
      <c r="Y246" s="12" t="n"/>
    </row>
    <row r="247">
      <c r="A247" s="14" t="inlineStr">
        <is>
          <t>Особая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4" t="n"/>
      <c r="Y247" s="14" t="n"/>
    </row>
    <row r="248">
      <c r="A248" s="16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6" t="n"/>
      <c r="Y248" s="16" t="n"/>
    </row>
    <row r="249">
      <c r="A249" s="17" t="inlineStr">
        <is>
          <t>SU000251</t>
        </is>
      </c>
      <c r="B249" s="17" t="inlineStr">
        <is>
          <t>P002581</t>
        </is>
      </c>
      <c r="C249" s="18" t="n">
        <v>4301011239</v>
      </c>
      <c r="D249" s="19" t="n">
        <v>4607091383997</v>
      </c>
      <c r="E249" s="71" t="n"/>
      <c r="F249" s="72" t="n">
        <v>2.5</v>
      </c>
      <c r="G249" s="21" t="n">
        <v>6</v>
      </c>
      <c r="H249" s="72" t="n">
        <v>15</v>
      </c>
      <c r="I249" s="72" t="n">
        <v>15.48</v>
      </c>
      <c r="J249" s="21" t="n">
        <v>48</v>
      </c>
      <c r="K249" s="22" t="inlineStr">
        <is>
          <t>ВЗ</t>
        </is>
      </c>
      <c r="L249" s="21" t="n">
        <v>60</v>
      </c>
      <c r="M249" s="8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49" s="74" t="n"/>
      <c r="O249" s="74" t="n"/>
      <c r="P249" s="74" t="n"/>
      <c r="Q249" s="71" t="n"/>
      <c r="R249" s="26" t="inlineStr"/>
      <c r="S249" s="26" t="inlineStr"/>
      <c r="T249" s="27" t="inlineStr">
        <is>
          <t>кг</t>
        </is>
      </c>
      <c r="U249" s="75" t="n">
        <v>0</v>
      </c>
      <c r="V249" s="76">
        <f>IFERROR(IF(U249="",0,CEILING((U249/$H249),1)*$H249),"")</f>
        <v/>
      </c>
      <c r="W249" s="30">
        <f>IFERROR(IF(V249=0,"",ROUNDUP(V249/H249,0)*0.02039),"")</f>
        <v/>
      </c>
      <c r="X249" s="31" t="inlineStr"/>
      <c r="Y249" s="32" t="inlineStr"/>
    </row>
    <row r="250">
      <c r="A250" s="17" t="inlineStr">
        <is>
          <t>SU000251</t>
        </is>
      </c>
      <c r="B250" s="17" t="inlineStr">
        <is>
          <t>P002584</t>
        </is>
      </c>
      <c r="C250" s="18" t="n">
        <v>4301011339</v>
      </c>
      <c r="D250" s="19" t="n">
        <v>4607091383997</v>
      </c>
      <c r="E250" s="71" t="n"/>
      <c r="F250" s="72" t="n">
        <v>2.5</v>
      </c>
      <c r="G250" s="21" t="n">
        <v>6</v>
      </c>
      <c r="H250" s="72" t="n">
        <v>15</v>
      </c>
      <c r="I250" s="72" t="n">
        <v>15.48</v>
      </c>
      <c r="J250" s="21" t="n">
        <v>48</v>
      </c>
      <c r="K250" s="22" t="inlineStr">
        <is>
          <t>СК2</t>
        </is>
      </c>
      <c r="L250" s="21" t="n">
        <v>60</v>
      </c>
      <c r="M250" s="8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50" s="74" t="n"/>
      <c r="O250" s="74" t="n"/>
      <c r="P250" s="74" t="n"/>
      <c r="Q250" s="71" t="n"/>
      <c r="R250" s="26" t="inlineStr"/>
      <c r="S250" s="26" t="inlineStr"/>
      <c r="T250" s="27" t="inlineStr">
        <is>
          <t>кг</t>
        </is>
      </c>
      <c r="U250" s="75" t="n">
        <v>0</v>
      </c>
      <c r="V250" s="76">
        <f>IFERROR(IF(U250="",0,CEILING((U250/$H250),1)*$H250),"")</f>
        <v/>
      </c>
      <c r="W250" s="30">
        <f>IFERROR(IF(V250=0,"",ROUNDUP(V250/H250,0)*0.02175),"")</f>
        <v/>
      </c>
      <c r="X250" s="31" t="inlineStr"/>
      <c r="Y250" s="32" t="inlineStr"/>
    </row>
    <row r="251">
      <c r="A251" s="17" t="inlineStr">
        <is>
          <t>SU001578</t>
        </is>
      </c>
      <c r="B251" s="17" t="inlineStr">
        <is>
          <t>P002562</t>
        </is>
      </c>
      <c r="C251" s="18" t="n">
        <v>4301011326</v>
      </c>
      <c r="D251" s="19" t="n">
        <v>4607091384130</v>
      </c>
      <c r="E251" s="71" t="n"/>
      <c r="F251" s="72" t="n">
        <v>2.5</v>
      </c>
      <c r="G251" s="21" t="n">
        <v>6</v>
      </c>
      <c r="H251" s="72" t="n">
        <v>15</v>
      </c>
      <c r="I251" s="72" t="n">
        <v>15.48</v>
      </c>
      <c r="J251" s="21" t="n">
        <v>48</v>
      </c>
      <c r="K251" s="22" t="inlineStr">
        <is>
          <t>СК2</t>
        </is>
      </c>
      <c r="L251" s="21" t="n">
        <v>60</v>
      </c>
      <c r="M251" s="8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51" s="74" t="n"/>
      <c r="O251" s="74" t="n"/>
      <c r="P251" s="74" t="n"/>
      <c r="Q251" s="71" t="n"/>
      <c r="R251" s="26" t="inlineStr"/>
      <c r="S251" s="26" t="inlineStr"/>
      <c r="T251" s="27" t="inlineStr">
        <is>
          <t>кг</t>
        </is>
      </c>
      <c r="U251" s="75" t="n">
        <v>0</v>
      </c>
      <c r="V251" s="76">
        <f>IFERROR(IF(U251="",0,CEILING((U251/$H251),1)*$H251),"")</f>
        <v/>
      </c>
      <c r="W251" s="30">
        <f>IFERROR(IF(V251=0,"",ROUNDUP(V251/H251,0)*0.02175),"")</f>
        <v/>
      </c>
      <c r="X251" s="31" t="inlineStr"/>
      <c r="Y251" s="32" t="inlineStr"/>
    </row>
    <row r="252">
      <c r="A252" s="17" t="inlineStr">
        <is>
          <t>SU001578</t>
        </is>
      </c>
      <c r="B252" s="17" t="inlineStr">
        <is>
          <t>P002582</t>
        </is>
      </c>
      <c r="C252" s="18" t="n">
        <v>4301011240</v>
      </c>
      <c r="D252" s="19" t="n">
        <v>4607091384130</v>
      </c>
      <c r="E252" s="71" t="n"/>
      <c r="F252" s="72" t="n">
        <v>2.5</v>
      </c>
      <c r="G252" s="21" t="n">
        <v>6</v>
      </c>
      <c r="H252" s="72" t="n">
        <v>15</v>
      </c>
      <c r="I252" s="72" t="n">
        <v>15.48</v>
      </c>
      <c r="J252" s="21" t="n">
        <v>48</v>
      </c>
      <c r="K252" s="22" t="inlineStr">
        <is>
          <t>ВЗ</t>
        </is>
      </c>
      <c r="L252" s="21" t="n">
        <v>60</v>
      </c>
      <c r="M252" s="8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52" s="74" t="n"/>
      <c r="O252" s="74" t="n"/>
      <c r="P252" s="74" t="n"/>
      <c r="Q252" s="71" t="n"/>
      <c r="R252" s="26" t="inlineStr"/>
      <c r="S252" s="26" t="inlineStr"/>
      <c r="T252" s="27" t="inlineStr">
        <is>
          <t>кг</t>
        </is>
      </c>
      <c r="U252" s="75" t="n">
        <v>0</v>
      </c>
      <c r="V252" s="76">
        <f>IFERROR(IF(U252="",0,CEILING((U252/$H252),1)*$H252),"")</f>
        <v/>
      </c>
      <c r="W252" s="30">
        <f>IFERROR(IF(V252=0,"",ROUNDUP(V252/H252,0)*0.02039),"")</f>
        <v/>
      </c>
      <c r="X252" s="31" t="inlineStr"/>
      <c r="Y252" s="32" t="inlineStr"/>
    </row>
    <row r="253">
      <c r="A253" s="17" t="inlineStr">
        <is>
          <t>SU000102</t>
        </is>
      </c>
      <c r="B253" s="17" t="inlineStr">
        <is>
          <t>P002564</t>
        </is>
      </c>
      <c r="C253" s="18" t="n">
        <v>4301011330</v>
      </c>
      <c r="D253" s="19" t="n">
        <v>4607091384147</v>
      </c>
      <c r="E253" s="71" t="n"/>
      <c r="F253" s="72" t="n">
        <v>2.5</v>
      </c>
      <c r="G253" s="21" t="n">
        <v>6</v>
      </c>
      <c r="H253" s="72" t="n">
        <v>15</v>
      </c>
      <c r="I253" s="72" t="n">
        <v>15.48</v>
      </c>
      <c r="J253" s="21" t="n">
        <v>48</v>
      </c>
      <c r="K253" s="22" t="inlineStr">
        <is>
          <t>СК2</t>
        </is>
      </c>
      <c r="L253" s="21" t="n">
        <v>60</v>
      </c>
      <c r="M253" s="8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53" s="74" t="n"/>
      <c r="O253" s="74" t="n"/>
      <c r="P253" s="74" t="n"/>
      <c r="Q253" s="71" t="n"/>
      <c r="R253" s="26" t="inlineStr"/>
      <c r="S253" s="26" t="inlineStr"/>
      <c r="T253" s="27" t="inlineStr">
        <is>
          <t>кг</t>
        </is>
      </c>
      <c r="U253" s="84" t="n">
        <v>400</v>
      </c>
      <c r="V253" s="76">
        <f>IFERROR(IF(U253="",0,CEILING((U253/$H253),1)*$H253),"")</f>
        <v/>
      </c>
      <c r="W253" s="30">
        <f>IFERROR(IF(V253=0,"",ROUNDUP(V253/H253,0)*0.02175),"")</f>
        <v/>
      </c>
      <c r="X253" s="31" t="inlineStr"/>
      <c r="Y253" s="32" t="inlineStr"/>
    </row>
    <row r="254">
      <c r="A254" s="17" t="inlineStr">
        <is>
          <t>SU000102</t>
        </is>
      </c>
      <c r="B254" s="17" t="inlineStr">
        <is>
          <t>P002580</t>
        </is>
      </c>
      <c r="C254" s="18" t="n">
        <v>4301011238</v>
      </c>
      <c r="D254" s="19" t="n">
        <v>4607091384147</v>
      </c>
      <c r="E254" s="71" t="n"/>
      <c r="F254" s="72" t="n">
        <v>2.5</v>
      </c>
      <c r="G254" s="21" t="n">
        <v>6</v>
      </c>
      <c r="H254" s="72" t="n">
        <v>15</v>
      </c>
      <c r="I254" s="72" t="n">
        <v>15.48</v>
      </c>
      <c r="J254" s="21" t="n">
        <v>48</v>
      </c>
      <c r="K254" s="22" t="inlineStr">
        <is>
          <t>ВЗ</t>
        </is>
      </c>
      <c r="L254" s="21" t="n">
        <v>60</v>
      </c>
      <c r="M254" s="73" t="inlineStr">
        <is>
          <t>Вареные колбасы Особая Особая Весовые П/а Особый рецепт</t>
        </is>
      </c>
      <c r="N254" s="74" t="n"/>
      <c r="O254" s="74" t="n"/>
      <c r="P254" s="74" t="n"/>
      <c r="Q254" s="71" t="n"/>
      <c r="R254" s="26" t="inlineStr"/>
      <c r="S254" s="26" t="inlineStr"/>
      <c r="T254" s="27" t="inlineStr">
        <is>
          <t>кг</t>
        </is>
      </c>
      <c r="U254" s="75" t="n">
        <v>0</v>
      </c>
      <c r="V254" s="76">
        <f>IFERROR(IF(U254="",0,CEILING((U254/$H254),1)*$H254),"")</f>
        <v/>
      </c>
      <c r="W254" s="30">
        <f>IFERROR(IF(V254=0,"",ROUNDUP(V254/H254,0)*0.02039),"")</f>
        <v/>
      </c>
      <c r="X254" s="31" t="inlineStr"/>
      <c r="Y254" s="32" t="inlineStr"/>
    </row>
    <row r="255">
      <c r="A255" s="17" t="inlineStr">
        <is>
          <t>SU001989</t>
        </is>
      </c>
      <c r="B255" s="17" t="inlineStr">
        <is>
          <t>P002560</t>
        </is>
      </c>
      <c r="C255" s="18" t="n">
        <v>4301011327</v>
      </c>
      <c r="D255" s="19" t="n">
        <v>4607091384154</v>
      </c>
      <c r="E255" s="71" t="n"/>
      <c r="F255" s="72" t="n">
        <v>0.5</v>
      </c>
      <c r="G255" s="21" t="n">
        <v>10</v>
      </c>
      <c r="H255" s="72" t="n">
        <v>5</v>
      </c>
      <c r="I255" s="72" t="n">
        <v>5.21</v>
      </c>
      <c r="J255" s="21" t="n">
        <v>120</v>
      </c>
      <c r="K255" s="22" t="inlineStr">
        <is>
          <t>СК2</t>
        </is>
      </c>
      <c r="L255" s="21" t="n">
        <v>60</v>
      </c>
      <c r="M255" s="8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55" s="74" t="n"/>
      <c r="O255" s="74" t="n"/>
      <c r="P255" s="74" t="n"/>
      <c r="Q255" s="71" t="n"/>
      <c r="R255" s="26" t="inlineStr"/>
      <c r="S255" s="26" t="inlineStr"/>
      <c r="T255" s="27" t="inlineStr">
        <is>
          <t>кг</t>
        </is>
      </c>
      <c r="U255" s="75" t="n">
        <v>0</v>
      </c>
      <c r="V255" s="76">
        <f>IFERROR(IF(U255="",0,CEILING((U255/$H255),1)*$H255),"")</f>
        <v/>
      </c>
      <c r="W255" s="30">
        <f>IFERROR(IF(V255=0,"",ROUNDUP(V255/H255,0)*0.00937),"")</f>
        <v/>
      </c>
      <c r="X255" s="31" t="inlineStr"/>
      <c r="Y255" s="32" t="inlineStr"/>
    </row>
    <row r="256">
      <c r="A256" s="17" t="inlineStr">
        <is>
          <t>SU000256</t>
        </is>
      </c>
      <c r="B256" s="17" t="inlineStr">
        <is>
          <t>P002565</t>
        </is>
      </c>
      <c r="C256" s="18" t="n">
        <v>4301011332</v>
      </c>
      <c r="D256" s="19" t="n">
        <v>4607091384161</v>
      </c>
      <c r="E256" s="71" t="n"/>
      <c r="F256" s="72" t="n">
        <v>0.5</v>
      </c>
      <c r="G256" s="21" t="n">
        <v>10</v>
      </c>
      <c r="H256" s="72" t="n">
        <v>5</v>
      </c>
      <c r="I256" s="72" t="n">
        <v>5.21</v>
      </c>
      <c r="J256" s="21" t="n">
        <v>120</v>
      </c>
      <c r="K256" s="22" t="inlineStr">
        <is>
          <t>СК2</t>
        </is>
      </c>
      <c r="L256" s="21" t="n">
        <v>60</v>
      </c>
      <c r="M256" s="8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56" s="74" t="n"/>
      <c r="O256" s="74" t="n"/>
      <c r="P256" s="74" t="n"/>
      <c r="Q256" s="71" t="n"/>
      <c r="R256" s="26" t="inlineStr"/>
      <c r="S256" s="26" t="inlineStr"/>
      <c r="T256" s="27" t="inlineStr">
        <is>
          <t>кг</t>
        </is>
      </c>
      <c r="U256" s="75" t="n">
        <v>0</v>
      </c>
      <c r="V256" s="76">
        <f>IFERROR(IF(U256="",0,CEILING((U256/$H256),1)*$H256),"")</f>
        <v/>
      </c>
      <c r="W256" s="30">
        <f>IFERROR(IF(V256=0,"",ROUNDUP(V256/H256,0)*0.00937),"")</f>
        <v/>
      </c>
      <c r="X256" s="31" t="inlineStr"/>
      <c r="Y256" s="32" t="inlineStr"/>
    </row>
    <row r="257">
      <c r="A257" s="34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77" t="n"/>
      <c r="M257" s="78" t="inlineStr">
        <is>
          <t>Итого</t>
        </is>
      </c>
      <c r="N257" s="79" t="n"/>
      <c r="O257" s="79" t="n"/>
      <c r="P257" s="79" t="n"/>
      <c r="Q257" s="79" t="n"/>
      <c r="R257" s="79" t="n"/>
      <c r="S257" s="80" t="n"/>
      <c r="T257" s="38" t="inlineStr">
        <is>
          <t>кор</t>
        </is>
      </c>
      <c r="U257" s="81">
        <f>IFERROR(U249/H249,"0")+IFERROR(U250/H250,"0")+IFERROR(U251/H251,"0")+IFERROR(U252/H252,"0")+IFERROR(U253/H253,"0")+IFERROR(U254/H254,"0")+IFERROR(U255/H255,"0")+IFERROR(U256/H256,"0")</f>
        <v/>
      </c>
      <c r="V257" s="81">
        <f>IFERROR(V249/H249,"0")+IFERROR(V250/H250,"0")+IFERROR(V251/H251,"0")+IFERROR(V252/H252,"0")+IFERROR(V253/H253,"0")+IFERROR(V254/H254,"0")+IFERROR(V255/H255,"0")+IFERROR(V256/H256,"0")</f>
        <v/>
      </c>
      <c r="W257" s="81">
        <f>IFERROR(IF(W249="",0,W249),"0")+IFERROR(IF(W250="",0,W250),"0")+IFERROR(IF(W251="",0,W251),"0")+IFERROR(IF(W252="",0,W252),"0")+IFERROR(IF(W253="",0,W253),"0")+IFERROR(IF(W254="",0,W254),"0")+IFERROR(IF(W255="",0,W255),"0")+IFERROR(IF(W256="",0,W256),"0")</f>
        <v/>
      </c>
      <c r="X257" s="82" t="n"/>
      <c r="Y257" s="82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77" t="n"/>
      <c r="M258" s="78" t="inlineStr">
        <is>
          <t>Итого</t>
        </is>
      </c>
      <c r="N258" s="79" t="n"/>
      <c r="O258" s="79" t="n"/>
      <c r="P258" s="79" t="n"/>
      <c r="Q258" s="79" t="n"/>
      <c r="R258" s="79" t="n"/>
      <c r="S258" s="80" t="n"/>
      <c r="T258" s="38" t="inlineStr">
        <is>
          <t>кг</t>
        </is>
      </c>
      <c r="U258" s="81">
        <f>IFERROR(SUM(U249:U256),"0")</f>
        <v/>
      </c>
      <c r="V258" s="81">
        <f>IFERROR(SUM(V249:V256),"0")</f>
        <v/>
      </c>
      <c r="W258" s="38" t="n"/>
      <c r="X258" s="82" t="n"/>
      <c r="Y258" s="82" t="n"/>
    </row>
    <row r="259">
      <c r="A259" s="16" t="inlineStr">
        <is>
          <t>Ветчины</t>
        </is>
      </c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6" t="n"/>
      <c r="Y259" s="16" t="n"/>
    </row>
    <row r="260">
      <c r="A260" s="17" t="inlineStr">
        <is>
          <t>SU000126</t>
        </is>
      </c>
      <c r="B260" s="17" t="inlineStr">
        <is>
          <t>P002555</t>
        </is>
      </c>
      <c r="C260" s="18" t="n">
        <v>4301020178</v>
      </c>
      <c r="D260" s="19" t="n">
        <v>4607091383980</v>
      </c>
      <c r="E260" s="71" t="n"/>
      <c r="F260" s="72" t="n">
        <v>2.5</v>
      </c>
      <c r="G260" s="21" t="n">
        <v>6</v>
      </c>
      <c r="H260" s="72" t="n">
        <v>15</v>
      </c>
      <c r="I260" s="72" t="n">
        <v>15.48</v>
      </c>
      <c r="J260" s="21" t="n">
        <v>48</v>
      </c>
      <c r="K260" s="22" t="inlineStr">
        <is>
          <t>СК1</t>
        </is>
      </c>
      <c r="L260" s="21" t="n">
        <v>50</v>
      </c>
      <c r="M260" s="8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60" s="74" t="n"/>
      <c r="O260" s="74" t="n"/>
      <c r="P260" s="74" t="n"/>
      <c r="Q260" s="71" t="n"/>
      <c r="R260" s="26" t="inlineStr"/>
      <c r="S260" s="26" t="inlineStr"/>
      <c r="T260" s="27" t="inlineStr">
        <is>
          <t>кг</t>
        </is>
      </c>
      <c r="U260" s="84" t="n">
        <v>555</v>
      </c>
      <c r="V260" s="76">
        <f>IFERROR(IF(U260="",0,CEILING((U260/$H260),1)*$H260),"")</f>
        <v/>
      </c>
      <c r="W260" s="30">
        <f>IFERROR(IF(V260=0,"",ROUNDUP(V260/H260,0)*0.02175),"")</f>
        <v/>
      </c>
      <c r="X260" s="31" t="inlineStr"/>
      <c r="Y260" s="32" t="inlineStr"/>
    </row>
    <row r="261">
      <c r="A261" s="17" t="inlineStr">
        <is>
          <t>SU002027</t>
        </is>
      </c>
      <c r="B261" s="17" t="inlineStr">
        <is>
          <t>P002556</t>
        </is>
      </c>
      <c r="C261" s="18" t="n">
        <v>4301020179</v>
      </c>
      <c r="D261" s="19" t="n">
        <v>4607091384178</v>
      </c>
      <c r="E261" s="71" t="n"/>
      <c r="F261" s="72" t="n">
        <v>0.4</v>
      </c>
      <c r="G261" s="21" t="n">
        <v>10</v>
      </c>
      <c r="H261" s="72" t="n">
        <v>4</v>
      </c>
      <c r="I261" s="72" t="n">
        <v>4.24</v>
      </c>
      <c r="J261" s="21" t="n">
        <v>120</v>
      </c>
      <c r="K261" s="22" t="inlineStr">
        <is>
          <t>СК1</t>
        </is>
      </c>
      <c r="L261" s="21" t="n">
        <v>50</v>
      </c>
      <c r="M261" s="8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61" s="74" t="n"/>
      <c r="O261" s="74" t="n"/>
      <c r="P261" s="74" t="n"/>
      <c r="Q261" s="71" t="n"/>
      <c r="R261" s="26" t="inlineStr"/>
      <c r="S261" s="26" t="inlineStr"/>
      <c r="T261" s="27" t="inlineStr">
        <is>
          <t>кг</t>
        </is>
      </c>
      <c r="U261" s="75" t="n">
        <v>0</v>
      </c>
      <c r="V261" s="76">
        <f>IFERROR(IF(U261="",0,CEILING((U261/$H261),1)*$H261),"")</f>
        <v/>
      </c>
      <c r="W261" s="30">
        <f>IFERROR(IF(V261=0,"",ROUNDUP(V261/H261,0)*0.00937),"")</f>
        <v/>
      </c>
      <c r="X261" s="31" t="inlineStr"/>
      <c r="Y261" s="32" t="inlineStr"/>
    </row>
    <row r="262">
      <c r="A262" s="34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77" t="n"/>
      <c r="M262" s="78" t="inlineStr">
        <is>
          <t>Итого</t>
        </is>
      </c>
      <c r="N262" s="79" t="n"/>
      <c r="O262" s="79" t="n"/>
      <c r="P262" s="79" t="n"/>
      <c r="Q262" s="79" t="n"/>
      <c r="R262" s="79" t="n"/>
      <c r="S262" s="80" t="n"/>
      <c r="T262" s="38" t="inlineStr">
        <is>
          <t>кор</t>
        </is>
      </c>
      <c r="U262" s="81">
        <f>IFERROR(U260/H260,"0")+IFERROR(U261/H261,"0")</f>
        <v/>
      </c>
      <c r="V262" s="81">
        <f>IFERROR(V260/H260,"0")+IFERROR(V261/H261,"0")</f>
        <v/>
      </c>
      <c r="W262" s="81">
        <f>IFERROR(IF(W260="",0,W260),"0")+IFERROR(IF(W261="",0,W261),"0")</f>
        <v/>
      </c>
      <c r="X262" s="82" t="n"/>
      <c r="Y262" s="82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77" t="n"/>
      <c r="M263" s="78" t="inlineStr">
        <is>
          <t>Итого</t>
        </is>
      </c>
      <c r="N263" s="79" t="n"/>
      <c r="O263" s="79" t="n"/>
      <c r="P263" s="79" t="n"/>
      <c r="Q263" s="79" t="n"/>
      <c r="R263" s="79" t="n"/>
      <c r="S263" s="80" t="n"/>
      <c r="T263" s="38" t="inlineStr">
        <is>
          <t>кг</t>
        </is>
      </c>
      <c r="U263" s="81">
        <f>IFERROR(SUM(U260:U261),"0")</f>
        <v/>
      </c>
      <c r="V263" s="81">
        <f>IFERROR(SUM(V260:V261),"0")</f>
        <v/>
      </c>
      <c r="W263" s="38" t="n"/>
      <c r="X263" s="82" t="n"/>
      <c r="Y263" s="82" t="n"/>
    </row>
    <row r="264">
      <c r="A264" s="16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6" t="n"/>
      <c r="Y264" s="16" t="n"/>
    </row>
    <row r="265">
      <c r="A265" s="17" t="inlineStr">
        <is>
          <t>SU002364</t>
        </is>
      </c>
      <c r="B265" s="17" t="inlineStr">
        <is>
          <t>P002633</t>
        </is>
      </c>
      <c r="C265" s="18" t="n">
        <v>4301031137</v>
      </c>
      <c r="D265" s="19" t="n">
        <v>4607091384857</v>
      </c>
      <c r="E265" s="71" t="n"/>
      <c r="F265" s="72" t="n">
        <v>0.73</v>
      </c>
      <c r="G265" s="21" t="n">
        <v>6</v>
      </c>
      <c r="H265" s="72" t="n">
        <v>4.38</v>
      </c>
      <c r="I265" s="72" t="n">
        <v>4.58</v>
      </c>
      <c r="J265" s="21" t="n">
        <v>156</v>
      </c>
      <c r="K265" s="22" t="inlineStr">
        <is>
          <t>СК2</t>
        </is>
      </c>
      <c r="L265" s="21" t="n">
        <v>35</v>
      </c>
      <c r="M265" s="8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65" s="74" t="n"/>
      <c r="O265" s="74" t="n"/>
      <c r="P265" s="74" t="n"/>
      <c r="Q265" s="71" t="n"/>
      <c r="R265" s="26" t="inlineStr"/>
      <c r="S265" s="26" t="inlineStr"/>
      <c r="T265" s="27" t="inlineStr">
        <is>
          <t>кг</t>
        </is>
      </c>
      <c r="U265" s="75" t="n">
        <v>0</v>
      </c>
      <c r="V265" s="76">
        <f>IFERROR(IF(U265="",0,CEILING((U265/$H265),1)*$H265),"")</f>
        <v/>
      </c>
      <c r="W265" s="30">
        <f>IFERROR(IF(V265=0,"",ROUNDUP(V265/H265,0)*0.00753),"")</f>
        <v/>
      </c>
      <c r="X265" s="31" t="inlineStr"/>
      <c r="Y265" s="32" t="inlineStr"/>
    </row>
    <row r="266">
      <c r="A266" s="34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77" t="n"/>
      <c r="M266" s="78" t="inlineStr">
        <is>
          <t>Итого</t>
        </is>
      </c>
      <c r="N266" s="79" t="n"/>
      <c r="O266" s="79" t="n"/>
      <c r="P266" s="79" t="n"/>
      <c r="Q266" s="79" t="n"/>
      <c r="R266" s="79" t="n"/>
      <c r="S266" s="80" t="n"/>
      <c r="T266" s="38" t="inlineStr">
        <is>
          <t>кор</t>
        </is>
      </c>
      <c r="U266" s="81">
        <f>IFERROR(U265/H265,"0")</f>
        <v/>
      </c>
      <c r="V266" s="81">
        <f>IFERROR(V265/H265,"0")</f>
        <v/>
      </c>
      <c r="W266" s="81">
        <f>IFERROR(IF(W265="",0,W265),"0")</f>
        <v/>
      </c>
      <c r="X266" s="82" t="n"/>
      <c r="Y266" s="82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77" t="n"/>
      <c r="M267" s="78" t="inlineStr">
        <is>
          <t>Итого</t>
        </is>
      </c>
      <c r="N267" s="79" t="n"/>
      <c r="O267" s="79" t="n"/>
      <c r="P267" s="79" t="n"/>
      <c r="Q267" s="79" t="n"/>
      <c r="R267" s="79" t="n"/>
      <c r="S267" s="80" t="n"/>
      <c r="T267" s="38" t="inlineStr">
        <is>
          <t>кг</t>
        </is>
      </c>
      <c r="U267" s="81">
        <f>IFERROR(SUM(U265:U265),"0")</f>
        <v/>
      </c>
      <c r="V267" s="81">
        <f>IFERROR(SUM(V265:V265),"0")</f>
        <v/>
      </c>
      <c r="W267" s="38" t="n"/>
      <c r="X267" s="82" t="n"/>
      <c r="Y267" s="82" t="n"/>
    </row>
    <row r="268">
      <c r="A268" s="16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6" t="n"/>
      <c r="Y268" s="16" t="n"/>
    </row>
    <row r="269">
      <c r="A269" s="17" t="inlineStr">
        <is>
          <t>SU000246</t>
        </is>
      </c>
      <c r="B269" s="17" t="inlineStr">
        <is>
          <t>P002690</t>
        </is>
      </c>
      <c r="C269" s="18" t="n">
        <v>4301051298</v>
      </c>
      <c r="D269" s="19" t="n">
        <v>4607091384260</v>
      </c>
      <c r="E269" s="71" t="n"/>
      <c r="F269" s="72" t="n">
        <v>1.3</v>
      </c>
      <c r="G269" s="21" t="n">
        <v>6</v>
      </c>
      <c r="H269" s="72" t="n">
        <v>7.8</v>
      </c>
      <c r="I269" s="72" t="n">
        <v>8.364000000000001</v>
      </c>
      <c r="J269" s="21" t="n">
        <v>56</v>
      </c>
      <c r="K269" s="22" t="inlineStr">
        <is>
          <t>СК2</t>
        </is>
      </c>
      <c r="L269" s="21" t="n">
        <v>35</v>
      </c>
      <c r="M269" s="8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69" s="74" t="n"/>
      <c r="O269" s="74" t="n"/>
      <c r="P269" s="74" t="n"/>
      <c r="Q269" s="71" t="n"/>
      <c r="R269" s="26" t="inlineStr"/>
      <c r="S269" s="26" t="inlineStr"/>
      <c r="T269" s="27" t="inlineStr">
        <is>
          <t>кг</t>
        </is>
      </c>
      <c r="U269" s="75" t="n">
        <v>0</v>
      </c>
      <c r="V269" s="76">
        <f>IFERROR(IF(U269="",0,CEILING((U269/$H269),1)*$H269),"")</f>
        <v/>
      </c>
      <c r="W269" s="30">
        <f>IFERROR(IF(V269=0,"",ROUNDUP(V269/H269,0)*0.02175),"")</f>
        <v/>
      </c>
      <c r="X269" s="31" t="inlineStr"/>
      <c r="Y269" s="32" t="inlineStr"/>
    </row>
    <row r="270">
      <c r="A270" s="3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77" t="n"/>
      <c r="M270" s="78" t="inlineStr">
        <is>
          <t>Итого</t>
        </is>
      </c>
      <c r="N270" s="79" t="n"/>
      <c r="O270" s="79" t="n"/>
      <c r="P270" s="79" t="n"/>
      <c r="Q270" s="79" t="n"/>
      <c r="R270" s="79" t="n"/>
      <c r="S270" s="80" t="n"/>
      <c r="T270" s="38" t="inlineStr">
        <is>
          <t>кор</t>
        </is>
      </c>
      <c r="U270" s="81">
        <f>IFERROR(U269/H269,"0")</f>
        <v/>
      </c>
      <c r="V270" s="81">
        <f>IFERROR(V269/H269,"0")</f>
        <v/>
      </c>
      <c r="W270" s="81">
        <f>IFERROR(IF(W269="",0,W269),"0")</f>
        <v/>
      </c>
      <c r="X270" s="82" t="n"/>
      <c r="Y270" s="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77" t="n"/>
      <c r="M271" s="78" t="inlineStr">
        <is>
          <t>Итого</t>
        </is>
      </c>
      <c r="N271" s="79" t="n"/>
      <c r="O271" s="79" t="n"/>
      <c r="P271" s="79" t="n"/>
      <c r="Q271" s="79" t="n"/>
      <c r="R271" s="79" t="n"/>
      <c r="S271" s="80" t="n"/>
      <c r="T271" s="38" t="inlineStr">
        <is>
          <t>кг</t>
        </is>
      </c>
      <c r="U271" s="81">
        <f>IFERROR(SUM(U269:U269),"0")</f>
        <v/>
      </c>
      <c r="V271" s="81">
        <f>IFERROR(SUM(V269:V269),"0")</f>
        <v/>
      </c>
      <c r="W271" s="38" t="n"/>
      <c r="X271" s="82" t="n"/>
      <c r="Y271" s="82" t="n"/>
    </row>
    <row r="272">
      <c r="A272" s="16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6" t="n"/>
      <c r="Y272" s="16" t="n"/>
    </row>
    <row r="273">
      <c r="A273" s="17" t="inlineStr">
        <is>
          <t>SU002287</t>
        </is>
      </c>
      <c r="B273" s="17" t="inlineStr">
        <is>
          <t>P002490</t>
        </is>
      </c>
      <c r="C273" s="18" t="n">
        <v>4301060314</v>
      </c>
      <c r="D273" s="19" t="n">
        <v>4607091384673</v>
      </c>
      <c r="E273" s="71" t="n"/>
      <c r="F273" s="72" t="n">
        <v>1.3</v>
      </c>
      <c r="G273" s="21" t="n">
        <v>6</v>
      </c>
      <c r="H273" s="72" t="n">
        <v>7.8</v>
      </c>
      <c r="I273" s="72" t="n">
        <v>8.364000000000001</v>
      </c>
      <c r="J273" s="21" t="n">
        <v>56</v>
      </c>
      <c r="K273" s="22" t="inlineStr">
        <is>
          <t>СК2</t>
        </is>
      </c>
      <c r="L273" s="21" t="n">
        <v>30</v>
      </c>
      <c r="M273" s="8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73" s="74" t="n"/>
      <c r="O273" s="74" t="n"/>
      <c r="P273" s="74" t="n"/>
      <c r="Q273" s="71" t="n"/>
      <c r="R273" s="26" t="inlineStr"/>
      <c r="S273" s="26" t="inlineStr"/>
      <c r="T273" s="27" t="inlineStr">
        <is>
          <t>кг</t>
        </is>
      </c>
      <c r="U273" s="75" t="n">
        <v>0</v>
      </c>
      <c r="V273" s="76">
        <f>IFERROR(IF(U273="",0,CEILING((U273/$H273),1)*$H273),"")</f>
        <v/>
      </c>
      <c r="W273" s="30">
        <f>IFERROR(IF(V273=0,"",ROUNDUP(V273/H273,0)*0.02175),"")</f>
        <v/>
      </c>
      <c r="X273" s="31" t="inlineStr"/>
      <c r="Y273" s="32" t="inlineStr"/>
    </row>
    <row r="274">
      <c r="A274" s="34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77" t="n"/>
      <c r="M274" s="78" t="inlineStr">
        <is>
          <t>Итого</t>
        </is>
      </c>
      <c r="N274" s="79" t="n"/>
      <c r="O274" s="79" t="n"/>
      <c r="P274" s="79" t="n"/>
      <c r="Q274" s="79" t="n"/>
      <c r="R274" s="79" t="n"/>
      <c r="S274" s="80" t="n"/>
      <c r="T274" s="38" t="inlineStr">
        <is>
          <t>кор</t>
        </is>
      </c>
      <c r="U274" s="81">
        <f>IFERROR(U273/H273,"0")</f>
        <v/>
      </c>
      <c r="V274" s="81">
        <f>IFERROR(V273/H273,"0")</f>
        <v/>
      </c>
      <c r="W274" s="81">
        <f>IFERROR(IF(W273="",0,W273),"0")</f>
        <v/>
      </c>
      <c r="X274" s="82" t="n"/>
      <c r="Y274" s="8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77" t="n"/>
      <c r="M275" s="78" t="inlineStr">
        <is>
          <t>Итого</t>
        </is>
      </c>
      <c r="N275" s="79" t="n"/>
      <c r="O275" s="79" t="n"/>
      <c r="P275" s="79" t="n"/>
      <c r="Q275" s="79" t="n"/>
      <c r="R275" s="79" t="n"/>
      <c r="S275" s="80" t="n"/>
      <c r="T275" s="38" t="inlineStr">
        <is>
          <t>кг</t>
        </is>
      </c>
      <c r="U275" s="81">
        <f>IFERROR(SUM(U273:U273),"0")</f>
        <v/>
      </c>
      <c r="V275" s="81">
        <f>IFERROR(SUM(V273:V273),"0")</f>
        <v/>
      </c>
      <c r="W275" s="38" t="n"/>
      <c r="X275" s="82" t="n"/>
      <c r="Y275" s="82" t="n"/>
    </row>
    <row r="276">
      <c r="A276" s="14" t="inlineStr">
        <is>
          <t>Особая Без свинины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4" t="n"/>
      <c r="Y276" s="14" t="n"/>
    </row>
    <row r="277">
      <c r="A277" s="16" t="inlineStr">
        <is>
          <t>Вареные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6" t="n"/>
      <c r="Y277" s="16" t="n"/>
    </row>
    <row r="278">
      <c r="A278" s="17" t="inlineStr">
        <is>
          <t>SU002073</t>
        </is>
      </c>
      <c r="B278" s="17" t="inlineStr">
        <is>
          <t>P002563</t>
        </is>
      </c>
      <c r="C278" s="18" t="n">
        <v>4301011324</v>
      </c>
      <c r="D278" s="19" t="n">
        <v>4607091384185</v>
      </c>
      <c r="E278" s="71" t="n"/>
      <c r="F278" s="72" t="n">
        <v>0.8</v>
      </c>
      <c r="G278" s="21" t="n">
        <v>15</v>
      </c>
      <c r="H278" s="72" t="n">
        <v>12</v>
      </c>
      <c r="I278" s="72" t="n">
        <v>12.48</v>
      </c>
      <c r="J278" s="21" t="n">
        <v>56</v>
      </c>
      <c r="K278" s="22" t="inlineStr">
        <is>
          <t>СК2</t>
        </is>
      </c>
      <c r="L278" s="21" t="n">
        <v>60</v>
      </c>
      <c r="M278" s="8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78" s="74" t="n"/>
      <c r="O278" s="74" t="n"/>
      <c r="P278" s="74" t="n"/>
      <c r="Q278" s="71" t="n"/>
      <c r="R278" s="26" t="inlineStr"/>
      <c r="S278" s="26" t="inlineStr"/>
      <c r="T278" s="27" t="inlineStr">
        <is>
          <t>кг</t>
        </is>
      </c>
      <c r="U278" s="75" t="n">
        <v>0</v>
      </c>
      <c r="V278" s="76">
        <f>IFERROR(IF(U278="",0,CEILING((U278/$H278),1)*$H278),"")</f>
        <v/>
      </c>
      <c r="W278" s="30">
        <f>IFERROR(IF(V278=0,"",ROUNDUP(V278/H278,0)*0.02175),"")</f>
        <v/>
      </c>
      <c r="X278" s="31" t="inlineStr"/>
      <c r="Y278" s="32" t="inlineStr"/>
    </row>
    <row r="279">
      <c r="A279" s="17" t="inlineStr">
        <is>
          <t>SU002187</t>
        </is>
      </c>
      <c r="B279" s="17" t="inlineStr">
        <is>
          <t>P002559</t>
        </is>
      </c>
      <c r="C279" s="18" t="n">
        <v>4301011312</v>
      </c>
      <c r="D279" s="19" t="n">
        <v>4607091384192</v>
      </c>
      <c r="E279" s="71" t="n"/>
      <c r="F279" s="72" t="n">
        <v>1.8</v>
      </c>
      <c r="G279" s="21" t="n">
        <v>6</v>
      </c>
      <c r="H279" s="72" t="n">
        <v>10.8</v>
      </c>
      <c r="I279" s="72" t="n">
        <v>11.28</v>
      </c>
      <c r="J279" s="21" t="n">
        <v>56</v>
      </c>
      <c r="K279" s="22" t="inlineStr">
        <is>
          <t>СК1</t>
        </is>
      </c>
      <c r="L279" s="21" t="n">
        <v>60</v>
      </c>
      <c r="M279" s="8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79" s="74" t="n"/>
      <c r="O279" s="74" t="n"/>
      <c r="P279" s="74" t="n"/>
      <c r="Q279" s="71" t="n"/>
      <c r="R279" s="26" t="inlineStr"/>
      <c r="S279" s="26" t="inlineStr"/>
      <c r="T279" s="27" t="inlineStr">
        <is>
          <t>кг</t>
        </is>
      </c>
      <c r="U279" s="75" t="n">
        <v>0</v>
      </c>
      <c r="V279" s="76">
        <f>IFERROR(IF(U279="",0,CEILING((U279/$H279),1)*$H279),"")</f>
        <v/>
      </c>
      <c r="W279" s="30">
        <f>IFERROR(IF(V279=0,"",ROUNDUP(V279/H279,0)*0.02175),"")</f>
        <v/>
      </c>
      <c r="X279" s="31" t="inlineStr"/>
      <c r="Y279" s="32" t="inlineStr"/>
    </row>
    <row r="280">
      <c r="A280" s="17" t="inlineStr">
        <is>
          <t>SU002899</t>
        </is>
      </c>
      <c r="B280" s="17" t="inlineStr">
        <is>
          <t>P003323</t>
        </is>
      </c>
      <c r="C280" s="18" t="n">
        <v>4301011483</v>
      </c>
      <c r="D280" s="19" t="n">
        <v>4680115881907</v>
      </c>
      <c r="E280" s="71" t="n"/>
      <c r="F280" s="72" t="n">
        <v>1.8</v>
      </c>
      <c r="G280" s="21" t="n">
        <v>6</v>
      </c>
      <c r="H280" s="72" t="n">
        <v>10.8</v>
      </c>
      <c r="I280" s="72" t="n">
        <v>11.28</v>
      </c>
      <c r="J280" s="21" t="n">
        <v>56</v>
      </c>
      <c r="K280" s="22" t="inlineStr">
        <is>
          <t>СК2</t>
        </is>
      </c>
      <c r="L280" s="21" t="n">
        <v>60</v>
      </c>
      <c r="M280" s="73" t="inlineStr">
        <is>
          <t>Вареные колбасы "Молочная оригинальная" Вес П/а ТМ "Особый рецепт" большой батон</t>
        </is>
      </c>
      <c r="N280" s="74" t="n"/>
      <c r="O280" s="74" t="n"/>
      <c r="P280" s="74" t="n"/>
      <c r="Q280" s="71" t="n"/>
      <c r="R280" s="26" t="inlineStr"/>
      <c r="S280" s="26" t="inlineStr"/>
      <c r="T280" s="27" t="inlineStr">
        <is>
          <t>кг</t>
        </is>
      </c>
      <c r="U280" s="75" t="n">
        <v>0</v>
      </c>
      <c r="V280" s="76">
        <f>IFERROR(IF(U280="",0,CEILING((U280/$H280),1)*$H280),"")</f>
        <v/>
      </c>
      <c r="W280" s="30">
        <f>IFERROR(IF(V280=0,"",ROUNDUP(V280/H280,0)*0.02175),"")</f>
        <v/>
      </c>
      <c r="X280" s="31" t="inlineStr"/>
      <c r="Y280" s="32" t="inlineStr"/>
    </row>
    <row r="281">
      <c r="A281" s="17" t="inlineStr">
        <is>
          <t>SU002462</t>
        </is>
      </c>
      <c r="B281" s="17" t="inlineStr">
        <is>
          <t>P002768</t>
        </is>
      </c>
      <c r="C281" s="18" t="n">
        <v>4301011303</v>
      </c>
      <c r="D281" s="19" t="n">
        <v>4607091384680</v>
      </c>
      <c r="E281" s="71" t="n"/>
      <c r="F281" s="72" t="n">
        <v>0.4</v>
      </c>
      <c r="G281" s="21" t="n">
        <v>10</v>
      </c>
      <c r="H281" s="72" t="n">
        <v>4</v>
      </c>
      <c r="I281" s="72" t="n">
        <v>4.21</v>
      </c>
      <c r="J281" s="21" t="n">
        <v>120</v>
      </c>
      <c r="K281" s="22" t="inlineStr">
        <is>
          <t>СК2</t>
        </is>
      </c>
      <c r="L281" s="21" t="n">
        <v>60</v>
      </c>
      <c r="M281" s="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81" s="74" t="n"/>
      <c r="O281" s="74" t="n"/>
      <c r="P281" s="74" t="n"/>
      <c r="Q281" s="71" t="n"/>
      <c r="R281" s="26" t="inlineStr"/>
      <c r="S281" s="26" t="inlineStr"/>
      <c r="T281" s="27" t="inlineStr">
        <is>
          <t>кг</t>
        </is>
      </c>
      <c r="U281" s="75" t="n">
        <v>0</v>
      </c>
      <c r="V281" s="76">
        <f>IFERROR(IF(U281="",0,CEILING((U281/$H281),1)*$H281),"")</f>
        <v/>
      </c>
      <c r="W281" s="30">
        <f>IFERROR(IF(V281=0,"",ROUNDUP(V281/H281,0)*0.00937),"")</f>
        <v/>
      </c>
      <c r="X281" s="31" t="inlineStr"/>
      <c r="Y281" s="32" t="inlineStr"/>
    </row>
    <row r="282">
      <c r="A282" s="3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77" t="n"/>
      <c r="M282" s="78" t="inlineStr">
        <is>
          <t>Итого</t>
        </is>
      </c>
      <c r="N282" s="79" t="n"/>
      <c r="O282" s="79" t="n"/>
      <c r="P282" s="79" t="n"/>
      <c r="Q282" s="79" t="n"/>
      <c r="R282" s="79" t="n"/>
      <c r="S282" s="80" t="n"/>
      <c r="T282" s="38" t="inlineStr">
        <is>
          <t>кор</t>
        </is>
      </c>
      <c r="U282" s="81">
        <f>IFERROR(U278/H278,"0")+IFERROR(U279/H279,"0")+IFERROR(U280/H280,"0")+IFERROR(U281/H281,"0")</f>
        <v/>
      </c>
      <c r="V282" s="81">
        <f>IFERROR(V278/H278,"0")+IFERROR(V279/H279,"0")+IFERROR(V280/H280,"0")+IFERROR(V281/H281,"0")</f>
        <v/>
      </c>
      <c r="W282" s="81">
        <f>IFERROR(IF(W278="",0,W278),"0")+IFERROR(IF(W279="",0,W279),"0")+IFERROR(IF(W280="",0,W280),"0")+IFERROR(IF(W281="",0,W281),"0")</f>
        <v/>
      </c>
      <c r="X282" s="82" t="n"/>
      <c r="Y282" s="82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77" t="n"/>
      <c r="M283" s="78" t="inlineStr">
        <is>
          <t>Итого</t>
        </is>
      </c>
      <c r="N283" s="79" t="n"/>
      <c r="O283" s="79" t="n"/>
      <c r="P283" s="79" t="n"/>
      <c r="Q283" s="79" t="n"/>
      <c r="R283" s="79" t="n"/>
      <c r="S283" s="80" t="n"/>
      <c r="T283" s="38" t="inlineStr">
        <is>
          <t>кг</t>
        </is>
      </c>
      <c r="U283" s="81">
        <f>IFERROR(SUM(U278:U281),"0")</f>
        <v/>
      </c>
      <c r="V283" s="81">
        <f>IFERROR(SUM(V278:V281),"0")</f>
        <v/>
      </c>
      <c r="W283" s="38" t="n"/>
      <c r="X283" s="82" t="n"/>
      <c r="Y283" s="82" t="n"/>
    </row>
    <row r="284">
      <c r="A284" s="16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6" t="n"/>
      <c r="Y284" s="16" t="n"/>
    </row>
    <row r="285">
      <c r="A285" s="17" t="inlineStr">
        <is>
          <t>SU002360</t>
        </is>
      </c>
      <c r="B285" s="17" t="inlineStr">
        <is>
          <t>P002629</t>
        </is>
      </c>
      <c r="C285" s="18" t="n">
        <v>4301031139</v>
      </c>
      <c r="D285" s="19" t="n">
        <v>4607091384802</v>
      </c>
      <c r="E285" s="71" t="n"/>
      <c r="F285" s="72" t="n">
        <v>0.73</v>
      </c>
      <c r="G285" s="21" t="n">
        <v>6</v>
      </c>
      <c r="H285" s="72" t="n">
        <v>4.38</v>
      </c>
      <c r="I285" s="72" t="n">
        <v>4.58</v>
      </c>
      <c r="J285" s="21" t="n">
        <v>156</v>
      </c>
      <c r="K285" s="22" t="inlineStr">
        <is>
          <t>СК2</t>
        </is>
      </c>
      <c r="L285" s="21" t="n">
        <v>35</v>
      </c>
      <c r="M285" s="8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285" s="74" t="n"/>
      <c r="O285" s="74" t="n"/>
      <c r="P285" s="74" t="n"/>
      <c r="Q285" s="71" t="n"/>
      <c r="R285" s="26" t="inlineStr"/>
      <c r="S285" s="26" t="inlineStr"/>
      <c r="T285" s="27" t="inlineStr">
        <is>
          <t>кг</t>
        </is>
      </c>
      <c r="U285" s="75" t="n">
        <v>0</v>
      </c>
      <c r="V285" s="76">
        <f>IFERROR(IF(U285="",0,CEILING((U285/$H285),1)*$H285),"")</f>
        <v/>
      </c>
      <c r="W285" s="30">
        <f>IFERROR(IF(V285=0,"",ROUNDUP(V285/H285,0)*0.00753),"")</f>
        <v/>
      </c>
      <c r="X285" s="31" t="inlineStr"/>
      <c r="Y285" s="32" t="inlineStr"/>
    </row>
    <row r="286">
      <c r="A286" s="17" t="inlineStr">
        <is>
          <t>SU002361</t>
        </is>
      </c>
      <c r="B286" s="17" t="inlineStr">
        <is>
          <t>P002630</t>
        </is>
      </c>
      <c r="C286" s="18" t="n">
        <v>4301031140</v>
      </c>
      <c r="D286" s="19" t="n">
        <v>4607091384826</v>
      </c>
      <c r="E286" s="71" t="n"/>
      <c r="F286" s="72" t="n">
        <v>0.35</v>
      </c>
      <c r="G286" s="21" t="n">
        <v>8</v>
      </c>
      <c r="H286" s="72" t="n">
        <v>2.8</v>
      </c>
      <c r="I286" s="72" t="n">
        <v>2.9</v>
      </c>
      <c r="J286" s="21" t="n">
        <v>234</v>
      </c>
      <c r="K286" s="22" t="inlineStr">
        <is>
          <t>СК2</t>
        </is>
      </c>
      <c r="L286" s="21" t="n">
        <v>35</v>
      </c>
      <c r="M286" s="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286" s="74" t="n"/>
      <c r="O286" s="74" t="n"/>
      <c r="P286" s="74" t="n"/>
      <c r="Q286" s="71" t="n"/>
      <c r="R286" s="26" t="inlineStr"/>
      <c r="S286" s="26" t="inlineStr"/>
      <c r="T286" s="27" t="inlineStr">
        <is>
          <t>кг</t>
        </is>
      </c>
      <c r="U286" s="75" t="n">
        <v>0</v>
      </c>
      <c r="V286" s="76">
        <f>IFERROR(IF(U286="",0,CEILING((U286/$H286),1)*$H286),"")</f>
        <v/>
      </c>
      <c r="W286" s="30">
        <f>IFERROR(IF(V286=0,"",ROUNDUP(V286/H286,0)*0.00502),"")</f>
        <v/>
      </c>
      <c r="X286" s="31" t="inlineStr"/>
      <c r="Y286" s="32" t="inlineStr"/>
    </row>
    <row r="287">
      <c r="A287" s="34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77" t="n"/>
      <c r="M287" s="78" t="inlineStr">
        <is>
          <t>Итого</t>
        </is>
      </c>
      <c r="N287" s="79" t="n"/>
      <c r="O287" s="79" t="n"/>
      <c r="P287" s="79" t="n"/>
      <c r="Q287" s="79" t="n"/>
      <c r="R287" s="79" t="n"/>
      <c r="S287" s="80" t="n"/>
      <c r="T287" s="38" t="inlineStr">
        <is>
          <t>кор</t>
        </is>
      </c>
      <c r="U287" s="81">
        <f>IFERROR(U285/H285,"0")+IFERROR(U286/H286,"0")</f>
        <v/>
      </c>
      <c r="V287" s="81">
        <f>IFERROR(V285/H285,"0")+IFERROR(V286/H286,"0")</f>
        <v/>
      </c>
      <c r="W287" s="81">
        <f>IFERROR(IF(W285="",0,W285),"0")+IFERROR(IF(W286="",0,W286),"0")</f>
        <v/>
      </c>
      <c r="X287" s="82" t="n"/>
      <c r="Y287" s="82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77" t="n"/>
      <c r="M288" s="78" t="inlineStr">
        <is>
          <t>Итого</t>
        </is>
      </c>
      <c r="N288" s="79" t="n"/>
      <c r="O288" s="79" t="n"/>
      <c r="P288" s="79" t="n"/>
      <c r="Q288" s="79" t="n"/>
      <c r="R288" s="79" t="n"/>
      <c r="S288" s="80" t="n"/>
      <c r="T288" s="38" t="inlineStr">
        <is>
          <t>кг</t>
        </is>
      </c>
      <c r="U288" s="81">
        <f>IFERROR(SUM(U285:U286),"0")</f>
        <v/>
      </c>
      <c r="V288" s="81">
        <f>IFERROR(SUM(V285:V286),"0")</f>
        <v/>
      </c>
      <c r="W288" s="38" t="n"/>
      <c r="X288" s="82" t="n"/>
      <c r="Y288" s="82" t="n"/>
    </row>
    <row r="289">
      <c r="A289" s="16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6" t="n"/>
      <c r="Y289" s="16" t="n"/>
    </row>
    <row r="290">
      <c r="A290" s="17" t="inlineStr">
        <is>
          <t>SU002074</t>
        </is>
      </c>
      <c r="B290" s="17" t="inlineStr">
        <is>
          <t>P002693</t>
        </is>
      </c>
      <c r="C290" s="18" t="n">
        <v>4301051303</v>
      </c>
      <c r="D290" s="19" t="n">
        <v>4607091384246</v>
      </c>
      <c r="E290" s="71" t="n"/>
      <c r="F290" s="72" t="n">
        <v>1.3</v>
      </c>
      <c r="G290" s="21" t="n">
        <v>6</v>
      </c>
      <c r="H290" s="72" t="n">
        <v>7.8</v>
      </c>
      <c r="I290" s="72" t="n">
        <v>8.364000000000001</v>
      </c>
      <c r="J290" s="21" t="n">
        <v>56</v>
      </c>
      <c r="K290" s="22" t="inlineStr">
        <is>
          <t>СК2</t>
        </is>
      </c>
      <c r="L290" s="21" t="n">
        <v>40</v>
      </c>
      <c r="M290" s="8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290" s="74" t="n"/>
      <c r="O290" s="74" t="n"/>
      <c r="P290" s="74" t="n"/>
      <c r="Q290" s="71" t="n"/>
      <c r="R290" s="26" t="inlineStr"/>
      <c r="S290" s="26" t="inlineStr"/>
      <c r="T290" s="27" t="inlineStr">
        <is>
          <t>кг</t>
        </is>
      </c>
      <c r="U290" s="75" t="n">
        <v>0</v>
      </c>
      <c r="V290" s="76">
        <f>IFERROR(IF(U290="",0,CEILING((U290/$H290),1)*$H290),"")</f>
        <v/>
      </c>
      <c r="W290" s="30">
        <f>IFERROR(IF(V290=0,"",ROUNDUP(V290/H290,0)*0.02175),"")</f>
        <v/>
      </c>
      <c r="X290" s="31" t="inlineStr"/>
      <c r="Y290" s="32" t="inlineStr"/>
    </row>
    <row r="291">
      <c r="A291" s="17" t="inlineStr">
        <is>
          <t>SU002896</t>
        </is>
      </c>
      <c r="B291" s="17" t="inlineStr">
        <is>
          <t>P003330</t>
        </is>
      </c>
      <c r="C291" s="18" t="n">
        <v>4301051445</v>
      </c>
      <c r="D291" s="19" t="n">
        <v>4680115881976</v>
      </c>
      <c r="E291" s="71" t="n"/>
      <c r="F291" s="72" t="n">
        <v>1.3</v>
      </c>
      <c r="G291" s="21" t="n">
        <v>6</v>
      </c>
      <c r="H291" s="72" t="n">
        <v>7.8</v>
      </c>
      <c r="I291" s="72" t="n">
        <v>8.279999999999999</v>
      </c>
      <c r="J291" s="21" t="n">
        <v>56</v>
      </c>
      <c r="K291" s="22" t="inlineStr">
        <is>
          <t>СК2</t>
        </is>
      </c>
      <c r="L291" s="21" t="n">
        <v>40</v>
      </c>
      <c r="M291" s="73" t="inlineStr">
        <is>
          <t>Сосиски "Сочные без свинины" Весовые ТМ "Особый рецепт" 1,3 кг</t>
        </is>
      </c>
      <c r="N291" s="74" t="n"/>
      <c r="O291" s="74" t="n"/>
      <c r="P291" s="74" t="n"/>
      <c r="Q291" s="71" t="n"/>
      <c r="R291" s="26" t="inlineStr"/>
      <c r="S291" s="26" t="inlineStr"/>
      <c r="T291" s="27" t="inlineStr">
        <is>
          <t>кг</t>
        </is>
      </c>
      <c r="U291" s="75" t="n">
        <v>0</v>
      </c>
      <c r="V291" s="76">
        <f>IFERROR(IF(U291="",0,CEILING((U291/$H291),1)*$H291),"")</f>
        <v/>
      </c>
      <c r="W291" s="30">
        <f>IFERROR(IF(V291=0,"",ROUNDUP(V291/H291,0)*0.02175),"")</f>
        <v/>
      </c>
      <c r="X291" s="31" t="inlineStr"/>
      <c r="Y291" s="32" t="inlineStr"/>
    </row>
    <row r="292">
      <c r="A292" s="17" t="inlineStr">
        <is>
          <t>SU002205</t>
        </is>
      </c>
      <c r="B292" s="17" t="inlineStr">
        <is>
          <t>P002694</t>
        </is>
      </c>
      <c r="C292" s="18" t="n">
        <v>4301051297</v>
      </c>
      <c r="D292" s="19" t="n">
        <v>4607091384253</v>
      </c>
      <c r="E292" s="71" t="n"/>
      <c r="F292" s="72" t="n">
        <v>0.4</v>
      </c>
      <c r="G292" s="21" t="n">
        <v>6</v>
      </c>
      <c r="H292" s="72" t="n">
        <v>2.4</v>
      </c>
      <c r="I292" s="72" t="n">
        <v>2.684</v>
      </c>
      <c r="J292" s="21" t="n">
        <v>156</v>
      </c>
      <c r="K292" s="22" t="inlineStr">
        <is>
          <t>СК2</t>
        </is>
      </c>
      <c r="L292" s="21" t="n">
        <v>40</v>
      </c>
      <c r="M292" s="8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292" s="74" t="n"/>
      <c r="O292" s="74" t="n"/>
      <c r="P292" s="74" t="n"/>
      <c r="Q292" s="71" t="n"/>
      <c r="R292" s="26" t="inlineStr"/>
      <c r="S292" s="26" t="inlineStr"/>
      <c r="T292" s="27" t="inlineStr">
        <is>
          <t>кг</t>
        </is>
      </c>
      <c r="U292" s="75" t="n">
        <v>0</v>
      </c>
      <c r="V292" s="76">
        <f>IFERROR(IF(U292="",0,CEILING((U292/$H292),1)*$H292),"")</f>
        <v/>
      </c>
      <c r="W292" s="30">
        <f>IFERROR(IF(V292=0,"",ROUNDUP(V292/H292,0)*0.00753),"")</f>
        <v/>
      </c>
      <c r="X292" s="31" t="inlineStr"/>
      <c r="Y292" s="32" t="inlineStr"/>
    </row>
    <row r="293">
      <c r="A293" s="17" t="inlineStr">
        <is>
          <t>SU002895</t>
        </is>
      </c>
      <c r="B293" s="17" t="inlineStr">
        <is>
          <t>P003329</t>
        </is>
      </c>
      <c r="C293" s="18" t="n">
        <v>4301051444</v>
      </c>
      <c r="D293" s="19" t="n">
        <v>4680115881969</v>
      </c>
      <c r="E293" s="71" t="n"/>
      <c r="F293" s="72" t="n">
        <v>0.4</v>
      </c>
      <c r="G293" s="21" t="n">
        <v>6</v>
      </c>
      <c r="H293" s="72" t="n">
        <v>2.4</v>
      </c>
      <c r="I293" s="72" t="n">
        <v>2.6</v>
      </c>
      <c r="J293" s="21" t="n">
        <v>156</v>
      </c>
      <c r="K293" s="22" t="inlineStr">
        <is>
          <t>СК2</t>
        </is>
      </c>
      <c r="L293" s="21" t="n">
        <v>40</v>
      </c>
      <c r="M293" s="73" t="inlineStr">
        <is>
          <t>Сосиски "Сочные без свинины" ф/в 0,4 кг ТМ "Особый рецепт"</t>
        </is>
      </c>
      <c r="N293" s="74" t="n"/>
      <c r="O293" s="74" t="n"/>
      <c r="P293" s="74" t="n"/>
      <c r="Q293" s="71" t="n"/>
      <c r="R293" s="26" t="inlineStr"/>
      <c r="S293" s="26" t="inlineStr"/>
      <c r="T293" s="27" t="inlineStr">
        <is>
          <t>кг</t>
        </is>
      </c>
      <c r="U293" s="75" t="n">
        <v>0</v>
      </c>
      <c r="V293" s="76">
        <f>IFERROR(IF(U293="",0,CEILING((U293/$H293),1)*$H293),"")</f>
        <v/>
      </c>
      <c r="W293" s="30">
        <f>IFERROR(IF(V293=0,"",ROUNDUP(V293/H293,0)*0.00753),"")</f>
        <v/>
      </c>
      <c r="X293" s="31" t="inlineStr"/>
      <c r="Y293" s="32" t="inlineStr"/>
    </row>
    <row r="294">
      <c r="A294" s="3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77" t="n"/>
      <c r="M294" s="78" t="inlineStr">
        <is>
          <t>Итого</t>
        </is>
      </c>
      <c r="N294" s="79" t="n"/>
      <c r="O294" s="79" t="n"/>
      <c r="P294" s="79" t="n"/>
      <c r="Q294" s="79" t="n"/>
      <c r="R294" s="79" t="n"/>
      <c r="S294" s="80" t="n"/>
      <c r="T294" s="38" t="inlineStr">
        <is>
          <t>кор</t>
        </is>
      </c>
      <c r="U294" s="81">
        <f>IFERROR(U290/H290,"0")+IFERROR(U291/H291,"0")+IFERROR(U292/H292,"0")+IFERROR(U293/H293,"0")</f>
        <v/>
      </c>
      <c r="V294" s="81">
        <f>IFERROR(V290/H290,"0")+IFERROR(V291/H291,"0")+IFERROR(V292/H292,"0")+IFERROR(V293/H293,"0")</f>
        <v/>
      </c>
      <c r="W294" s="81">
        <f>IFERROR(IF(W290="",0,W290),"0")+IFERROR(IF(W291="",0,W291),"0")+IFERROR(IF(W292="",0,W292),"0")+IFERROR(IF(W293="",0,W293),"0")</f>
        <v/>
      </c>
      <c r="X294" s="82" t="n"/>
      <c r="Y294" s="82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77" t="n"/>
      <c r="M295" s="78" t="inlineStr">
        <is>
          <t>Итого</t>
        </is>
      </c>
      <c r="N295" s="79" t="n"/>
      <c r="O295" s="79" t="n"/>
      <c r="P295" s="79" t="n"/>
      <c r="Q295" s="79" t="n"/>
      <c r="R295" s="79" t="n"/>
      <c r="S295" s="80" t="n"/>
      <c r="T295" s="38" t="inlineStr">
        <is>
          <t>кг</t>
        </is>
      </c>
      <c r="U295" s="81">
        <f>IFERROR(SUM(U290:U293),"0")</f>
        <v/>
      </c>
      <c r="V295" s="81">
        <f>IFERROR(SUM(V290:V293),"0")</f>
        <v/>
      </c>
      <c r="W295" s="38" t="n"/>
      <c r="X295" s="82" t="n"/>
      <c r="Y295" s="82" t="n"/>
    </row>
    <row r="296">
      <c r="A296" s="16" t="inlineStr">
        <is>
          <t>Сардельки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6" t="n"/>
      <c r="Y296" s="16" t="n"/>
    </row>
    <row r="297">
      <c r="A297" s="17" t="inlineStr">
        <is>
          <t>SU002472</t>
        </is>
      </c>
      <c r="B297" s="17" t="inlineStr">
        <is>
          <t>P002973</t>
        </is>
      </c>
      <c r="C297" s="18" t="n">
        <v>4301060322</v>
      </c>
      <c r="D297" s="19" t="n">
        <v>4607091389357</v>
      </c>
      <c r="E297" s="71" t="n"/>
      <c r="F297" s="72" t="n">
        <v>1.3</v>
      </c>
      <c r="G297" s="21" t="n">
        <v>6</v>
      </c>
      <c r="H297" s="72" t="n">
        <v>7.8</v>
      </c>
      <c r="I297" s="72" t="n">
        <v>8.279999999999999</v>
      </c>
      <c r="J297" s="21" t="n">
        <v>56</v>
      </c>
      <c r="K297" s="22" t="inlineStr">
        <is>
          <t>СК2</t>
        </is>
      </c>
      <c r="L297" s="21" t="n">
        <v>40</v>
      </c>
      <c r="M297" s="73" t="inlineStr">
        <is>
          <t>Сардельки Левантские Особая Без свинины Весовые NDX мгс Особый рецепт</t>
        </is>
      </c>
      <c r="N297" s="74" t="n"/>
      <c r="O297" s="74" t="n"/>
      <c r="P297" s="74" t="n"/>
      <c r="Q297" s="71" t="n"/>
      <c r="R297" s="26" t="inlineStr"/>
      <c r="S297" s="26" t="inlineStr"/>
      <c r="T297" s="27" t="inlineStr">
        <is>
          <t>кг</t>
        </is>
      </c>
      <c r="U297" s="75" t="n">
        <v>0</v>
      </c>
      <c r="V297" s="76">
        <f>IFERROR(IF(U297="",0,CEILING((U297/$H297),1)*$H297),"")</f>
        <v/>
      </c>
      <c r="W297" s="30">
        <f>IFERROR(IF(V297=0,"",ROUNDUP(V297/H297,0)*0.02175),"")</f>
        <v/>
      </c>
      <c r="X297" s="31" t="inlineStr"/>
      <c r="Y297" s="32" t="inlineStr"/>
    </row>
    <row r="298">
      <c r="A298" s="34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77" t="n"/>
      <c r="M298" s="78" t="inlineStr">
        <is>
          <t>Итого</t>
        </is>
      </c>
      <c r="N298" s="79" t="n"/>
      <c r="O298" s="79" t="n"/>
      <c r="P298" s="79" t="n"/>
      <c r="Q298" s="79" t="n"/>
      <c r="R298" s="79" t="n"/>
      <c r="S298" s="80" t="n"/>
      <c r="T298" s="38" t="inlineStr">
        <is>
          <t>кор</t>
        </is>
      </c>
      <c r="U298" s="81">
        <f>IFERROR(U297/H297,"0")</f>
        <v/>
      </c>
      <c r="V298" s="81">
        <f>IFERROR(V297/H297,"0")</f>
        <v/>
      </c>
      <c r="W298" s="81">
        <f>IFERROR(IF(W297="",0,W297),"0")</f>
        <v/>
      </c>
      <c r="X298" s="82" t="n"/>
      <c r="Y298" s="82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77" t="n"/>
      <c r="M299" s="78" t="inlineStr">
        <is>
          <t>Итого</t>
        </is>
      </c>
      <c r="N299" s="79" t="n"/>
      <c r="O299" s="79" t="n"/>
      <c r="P299" s="79" t="n"/>
      <c r="Q299" s="79" t="n"/>
      <c r="R299" s="79" t="n"/>
      <c r="S299" s="80" t="n"/>
      <c r="T299" s="38" t="inlineStr">
        <is>
          <t>кг</t>
        </is>
      </c>
      <c r="U299" s="81">
        <f>IFERROR(SUM(U297:U297),"0")</f>
        <v/>
      </c>
      <c r="V299" s="81">
        <f>IFERROR(SUM(V297:V297),"0")</f>
        <v/>
      </c>
      <c r="W299" s="38" t="n"/>
      <c r="X299" s="82" t="n"/>
      <c r="Y299" s="82" t="n"/>
    </row>
    <row r="300" ht="20.25" customHeight="1">
      <c r="A300" s="11" t="inlineStr">
        <is>
          <t>Баварушка</t>
        </is>
      </c>
      <c r="B300" s="70" t="n"/>
      <c r="C300" s="70" t="n"/>
      <c r="D300" s="70" t="n"/>
      <c r="E300" s="70" t="n"/>
      <c r="F300" s="70" t="n"/>
      <c r="G300" s="70" t="n"/>
      <c r="H300" s="70" t="n"/>
      <c r="I300" s="70" t="n"/>
      <c r="J300" s="70" t="n"/>
      <c r="K300" s="70" t="n"/>
      <c r="L300" s="70" t="n"/>
      <c r="M300" s="70" t="n"/>
      <c r="N300" s="70" t="n"/>
      <c r="O300" s="70" t="n"/>
      <c r="P300" s="70" t="n"/>
      <c r="Q300" s="70" t="n"/>
      <c r="R300" s="70" t="n"/>
      <c r="S300" s="70" t="n"/>
      <c r="T300" s="70" t="n"/>
      <c r="U300" s="70" t="n"/>
      <c r="V300" s="70" t="n"/>
      <c r="W300" s="70" t="n"/>
      <c r="X300" s="12" t="n"/>
      <c r="Y300" s="12" t="n"/>
    </row>
    <row r="301">
      <c r="A301" s="14" t="inlineStr">
        <is>
          <t>Филейбургская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4" t="n"/>
      <c r="Y301" s="14" t="n"/>
    </row>
    <row r="302">
      <c r="A302" s="16" t="inlineStr">
        <is>
          <t>Вареные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6" t="n"/>
      <c r="Y302" s="16" t="n"/>
    </row>
    <row r="303">
      <c r="A303" s="17" t="inlineStr">
        <is>
          <t>SU002477</t>
        </is>
      </c>
      <c r="B303" s="17" t="inlineStr">
        <is>
          <t>P003148</t>
        </is>
      </c>
      <c r="C303" s="18" t="n">
        <v>4301011428</v>
      </c>
      <c r="D303" s="19" t="n">
        <v>4607091389708</v>
      </c>
      <c r="E303" s="71" t="n"/>
      <c r="F303" s="72" t="n">
        <v>0.45</v>
      </c>
      <c r="G303" s="21" t="n">
        <v>6</v>
      </c>
      <c r="H303" s="72" t="n">
        <v>2.7</v>
      </c>
      <c r="I303" s="72" t="n">
        <v>2.9</v>
      </c>
      <c r="J303" s="21" t="n">
        <v>156</v>
      </c>
      <c r="K303" s="22" t="inlineStr">
        <is>
          <t>СК1</t>
        </is>
      </c>
      <c r="L303" s="21" t="n">
        <v>50</v>
      </c>
      <c r="M303" s="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03" s="74" t="n"/>
      <c r="O303" s="74" t="n"/>
      <c r="P303" s="74" t="n"/>
      <c r="Q303" s="71" t="n"/>
      <c r="R303" s="26" t="inlineStr"/>
      <c r="S303" s="26" t="inlineStr"/>
      <c r="T303" s="27" t="inlineStr">
        <is>
          <t>кг</t>
        </is>
      </c>
      <c r="U303" s="75" t="n">
        <v>0</v>
      </c>
      <c r="V303" s="76">
        <f>IFERROR(IF(U303="",0,CEILING((U303/$H303),1)*$H303),"")</f>
        <v/>
      </c>
      <c r="W303" s="30">
        <f>IFERROR(IF(V303=0,"",ROUNDUP(V303/H303,0)*0.00753),"")</f>
        <v/>
      </c>
      <c r="X303" s="31" t="inlineStr"/>
      <c r="Y303" s="32" t="inlineStr"/>
    </row>
    <row r="304">
      <c r="A304" s="17" t="inlineStr">
        <is>
          <t>SU002476</t>
        </is>
      </c>
      <c r="B304" s="17" t="inlineStr">
        <is>
          <t>P003147</t>
        </is>
      </c>
      <c r="C304" s="18" t="n">
        <v>4301011427</v>
      </c>
      <c r="D304" s="19" t="n">
        <v>4607091389692</v>
      </c>
      <c r="E304" s="71" t="n"/>
      <c r="F304" s="72" t="n">
        <v>0.45</v>
      </c>
      <c r="G304" s="21" t="n">
        <v>6</v>
      </c>
      <c r="H304" s="72" t="n">
        <v>2.7</v>
      </c>
      <c r="I304" s="72" t="n">
        <v>2.9</v>
      </c>
      <c r="J304" s="21" t="n">
        <v>156</v>
      </c>
      <c r="K304" s="22" t="inlineStr">
        <is>
          <t>СК1</t>
        </is>
      </c>
      <c r="L304" s="21" t="n">
        <v>50</v>
      </c>
      <c r="M304" s="73" t="inlineStr">
        <is>
          <t>Вареные колбасы Филейбургская Филейбургская Фикс.Вес 0,45 П/а Баварушка</t>
        </is>
      </c>
      <c r="N304" s="74" t="n"/>
      <c r="O304" s="74" t="n"/>
      <c r="P304" s="74" t="n"/>
      <c r="Q304" s="71" t="n"/>
      <c r="R304" s="26" t="inlineStr"/>
      <c r="S304" s="26" t="inlineStr"/>
      <c r="T304" s="27" t="inlineStr">
        <is>
          <t>кг</t>
        </is>
      </c>
      <c r="U304" s="75" t="n">
        <v>0</v>
      </c>
      <c r="V304" s="76">
        <f>IFERROR(IF(U304="",0,CEILING((U304/$H304),1)*$H304),"")</f>
        <v/>
      </c>
      <c r="W304" s="30">
        <f>IFERROR(IF(V304=0,"",ROUNDUP(V304/H304,0)*0.00753),"")</f>
        <v/>
      </c>
      <c r="X304" s="31" t="inlineStr"/>
      <c r="Y304" s="32" t="inlineStr"/>
    </row>
    <row r="305">
      <c r="A305" s="34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77" t="n"/>
      <c r="M305" s="78" t="inlineStr">
        <is>
          <t>Итого</t>
        </is>
      </c>
      <c r="N305" s="79" t="n"/>
      <c r="O305" s="79" t="n"/>
      <c r="P305" s="79" t="n"/>
      <c r="Q305" s="79" t="n"/>
      <c r="R305" s="79" t="n"/>
      <c r="S305" s="80" t="n"/>
      <c r="T305" s="38" t="inlineStr">
        <is>
          <t>кор</t>
        </is>
      </c>
      <c r="U305" s="81">
        <f>IFERROR(U303/H303,"0")+IFERROR(U304/H304,"0")</f>
        <v/>
      </c>
      <c r="V305" s="81">
        <f>IFERROR(V303/H303,"0")+IFERROR(V304/H304,"0")</f>
        <v/>
      </c>
      <c r="W305" s="81">
        <f>IFERROR(IF(W303="",0,W303),"0")+IFERROR(IF(W304="",0,W304),"0")</f>
        <v/>
      </c>
      <c r="X305" s="82" t="n"/>
      <c r="Y305" s="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77" t="n"/>
      <c r="M306" s="78" t="inlineStr">
        <is>
          <t>Итого</t>
        </is>
      </c>
      <c r="N306" s="79" t="n"/>
      <c r="O306" s="79" t="n"/>
      <c r="P306" s="79" t="n"/>
      <c r="Q306" s="79" t="n"/>
      <c r="R306" s="79" t="n"/>
      <c r="S306" s="80" t="n"/>
      <c r="T306" s="38" t="inlineStr">
        <is>
          <t>кг</t>
        </is>
      </c>
      <c r="U306" s="81">
        <f>IFERROR(SUM(U303:U304),"0")</f>
        <v/>
      </c>
      <c r="V306" s="81">
        <f>IFERROR(SUM(V303:V304),"0")</f>
        <v/>
      </c>
      <c r="W306" s="38" t="n"/>
      <c r="X306" s="82" t="n"/>
      <c r="Y306" s="82" t="n"/>
    </row>
    <row r="307">
      <c r="A307" s="16" t="inlineStr">
        <is>
          <t>Копченые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6" t="n"/>
      <c r="Y307" s="16" t="n"/>
    </row>
    <row r="308">
      <c r="A308" s="17" t="inlineStr">
        <is>
          <t>SU003035</t>
        </is>
      </c>
      <c r="B308" s="17" t="inlineStr">
        <is>
          <t>P003496</t>
        </is>
      </c>
      <c r="C308" s="18" t="n">
        <v>4301031236</v>
      </c>
      <c r="D308" s="19" t="n">
        <v>4680115882928</v>
      </c>
      <c r="E308" s="71" t="n"/>
      <c r="F308" s="72" t="n">
        <v>0.28</v>
      </c>
      <c r="G308" s="21" t="n">
        <v>6</v>
      </c>
      <c r="H308" s="72" t="n">
        <v>1.68</v>
      </c>
      <c r="I308" s="72" t="n">
        <v>2.6</v>
      </c>
      <c r="J308" s="21" t="n">
        <v>156</v>
      </c>
      <c r="K308" s="22" t="inlineStr">
        <is>
          <t>СК2</t>
        </is>
      </c>
      <c r="L308" s="21" t="n">
        <v>35</v>
      </c>
      <c r="M308" s="73" t="inlineStr">
        <is>
          <t>Копченые колбасы "Филейбурские с филе сочного окорока копченые" ф/в 0,28 б/о ТМ "Баварушка"</t>
        </is>
      </c>
      <c r="N308" s="74" t="n"/>
      <c r="O308" s="74" t="n"/>
      <c r="P308" s="74" t="n"/>
      <c r="Q308" s="71" t="n"/>
      <c r="R308" s="26" t="inlineStr"/>
      <c r="S308" s="26" t="inlineStr"/>
      <c r="T308" s="27" t="inlineStr">
        <is>
          <t>кг</t>
        </is>
      </c>
      <c r="U308" s="75" t="n">
        <v>0</v>
      </c>
      <c r="V308" s="76">
        <f>IFERROR(IF(U308="",0,CEILING((U308/$H308),1)*$H308),"")</f>
        <v/>
      </c>
      <c r="W308" s="30">
        <f>IFERROR(IF(V308=0,"",ROUNDUP(V308/H308,0)*0.00753),"")</f>
        <v/>
      </c>
      <c r="X308" s="31" t="inlineStr"/>
      <c r="Y308" s="32" t="inlineStr">
        <is>
          <t>Новинка</t>
        </is>
      </c>
    </row>
    <row r="309">
      <c r="A309" s="17" t="inlineStr">
        <is>
          <t>SU003083</t>
        </is>
      </c>
      <c r="B309" s="17" t="inlineStr">
        <is>
          <t>P003646</t>
        </is>
      </c>
      <c r="C309" s="18" t="n">
        <v>4301031257</v>
      </c>
      <c r="D309" s="19" t="n">
        <v>4680115883147</v>
      </c>
      <c r="E309" s="71" t="n"/>
      <c r="F309" s="72" t="n">
        <v>0.28</v>
      </c>
      <c r="G309" s="21" t="n">
        <v>6</v>
      </c>
      <c r="H309" s="72" t="n">
        <v>1.68</v>
      </c>
      <c r="I309" s="72" t="n">
        <v>1.81</v>
      </c>
      <c r="J309" s="21" t="n">
        <v>234</v>
      </c>
      <c r="K309" s="22" t="inlineStr">
        <is>
          <t>СК2</t>
        </is>
      </c>
      <c r="L309" s="21" t="n">
        <v>45</v>
      </c>
      <c r="M309" s="73" t="inlineStr">
        <is>
          <t>В/к колбасы "Салями Филейбургская зернистая" срез Фикс.вес 0,28 фиброуз ТМ "Баварушка"</t>
        </is>
      </c>
      <c r="N309" s="74" t="n"/>
      <c r="O309" s="74" t="n"/>
      <c r="P309" s="74" t="n"/>
      <c r="Q309" s="71" t="n"/>
      <c r="R309" s="26" t="inlineStr"/>
      <c r="S309" s="26" t="inlineStr"/>
      <c r="T309" s="27" t="inlineStr">
        <is>
          <t>кг</t>
        </is>
      </c>
      <c r="U309" s="75" t="n">
        <v>0</v>
      </c>
      <c r="V309" s="76">
        <f>IFERROR(IF(U309="",0,CEILING((U309/$H309),1)*$H309),"")</f>
        <v/>
      </c>
      <c r="W309" s="30">
        <f>IFERROR(IF(V309=0,"",ROUNDUP(V309/H309,0)*0.00502),"")</f>
        <v/>
      </c>
      <c r="X309" s="31" t="inlineStr"/>
      <c r="Y309" s="32" t="inlineStr">
        <is>
          <t>Новинка</t>
        </is>
      </c>
    </row>
    <row r="310">
      <c r="A310" s="17" t="inlineStr">
        <is>
          <t>SU003079</t>
        </is>
      </c>
      <c r="B310" s="17" t="inlineStr">
        <is>
          <t>P003643</t>
        </is>
      </c>
      <c r="C310" s="18" t="n">
        <v>4301031254</v>
      </c>
      <c r="D310" s="19" t="n">
        <v>4680115883154</v>
      </c>
      <c r="E310" s="71" t="n"/>
      <c r="F310" s="72" t="n">
        <v>0.28</v>
      </c>
      <c r="G310" s="21" t="n">
        <v>6</v>
      </c>
      <c r="H310" s="72" t="n">
        <v>1.68</v>
      </c>
      <c r="I310" s="72" t="n">
        <v>1.81</v>
      </c>
      <c r="J310" s="21" t="n">
        <v>234</v>
      </c>
      <c r="K310" s="22" t="inlineStr">
        <is>
          <t>СК2</t>
        </is>
      </c>
      <c r="L310" s="21" t="n">
        <v>45</v>
      </c>
      <c r="M310" s="73" t="inlineStr">
        <is>
          <t>В/к колбасы "Сервелат Филейбургский с ароматными пряностями" срез Фикс.вес 0,28 фиброуз ТМ "Баварушка"</t>
        </is>
      </c>
      <c r="N310" s="74" t="n"/>
      <c r="O310" s="74" t="n"/>
      <c r="P310" s="74" t="n"/>
      <c r="Q310" s="71" t="n"/>
      <c r="R310" s="26" t="inlineStr"/>
      <c r="S310" s="26" t="inlineStr"/>
      <c r="T310" s="27" t="inlineStr">
        <is>
          <t>кг</t>
        </is>
      </c>
      <c r="U310" s="75" t="n">
        <v>0</v>
      </c>
      <c r="V310" s="76">
        <f>IFERROR(IF(U310="",0,CEILING((U310/$H310),1)*$H310),"")</f>
        <v/>
      </c>
      <c r="W310" s="30">
        <f>IFERROR(IF(V310=0,"",ROUNDUP(V310/H310,0)*0.00502),"")</f>
        <v/>
      </c>
      <c r="X310" s="31" t="inlineStr"/>
      <c r="Y310" s="32" t="inlineStr">
        <is>
          <t>Новинка</t>
        </is>
      </c>
    </row>
    <row r="311">
      <c r="A311" s="17" t="inlineStr">
        <is>
          <t>SU003080</t>
        </is>
      </c>
      <c r="B311" s="17" t="inlineStr">
        <is>
          <t>P003647</t>
        </is>
      </c>
      <c r="C311" s="18" t="n">
        <v>4301031258</v>
      </c>
      <c r="D311" s="19" t="n">
        <v>4680115883161</v>
      </c>
      <c r="E311" s="71" t="n"/>
      <c r="F311" s="72" t="n">
        <v>0.28</v>
      </c>
      <c r="G311" s="21" t="n">
        <v>6</v>
      </c>
      <c r="H311" s="72" t="n">
        <v>1.68</v>
      </c>
      <c r="I311" s="72" t="n">
        <v>1.81</v>
      </c>
      <c r="J311" s="21" t="n">
        <v>234</v>
      </c>
      <c r="K311" s="22" t="inlineStr">
        <is>
          <t>СК2</t>
        </is>
      </c>
      <c r="L311" s="21" t="n">
        <v>45</v>
      </c>
      <c r="M311" s="73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11" s="74" t="n"/>
      <c r="O311" s="74" t="n"/>
      <c r="P311" s="74" t="n"/>
      <c r="Q311" s="71" t="n"/>
      <c r="R311" s="26" t="inlineStr"/>
      <c r="S311" s="26" t="inlineStr"/>
      <c r="T311" s="27" t="inlineStr">
        <is>
          <t>кг</t>
        </is>
      </c>
      <c r="U311" s="75" t="n">
        <v>0</v>
      </c>
      <c r="V311" s="76">
        <f>IFERROR(IF(U311="",0,CEILING((U311/$H311),1)*$H311),"")</f>
        <v/>
      </c>
      <c r="W311" s="30">
        <f>IFERROR(IF(V311=0,"",ROUNDUP(V311/H311,0)*0.00502),"")</f>
        <v/>
      </c>
      <c r="X311" s="31" t="inlineStr"/>
      <c r="Y311" s="32" t="inlineStr">
        <is>
          <t>Новинка</t>
        </is>
      </c>
    </row>
    <row r="312">
      <c r="A312" s="17" t="inlineStr">
        <is>
          <t>SU003081</t>
        </is>
      </c>
      <c r="B312" s="17" t="inlineStr">
        <is>
          <t>P003645</t>
        </is>
      </c>
      <c r="C312" s="18" t="n">
        <v>4301031256</v>
      </c>
      <c r="D312" s="19" t="n">
        <v>4680115883178</v>
      </c>
      <c r="E312" s="71" t="n"/>
      <c r="F312" s="72" t="n">
        <v>0.28</v>
      </c>
      <c r="G312" s="21" t="n">
        <v>6</v>
      </c>
      <c r="H312" s="72" t="n">
        <v>1.68</v>
      </c>
      <c r="I312" s="72" t="n">
        <v>1.81</v>
      </c>
      <c r="J312" s="21" t="n">
        <v>234</v>
      </c>
      <c r="K312" s="22" t="inlineStr">
        <is>
          <t>СК2</t>
        </is>
      </c>
      <c r="L312" s="21" t="n">
        <v>45</v>
      </c>
      <c r="M312" s="73" t="inlineStr">
        <is>
          <t>В/к колбасы "Сервелат Филейбургский с филе сочного окорока" срез Фикс.вес 0,28 Фиброуз в/у ТМ "Баварушка"</t>
        </is>
      </c>
      <c r="N312" s="74" t="n"/>
      <c r="O312" s="74" t="n"/>
      <c r="P312" s="74" t="n"/>
      <c r="Q312" s="71" t="n"/>
      <c r="R312" s="26" t="inlineStr"/>
      <c r="S312" s="26" t="inlineStr"/>
      <c r="T312" s="27" t="inlineStr">
        <is>
          <t>кг</t>
        </is>
      </c>
      <c r="U312" s="75" t="n">
        <v>0</v>
      </c>
      <c r="V312" s="76">
        <f>IFERROR(IF(U312="",0,CEILING((U312/$H312),1)*$H312),"")</f>
        <v/>
      </c>
      <c r="W312" s="30">
        <f>IFERROR(IF(V312=0,"",ROUNDUP(V312/H312,0)*0.00502),"")</f>
        <v/>
      </c>
      <c r="X312" s="31" t="inlineStr"/>
      <c r="Y312" s="32" t="inlineStr">
        <is>
          <t>Новинка</t>
        </is>
      </c>
    </row>
    <row r="313">
      <c r="A313" s="17" t="inlineStr">
        <is>
          <t>SU003082</t>
        </is>
      </c>
      <c r="B313" s="17" t="inlineStr">
        <is>
          <t>P003644</t>
        </is>
      </c>
      <c r="C313" s="18" t="n">
        <v>4301031255</v>
      </c>
      <c r="D313" s="19" t="n">
        <v>4680115883185</v>
      </c>
      <c r="E313" s="71" t="n"/>
      <c r="F313" s="72" t="n">
        <v>0.28</v>
      </c>
      <c r="G313" s="21" t="n">
        <v>6</v>
      </c>
      <c r="H313" s="72" t="n">
        <v>1.68</v>
      </c>
      <c r="I313" s="72" t="n">
        <v>1.81</v>
      </c>
      <c r="J313" s="21" t="n">
        <v>234</v>
      </c>
      <c r="K313" s="22" t="inlineStr">
        <is>
          <t>СК2</t>
        </is>
      </c>
      <c r="L313" s="21" t="n">
        <v>45</v>
      </c>
      <c r="M313" s="73" t="inlineStr">
        <is>
          <t>В/к колбасы "Филейбургская с душистым чесноком" срез Фикс.вес 0,28 фиброуз в/у Баварушка</t>
        </is>
      </c>
      <c r="N313" s="74" t="n"/>
      <c r="O313" s="74" t="n"/>
      <c r="P313" s="74" t="n"/>
      <c r="Q313" s="71" t="n"/>
      <c r="R313" s="26" t="inlineStr"/>
      <c r="S313" s="26" t="inlineStr"/>
      <c r="T313" s="27" t="inlineStr">
        <is>
          <t>кг</t>
        </is>
      </c>
      <c r="U313" s="75" t="n">
        <v>0</v>
      </c>
      <c r="V313" s="76">
        <f>IFERROR(IF(U313="",0,CEILING((U313/$H313),1)*$H313),"")</f>
        <v/>
      </c>
      <c r="W313" s="30">
        <f>IFERROR(IF(V313=0,"",ROUNDUP(V313/H313,0)*0.00502),"")</f>
        <v/>
      </c>
      <c r="X313" s="31" t="inlineStr"/>
      <c r="Y313" s="32" t="inlineStr">
        <is>
          <t>Новинка</t>
        </is>
      </c>
    </row>
    <row r="314">
      <c r="A314" s="17" t="inlineStr">
        <is>
          <t>SU002614</t>
        </is>
      </c>
      <c r="B314" s="17" t="inlineStr">
        <is>
          <t>P003138</t>
        </is>
      </c>
      <c r="C314" s="18" t="n">
        <v>4301031177</v>
      </c>
      <c r="D314" s="19" t="n">
        <v>4607091389753</v>
      </c>
      <c r="E314" s="71" t="n"/>
      <c r="F314" s="72" t="n">
        <v>0.7</v>
      </c>
      <c r="G314" s="21" t="n">
        <v>6</v>
      </c>
      <c r="H314" s="72" t="n">
        <v>4.2</v>
      </c>
      <c r="I314" s="72" t="n">
        <v>4.43</v>
      </c>
      <c r="J314" s="21" t="n">
        <v>156</v>
      </c>
      <c r="K314" s="22" t="inlineStr">
        <is>
          <t>СК2</t>
        </is>
      </c>
      <c r="L314" s="21" t="n">
        <v>45</v>
      </c>
      <c r="M314" s="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14" s="74" t="n"/>
      <c r="O314" s="74" t="n"/>
      <c r="P314" s="74" t="n"/>
      <c r="Q314" s="71" t="n"/>
      <c r="R314" s="26" t="inlineStr"/>
      <c r="S314" s="26" t="inlineStr"/>
      <c r="T314" s="27" t="inlineStr">
        <is>
          <t>кг</t>
        </is>
      </c>
      <c r="U314" s="75" t="n">
        <v>0</v>
      </c>
      <c r="V314" s="76">
        <f>IFERROR(IF(U314="",0,CEILING((U314/$H314),1)*$H314),"")</f>
        <v/>
      </c>
      <c r="W314" s="30">
        <f>IFERROR(IF(V314=0,"",ROUNDUP(V314/H314,0)*0.00753),"")</f>
        <v/>
      </c>
      <c r="X314" s="31" t="inlineStr"/>
      <c r="Y314" s="32" t="inlineStr"/>
    </row>
    <row r="315">
      <c r="A315" s="17" t="inlineStr">
        <is>
          <t>SU002615</t>
        </is>
      </c>
      <c r="B315" s="17" t="inlineStr">
        <is>
          <t>P003136</t>
        </is>
      </c>
      <c r="C315" s="18" t="n">
        <v>4301031174</v>
      </c>
      <c r="D315" s="19" t="n">
        <v>4607091389760</v>
      </c>
      <c r="E315" s="71" t="n"/>
      <c r="F315" s="72" t="n">
        <v>0.7</v>
      </c>
      <c r="G315" s="21" t="n">
        <v>6</v>
      </c>
      <c r="H315" s="72" t="n">
        <v>4.2</v>
      </c>
      <c r="I315" s="72" t="n">
        <v>4.43</v>
      </c>
      <c r="J315" s="21" t="n">
        <v>156</v>
      </c>
      <c r="K315" s="22" t="inlineStr">
        <is>
          <t>СК2</t>
        </is>
      </c>
      <c r="L315" s="21" t="n">
        <v>45</v>
      </c>
      <c r="M315" s="8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15" s="74" t="n"/>
      <c r="O315" s="74" t="n"/>
      <c r="P315" s="74" t="n"/>
      <c r="Q315" s="71" t="n"/>
      <c r="R315" s="26" t="inlineStr"/>
      <c r="S315" s="26" t="inlineStr"/>
      <c r="T315" s="27" t="inlineStr">
        <is>
          <t>кг</t>
        </is>
      </c>
      <c r="U315" s="75" t="n">
        <v>0</v>
      </c>
      <c r="V315" s="76">
        <f>IFERROR(IF(U315="",0,CEILING((U315/$H315),1)*$H315),"")</f>
        <v/>
      </c>
      <c r="W315" s="30">
        <f>IFERROR(IF(V315=0,"",ROUNDUP(V315/H315,0)*0.00753),"")</f>
        <v/>
      </c>
      <c r="X315" s="31" t="inlineStr"/>
      <c r="Y315" s="32" t="inlineStr"/>
    </row>
    <row r="316">
      <c r="A316" s="17" t="inlineStr">
        <is>
          <t>SU002613</t>
        </is>
      </c>
      <c r="B316" s="17" t="inlineStr">
        <is>
          <t>P003133</t>
        </is>
      </c>
      <c r="C316" s="18" t="n">
        <v>4301031175</v>
      </c>
      <c r="D316" s="19" t="n">
        <v>4607091389746</v>
      </c>
      <c r="E316" s="71" t="n"/>
      <c r="F316" s="72" t="n">
        <v>0.7</v>
      </c>
      <c r="G316" s="21" t="n">
        <v>6</v>
      </c>
      <c r="H316" s="72" t="n">
        <v>4.2</v>
      </c>
      <c r="I316" s="72" t="n">
        <v>4.43</v>
      </c>
      <c r="J316" s="21" t="n">
        <v>156</v>
      </c>
      <c r="K316" s="22" t="inlineStr">
        <is>
          <t>СК2</t>
        </is>
      </c>
      <c r="L316" s="21" t="n">
        <v>45</v>
      </c>
      <c r="M316" s="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16" s="74" t="n"/>
      <c r="O316" s="74" t="n"/>
      <c r="P316" s="74" t="n"/>
      <c r="Q316" s="71" t="n"/>
      <c r="R316" s="26" t="inlineStr"/>
      <c r="S316" s="26" t="inlineStr"/>
      <c r="T316" s="27" t="inlineStr">
        <is>
          <t>кг</t>
        </is>
      </c>
      <c r="U316" s="75" t="n">
        <v>0</v>
      </c>
      <c r="V316" s="76">
        <f>IFERROR(IF(U316="",0,CEILING((U316/$H316),1)*$H316),"")</f>
        <v/>
      </c>
      <c r="W316" s="30">
        <f>IFERROR(IF(V316=0,"",ROUNDUP(V316/H316,0)*0.00753),"")</f>
        <v/>
      </c>
      <c r="X316" s="31" t="inlineStr"/>
      <c r="Y316" s="32" t="inlineStr"/>
    </row>
    <row r="317">
      <c r="A317" s="17" t="inlineStr">
        <is>
          <t>SU002538</t>
        </is>
      </c>
      <c r="B317" s="17" t="inlineStr">
        <is>
          <t>P003139</t>
        </is>
      </c>
      <c r="C317" s="18" t="n">
        <v>4301031178</v>
      </c>
      <c r="D317" s="19" t="n">
        <v>4607091384338</v>
      </c>
      <c r="E317" s="71" t="n"/>
      <c r="F317" s="72" t="n">
        <v>0.35</v>
      </c>
      <c r="G317" s="21" t="n">
        <v>6</v>
      </c>
      <c r="H317" s="72" t="n">
        <v>2.1</v>
      </c>
      <c r="I317" s="72" t="n">
        <v>2.23</v>
      </c>
      <c r="J317" s="21" t="n">
        <v>234</v>
      </c>
      <c r="K317" s="22" t="inlineStr">
        <is>
          <t>СК2</t>
        </is>
      </c>
      <c r="L317" s="21" t="n">
        <v>45</v>
      </c>
      <c r="M317" s="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17" s="74" t="n"/>
      <c r="O317" s="74" t="n"/>
      <c r="P317" s="74" t="n"/>
      <c r="Q317" s="71" t="n"/>
      <c r="R317" s="26" t="inlineStr"/>
      <c r="S317" s="26" t="inlineStr"/>
      <c r="T317" s="27" t="inlineStr">
        <is>
          <t>кг</t>
        </is>
      </c>
      <c r="U317" s="75" t="n">
        <v>0</v>
      </c>
      <c r="V317" s="76">
        <f>IFERROR(IF(U317="",0,CEILING((U317/$H317),1)*$H317),"")</f>
        <v/>
      </c>
      <c r="W317" s="30">
        <f>IFERROR(IF(V317=0,"",ROUNDUP(V317/H317,0)*0.00502),"")</f>
        <v/>
      </c>
      <c r="X317" s="31" t="inlineStr"/>
      <c r="Y317" s="32" t="inlineStr"/>
    </row>
    <row r="318">
      <c r="A318" s="17" t="inlineStr">
        <is>
          <t>SU002602</t>
        </is>
      </c>
      <c r="B318" s="17" t="inlineStr">
        <is>
          <t>P003132</t>
        </is>
      </c>
      <c r="C318" s="18" t="n">
        <v>4301031171</v>
      </c>
      <c r="D318" s="19" t="n">
        <v>4607091389524</v>
      </c>
      <c r="E318" s="71" t="n"/>
      <c r="F318" s="72" t="n">
        <v>0.35</v>
      </c>
      <c r="G318" s="21" t="n">
        <v>6</v>
      </c>
      <c r="H318" s="72" t="n">
        <v>2.1</v>
      </c>
      <c r="I318" s="72" t="n">
        <v>2.23</v>
      </c>
      <c r="J318" s="21" t="n">
        <v>234</v>
      </c>
      <c r="K318" s="22" t="inlineStr">
        <is>
          <t>СК2</t>
        </is>
      </c>
      <c r="L318" s="21" t="n">
        <v>45</v>
      </c>
      <c r="M318" s="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18" s="74" t="n"/>
      <c r="O318" s="74" t="n"/>
      <c r="P318" s="74" t="n"/>
      <c r="Q318" s="71" t="n"/>
      <c r="R318" s="26" t="inlineStr"/>
      <c r="S318" s="26" t="inlineStr"/>
      <c r="T318" s="27" t="inlineStr">
        <is>
          <t>кг</t>
        </is>
      </c>
      <c r="U318" s="75" t="n">
        <v>0</v>
      </c>
      <c r="V318" s="76">
        <f>IFERROR(IF(U318="",0,CEILING((U318/$H318),1)*$H318),"")</f>
        <v/>
      </c>
      <c r="W318" s="30">
        <f>IFERROR(IF(V318=0,"",ROUNDUP(V318/H318,0)*0.00502),"")</f>
        <v/>
      </c>
      <c r="X318" s="31" t="inlineStr"/>
      <c r="Y318" s="32" t="inlineStr"/>
    </row>
    <row r="319">
      <c r="A319" s="17" t="inlineStr">
        <is>
          <t>SU002603</t>
        </is>
      </c>
      <c r="B319" s="17" t="inlineStr">
        <is>
          <t>P003131</t>
        </is>
      </c>
      <c r="C319" s="18" t="n">
        <v>4301031170</v>
      </c>
      <c r="D319" s="19" t="n">
        <v>4607091384345</v>
      </c>
      <c r="E319" s="71" t="n"/>
      <c r="F319" s="72" t="n">
        <v>0.35</v>
      </c>
      <c r="G319" s="21" t="n">
        <v>6</v>
      </c>
      <c r="H319" s="72" t="n">
        <v>2.1</v>
      </c>
      <c r="I319" s="72" t="n">
        <v>2.23</v>
      </c>
      <c r="J319" s="21" t="n">
        <v>234</v>
      </c>
      <c r="K319" s="22" t="inlineStr">
        <is>
          <t>СК2</t>
        </is>
      </c>
      <c r="L319" s="21" t="n">
        <v>45</v>
      </c>
      <c r="M319" s="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19" s="74" t="n"/>
      <c r="O319" s="74" t="n"/>
      <c r="P319" s="74" t="n"/>
      <c r="Q319" s="71" t="n"/>
      <c r="R319" s="26" t="inlineStr"/>
      <c r="S319" s="26" t="inlineStr"/>
      <c r="T319" s="27" t="inlineStr">
        <is>
          <t>кг</t>
        </is>
      </c>
      <c r="U319" s="75" t="n">
        <v>0</v>
      </c>
      <c r="V319" s="76">
        <f>IFERROR(IF(U319="",0,CEILING((U319/$H319),1)*$H319),"")</f>
        <v/>
      </c>
      <c r="W319" s="30">
        <f>IFERROR(IF(V319=0,"",ROUNDUP(V319/H319,0)*0.00502),"")</f>
        <v/>
      </c>
      <c r="X319" s="31" t="inlineStr"/>
      <c r="Y319" s="32" t="inlineStr"/>
    </row>
    <row r="320">
      <c r="A320" s="17" t="inlineStr">
        <is>
          <t>SU002606</t>
        </is>
      </c>
      <c r="B320" s="17" t="inlineStr">
        <is>
          <t>P003134</t>
        </is>
      </c>
      <c r="C320" s="18" t="n">
        <v>4301031172</v>
      </c>
      <c r="D320" s="19" t="n">
        <v>4607091389531</v>
      </c>
      <c r="E320" s="71" t="n"/>
      <c r="F320" s="72" t="n">
        <v>0.35</v>
      </c>
      <c r="G320" s="21" t="n">
        <v>6</v>
      </c>
      <c r="H320" s="72" t="n">
        <v>2.1</v>
      </c>
      <c r="I320" s="72" t="n">
        <v>2.23</v>
      </c>
      <c r="J320" s="21" t="n">
        <v>234</v>
      </c>
      <c r="K320" s="22" t="inlineStr">
        <is>
          <t>СК2</t>
        </is>
      </c>
      <c r="L320" s="21" t="n">
        <v>45</v>
      </c>
      <c r="M320" s="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0" s="74" t="n"/>
      <c r="O320" s="74" t="n"/>
      <c r="P320" s="74" t="n"/>
      <c r="Q320" s="71" t="n"/>
      <c r="R320" s="26" t="inlineStr"/>
      <c r="S320" s="26" t="inlineStr"/>
      <c r="T320" s="27" t="inlineStr">
        <is>
          <t>кг</t>
        </is>
      </c>
      <c r="U320" s="75" t="n">
        <v>0</v>
      </c>
      <c r="V320" s="76">
        <f>IFERROR(IF(U320="",0,CEILING((U320/$H320),1)*$H320),"")</f>
        <v/>
      </c>
      <c r="W320" s="30">
        <f>IFERROR(IF(V320=0,"",ROUNDUP(V320/H320,0)*0.00502),"")</f>
        <v/>
      </c>
      <c r="X320" s="31" t="inlineStr"/>
      <c r="Y320" s="32" t="inlineStr"/>
    </row>
    <row r="321">
      <c r="A321" s="34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77" t="n"/>
      <c r="M321" s="78" t="inlineStr">
        <is>
          <t>Итого</t>
        </is>
      </c>
      <c r="N321" s="79" t="n"/>
      <c r="O321" s="79" t="n"/>
      <c r="P321" s="79" t="n"/>
      <c r="Q321" s="79" t="n"/>
      <c r="R321" s="79" t="n"/>
      <c r="S321" s="80" t="n"/>
      <c r="T321" s="38" t="inlineStr">
        <is>
          <t>кор</t>
        </is>
      </c>
      <c r="U321" s="81">
        <f>IFERROR(U308/H308,"0")+IFERROR(U309/H309,"0")+IFERROR(U310/H310,"0")+IFERROR(U311/H311,"0")+IFERROR(U312/H312,"0")+IFERROR(U313/H313,"0")+IFERROR(U314/H314,"0")+IFERROR(U315/H315,"0")+IFERROR(U316/H316,"0")+IFERROR(U317/H317,"0")+IFERROR(U318/H318,"0")+IFERROR(U319/H319,"0")+IFERROR(U320/H320,"0")</f>
        <v/>
      </c>
      <c r="V321" s="81">
        <f>IFERROR(V308/H308,"0")+IFERROR(V309/H309,"0")+IFERROR(V310/H310,"0")+IFERROR(V311/H311,"0")+IFERROR(V312/H312,"0")+IFERROR(V313/H313,"0")+IFERROR(V314/H314,"0")+IFERROR(V315/H315,"0")+IFERROR(V316/H316,"0")+IFERROR(V317/H317,"0")+IFERROR(V318/H318,"0")+IFERROR(V319/H319,"0")+IFERROR(V320/H320,"0")</f>
        <v/>
      </c>
      <c r="W321" s="81">
        <f>IFERROR(IF(W308="",0,W308),"0")+IFERROR(IF(W309="",0,W309),"0")+IFERROR(IF(W310="",0,W310),"0")+IFERROR(IF(W311="",0,W311),"0")+IFERROR(IF(W312="",0,W312),"0")+IFERROR(IF(W313="",0,W313),"0")+IFERROR(IF(W314="",0,W314),"0")+IFERROR(IF(W315="",0,W315),"0")+IFERROR(IF(W316="",0,W316),"0")+IFERROR(IF(W317="",0,W317),"0")+IFERROR(IF(W318="",0,W318),"0")+IFERROR(IF(W319="",0,W319),"0")+IFERROR(IF(W320="",0,W320),"0")</f>
        <v/>
      </c>
      <c r="X321" s="82" t="n"/>
      <c r="Y321" s="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77" t="n"/>
      <c r="M322" s="78" t="inlineStr">
        <is>
          <t>Итого</t>
        </is>
      </c>
      <c r="N322" s="79" t="n"/>
      <c r="O322" s="79" t="n"/>
      <c r="P322" s="79" t="n"/>
      <c r="Q322" s="79" t="n"/>
      <c r="R322" s="79" t="n"/>
      <c r="S322" s="80" t="n"/>
      <c r="T322" s="38" t="inlineStr">
        <is>
          <t>кг</t>
        </is>
      </c>
      <c r="U322" s="81">
        <f>IFERROR(SUM(U308:U320),"0")</f>
        <v/>
      </c>
      <c r="V322" s="81">
        <f>IFERROR(SUM(V308:V320),"0")</f>
        <v/>
      </c>
      <c r="W322" s="38" t="n"/>
      <c r="X322" s="82" t="n"/>
      <c r="Y322" s="82" t="n"/>
    </row>
    <row r="323">
      <c r="A323" s="16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6" t="n"/>
      <c r="Y323" s="16" t="n"/>
    </row>
    <row r="324">
      <c r="A324" s="17" t="inlineStr">
        <is>
          <t>SU002448</t>
        </is>
      </c>
      <c r="B324" s="17" t="inlineStr">
        <is>
          <t>P002914</t>
        </is>
      </c>
      <c r="C324" s="18" t="n">
        <v>4301051258</v>
      </c>
      <c r="D324" s="19" t="n">
        <v>4607091389685</v>
      </c>
      <c r="E324" s="71" t="n"/>
      <c r="F324" s="72" t="n">
        <v>1.3</v>
      </c>
      <c r="G324" s="21" t="n">
        <v>6</v>
      </c>
      <c r="H324" s="72" t="n">
        <v>7.8</v>
      </c>
      <c r="I324" s="72" t="n">
        <v>8.346</v>
      </c>
      <c r="J324" s="21" t="n">
        <v>56</v>
      </c>
      <c r="K324" s="22" t="inlineStr">
        <is>
          <t>СК3</t>
        </is>
      </c>
      <c r="L324" s="21" t="n">
        <v>45</v>
      </c>
      <c r="M324" s="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24" s="74" t="n"/>
      <c r="O324" s="74" t="n"/>
      <c r="P324" s="74" t="n"/>
      <c r="Q324" s="71" t="n"/>
      <c r="R324" s="26" t="inlineStr"/>
      <c r="S324" s="26" t="inlineStr"/>
      <c r="T324" s="27" t="inlineStr">
        <is>
          <t>кг</t>
        </is>
      </c>
      <c r="U324" s="75" t="n">
        <v>0</v>
      </c>
      <c r="V324" s="76">
        <f>IFERROR(IF(U324="",0,CEILING((U324/$H324),1)*$H324),"")</f>
        <v/>
      </c>
      <c r="W324" s="30">
        <f>IFERROR(IF(V324=0,"",ROUNDUP(V324/H324,0)*0.02175),"")</f>
        <v/>
      </c>
      <c r="X324" s="31" t="inlineStr"/>
      <c r="Y324" s="32" t="inlineStr"/>
    </row>
    <row r="325">
      <c r="A325" s="17" t="inlineStr">
        <is>
          <t>SU002557</t>
        </is>
      </c>
      <c r="B325" s="17" t="inlineStr">
        <is>
          <t>P003318</t>
        </is>
      </c>
      <c r="C325" s="18" t="n">
        <v>4301051431</v>
      </c>
      <c r="D325" s="19" t="n">
        <v>4607091389654</v>
      </c>
      <c r="E325" s="71" t="n"/>
      <c r="F325" s="72" t="n">
        <v>0.33</v>
      </c>
      <c r="G325" s="21" t="n">
        <v>6</v>
      </c>
      <c r="H325" s="72" t="n">
        <v>1.98</v>
      </c>
      <c r="I325" s="72" t="n">
        <v>2.258</v>
      </c>
      <c r="J325" s="21" t="n">
        <v>156</v>
      </c>
      <c r="K325" s="22" t="inlineStr">
        <is>
          <t>СК3</t>
        </is>
      </c>
      <c r="L325" s="21" t="n">
        <v>45</v>
      </c>
      <c r="M325" s="73" t="inlineStr">
        <is>
          <t>Сосиски Баварушки (с грудкой ГОСТ 31962-2013) Филейбургская Фикс.вес 0,33 П/а мгс Баварушка</t>
        </is>
      </c>
      <c r="N325" s="74" t="n"/>
      <c r="O325" s="74" t="n"/>
      <c r="P325" s="74" t="n"/>
      <c r="Q325" s="71" t="n"/>
      <c r="R325" s="26" t="inlineStr"/>
      <c r="S325" s="26" t="inlineStr"/>
      <c r="T325" s="27" t="inlineStr">
        <is>
          <t>кг</t>
        </is>
      </c>
      <c r="U325" s="75" t="n">
        <v>0</v>
      </c>
      <c r="V325" s="76">
        <f>IFERROR(IF(U325="",0,CEILING((U325/$H325),1)*$H325),"")</f>
        <v/>
      </c>
      <c r="W325" s="30">
        <f>IFERROR(IF(V325=0,"",ROUNDUP(V325/H325,0)*0.00753),"")</f>
        <v/>
      </c>
      <c r="X325" s="31" t="inlineStr"/>
      <c r="Y325" s="32" t="inlineStr"/>
    </row>
    <row r="326">
      <c r="A326" s="17" t="inlineStr">
        <is>
          <t>SU002285</t>
        </is>
      </c>
      <c r="B326" s="17" t="inlineStr">
        <is>
          <t>P002969</t>
        </is>
      </c>
      <c r="C326" s="18" t="n">
        <v>4301051284</v>
      </c>
      <c r="D326" s="19" t="n">
        <v>4607091384352</v>
      </c>
      <c r="E326" s="71" t="n"/>
      <c r="F326" s="72" t="n">
        <v>0.6</v>
      </c>
      <c r="G326" s="21" t="n">
        <v>4</v>
      </c>
      <c r="H326" s="72" t="n">
        <v>2.4</v>
      </c>
      <c r="I326" s="72" t="n">
        <v>2.646</v>
      </c>
      <c r="J326" s="21" t="n">
        <v>120</v>
      </c>
      <c r="K326" s="22" t="inlineStr">
        <is>
          <t>СК3</t>
        </is>
      </c>
      <c r="L326" s="21" t="n">
        <v>45</v>
      </c>
      <c r="M326" s="8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26" s="74" t="n"/>
      <c r="O326" s="74" t="n"/>
      <c r="P326" s="74" t="n"/>
      <c r="Q326" s="71" t="n"/>
      <c r="R326" s="26" t="inlineStr"/>
      <c r="S326" s="26" t="inlineStr"/>
      <c r="T326" s="27" t="inlineStr">
        <is>
          <t>кг</t>
        </is>
      </c>
      <c r="U326" s="75" t="n">
        <v>0</v>
      </c>
      <c r="V326" s="76">
        <f>IFERROR(IF(U326="",0,CEILING((U326/$H326),1)*$H326),"")</f>
        <v/>
      </c>
      <c r="W326" s="30">
        <f>IFERROR(IF(V326=0,"",ROUNDUP(V326/H326,0)*0.00937),"")</f>
        <v/>
      </c>
      <c r="X326" s="31" t="inlineStr"/>
      <c r="Y326" s="32" t="inlineStr"/>
    </row>
    <row r="327">
      <c r="A327" s="17" t="inlineStr">
        <is>
          <t>SU002419</t>
        </is>
      </c>
      <c r="B327" s="17" t="inlineStr">
        <is>
          <t>P002913</t>
        </is>
      </c>
      <c r="C327" s="18" t="n">
        <v>4301051257</v>
      </c>
      <c r="D327" s="19" t="n">
        <v>4607091389661</v>
      </c>
      <c r="E327" s="71" t="n"/>
      <c r="F327" s="72" t="n">
        <v>0.55</v>
      </c>
      <c r="G327" s="21" t="n">
        <v>4</v>
      </c>
      <c r="H327" s="72" t="n">
        <v>2.2</v>
      </c>
      <c r="I327" s="72" t="n">
        <v>2.492</v>
      </c>
      <c r="J327" s="21" t="n">
        <v>120</v>
      </c>
      <c r="K327" s="22" t="inlineStr">
        <is>
          <t>СК3</t>
        </is>
      </c>
      <c r="L327" s="21" t="n">
        <v>45</v>
      </c>
      <c r="M327" s="8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27" s="74" t="n"/>
      <c r="O327" s="74" t="n"/>
      <c r="P327" s="74" t="n"/>
      <c r="Q327" s="71" t="n"/>
      <c r="R327" s="26" t="inlineStr"/>
      <c r="S327" s="26" t="inlineStr"/>
      <c r="T327" s="27" t="inlineStr">
        <is>
          <t>кг</t>
        </is>
      </c>
      <c r="U327" s="75" t="n">
        <v>0</v>
      </c>
      <c r="V327" s="76">
        <f>IFERROR(IF(U327="",0,CEILING((U327/$H327),1)*$H327),"")</f>
        <v/>
      </c>
      <c r="W327" s="30">
        <f>IFERROR(IF(V327=0,"",ROUNDUP(V327/H327,0)*0.00937),"")</f>
        <v/>
      </c>
      <c r="X327" s="31" t="inlineStr"/>
      <c r="Y327" s="32" t="inlineStr"/>
    </row>
    <row r="328">
      <c r="A328" s="34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77" t="n"/>
      <c r="M328" s="78" t="inlineStr">
        <is>
          <t>Итого</t>
        </is>
      </c>
      <c r="N328" s="79" t="n"/>
      <c r="O328" s="79" t="n"/>
      <c r="P328" s="79" t="n"/>
      <c r="Q328" s="79" t="n"/>
      <c r="R328" s="79" t="n"/>
      <c r="S328" s="80" t="n"/>
      <c r="T328" s="38" t="inlineStr">
        <is>
          <t>кор</t>
        </is>
      </c>
      <c r="U328" s="81">
        <f>IFERROR(U324/H324,"0")+IFERROR(U325/H325,"0")+IFERROR(U326/H326,"0")+IFERROR(U327/H327,"0")</f>
        <v/>
      </c>
      <c r="V328" s="81">
        <f>IFERROR(V324/H324,"0")+IFERROR(V325/H325,"0")+IFERROR(V326/H326,"0")+IFERROR(V327/H327,"0")</f>
        <v/>
      </c>
      <c r="W328" s="81">
        <f>IFERROR(IF(W324="",0,W324),"0")+IFERROR(IF(W325="",0,W325),"0")+IFERROR(IF(W326="",0,W326),"0")+IFERROR(IF(W327="",0,W327),"0")</f>
        <v/>
      </c>
      <c r="X328" s="82" t="n"/>
      <c r="Y328" s="8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77" t="n"/>
      <c r="M329" s="78" t="inlineStr">
        <is>
          <t>Итого</t>
        </is>
      </c>
      <c r="N329" s="79" t="n"/>
      <c r="O329" s="79" t="n"/>
      <c r="P329" s="79" t="n"/>
      <c r="Q329" s="79" t="n"/>
      <c r="R329" s="79" t="n"/>
      <c r="S329" s="80" t="n"/>
      <c r="T329" s="38" t="inlineStr">
        <is>
          <t>кг</t>
        </is>
      </c>
      <c r="U329" s="81">
        <f>IFERROR(SUM(U324:U327),"0")</f>
        <v/>
      </c>
      <c r="V329" s="81">
        <f>IFERROR(SUM(V324:V327),"0")</f>
        <v/>
      </c>
      <c r="W329" s="38" t="n"/>
      <c r="X329" s="82" t="n"/>
      <c r="Y329" s="82" t="n"/>
    </row>
    <row r="330">
      <c r="A330" s="16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6" t="n"/>
      <c r="Y330" s="16" t="n"/>
    </row>
    <row r="331">
      <c r="A331" s="17" t="inlineStr">
        <is>
          <t>SU002846</t>
        </is>
      </c>
      <c r="B331" s="17" t="inlineStr">
        <is>
          <t>P003254</t>
        </is>
      </c>
      <c r="C331" s="18" t="n">
        <v>4301060352</v>
      </c>
      <c r="D331" s="19" t="n">
        <v>4680115881648</v>
      </c>
      <c r="E331" s="71" t="n"/>
      <c r="F331" s="72" t="n">
        <v>1</v>
      </c>
      <c r="G331" s="21" t="n">
        <v>4</v>
      </c>
      <c r="H331" s="72" t="n">
        <v>4</v>
      </c>
      <c r="I331" s="72" t="n">
        <v>4.404</v>
      </c>
      <c r="J331" s="21" t="n">
        <v>104</v>
      </c>
      <c r="K331" s="22" t="inlineStr">
        <is>
          <t>СК2</t>
        </is>
      </c>
      <c r="L331" s="21" t="n">
        <v>35</v>
      </c>
      <c r="M331" s="73" t="inlineStr">
        <is>
          <t>Сардельки "Шпикачки Филейбургские" весовые н/о ТМ "Баварушка"</t>
        </is>
      </c>
      <c r="N331" s="74" t="n"/>
      <c r="O331" s="74" t="n"/>
      <c r="P331" s="74" t="n"/>
      <c r="Q331" s="71" t="n"/>
      <c r="R331" s="26" t="inlineStr"/>
      <c r="S331" s="26" t="inlineStr"/>
      <c r="T331" s="27" t="inlineStr">
        <is>
          <t>кг</t>
        </is>
      </c>
      <c r="U331" s="75" t="n">
        <v>0</v>
      </c>
      <c r="V331" s="76">
        <f>IFERROR(IF(U331="",0,CEILING((U331/$H331),1)*$H331),"")</f>
        <v/>
      </c>
      <c r="W331" s="30">
        <f>IFERROR(IF(V331=0,"",ROUNDUP(V331/H331,0)*0.01196),"")</f>
        <v/>
      </c>
      <c r="X331" s="31" t="inlineStr"/>
      <c r="Y331" s="32" t="inlineStr"/>
    </row>
    <row r="332">
      <c r="A332" s="34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77" t="n"/>
      <c r="M332" s="78" t="inlineStr">
        <is>
          <t>Итого</t>
        </is>
      </c>
      <c r="N332" s="79" t="n"/>
      <c r="O332" s="79" t="n"/>
      <c r="P332" s="79" t="n"/>
      <c r="Q332" s="79" t="n"/>
      <c r="R332" s="79" t="n"/>
      <c r="S332" s="80" t="n"/>
      <c r="T332" s="38" t="inlineStr">
        <is>
          <t>кор</t>
        </is>
      </c>
      <c r="U332" s="81">
        <f>IFERROR(U331/H331,"0")</f>
        <v/>
      </c>
      <c r="V332" s="81">
        <f>IFERROR(V331/H331,"0")</f>
        <v/>
      </c>
      <c r="W332" s="81">
        <f>IFERROR(IF(W331="",0,W331),"0")</f>
        <v/>
      </c>
      <c r="X332" s="82" t="n"/>
      <c r="Y332" s="82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77" t="n"/>
      <c r="M333" s="78" t="inlineStr">
        <is>
          <t>Итого</t>
        </is>
      </c>
      <c r="N333" s="79" t="n"/>
      <c r="O333" s="79" t="n"/>
      <c r="P333" s="79" t="n"/>
      <c r="Q333" s="79" t="n"/>
      <c r="R333" s="79" t="n"/>
      <c r="S333" s="80" t="n"/>
      <c r="T333" s="38" t="inlineStr">
        <is>
          <t>кг</t>
        </is>
      </c>
      <c r="U333" s="81">
        <f>IFERROR(SUM(U331:U331),"0")</f>
        <v/>
      </c>
      <c r="V333" s="81">
        <f>IFERROR(SUM(V331:V331),"0")</f>
        <v/>
      </c>
      <c r="W333" s="38" t="n"/>
      <c r="X333" s="82" t="n"/>
      <c r="Y333" s="82" t="n"/>
    </row>
    <row r="334">
      <c r="A334" s="16" t="inlineStr">
        <is>
          <t>Сырокопченые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6" t="n"/>
      <c r="Y334" s="16" t="n"/>
    </row>
    <row r="335">
      <c r="A335" s="17" t="inlineStr">
        <is>
          <t>SU003058</t>
        </is>
      </c>
      <c r="B335" s="17" t="inlineStr">
        <is>
          <t>P003620</t>
        </is>
      </c>
      <c r="C335" s="18" t="n">
        <v>4301032042</v>
      </c>
      <c r="D335" s="19" t="n">
        <v>4680115883017</v>
      </c>
      <c r="E335" s="71" t="n"/>
      <c r="F335" s="72" t="n">
        <v>0.03</v>
      </c>
      <c r="G335" s="21" t="n">
        <v>20</v>
      </c>
      <c r="H335" s="72" t="n">
        <v>0.6</v>
      </c>
      <c r="I335" s="72" t="n">
        <v>0.63</v>
      </c>
      <c r="J335" s="21" t="n">
        <v>350</v>
      </c>
      <c r="K335" s="22" t="inlineStr">
        <is>
          <t>ДК</t>
        </is>
      </c>
      <c r="L335" s="21" t="n">
        <v>60</v>
      </c>
      <c r="M335" s="73" t="inlineStr">
        <is>
          <t>с/к колбасы "Филейбургская зернистая" ф/в 0,03 ТМ "Баварушка"</t>
        </is>
      </c>
      <c r="N335" s="74" t="n"/>
      <c r="O335" s="74" t="n"/>
      <c r="P335" s="74" t="n"/>
      <c r="Q335" s="71" t="n"/>
      <c r="R335" s="26" t="inlineStr"/>
      <c r="S335" s="26" t="inlineStr"/>
      <c r="T335" s="27" t="inlineStr">
        <is>
          <t>кг</t>
        </is>
      </c>
      <c r="U335" s="75" t="n">
        <v>0</v>
      </c>
      <c r="V335" s="76">
        <f>IFERROR(IF(U335="",0,CEILING((U335/$H335),1)*$H335),"")</f>
        <v/>
      </c>
      <c r="W335" s="30">
        <f>IFERROR(IF(V335=0,"",ROUNDUP(V335/H335,0)*0.00349),"")</f>
        <v/>
      </c>
      <c r="X335" s="31" t="inlineStr"/>
      <c r="Y335" s="32" t="inlineStr">
        <is>
          <t>Новинка</t>
        </is>
      </c>
    </row>
    <row r="336">
      <c r="A336" s="17" t="inlineStr">
        <is>
          <t>SU003061</t>
        </is>
      </c>
      <c r="B336" s="17" t="inlineStr">
        <is>
          <t>P003621</t>
        </is>
      </c>
      <c r="C336" s="18" t="n">
        <v>4301032043</v>
      </c>
      <c r="D336" s="19" t="n">
        <v>4680115883031</v>
      </c>
      <c r="E336" s="71" t="n"/>
      <c r="F336" s="72" t="n">
        <v>0.03</v>
      </c>
      <c r="G336" s="21" t="n">
        <v>20</v>
      </c>
      <c r="H336" s="72" t="n">
        <v>0.6</v>
      </c>
      <c r="I336" s="72" t="n">
        <v>0.63</v>
      </c>
      <c r="J336" s="21" t="n">
        <v>350</v>
      </c>
      <c r="K336" s="22" t="inlineStr">
        <is>
          <t>ДК</t>
        </is>
      </c>
      <c r="L336" s="21" t="n">
        <v>60</v>
      </c>
      <c r="M336" s="73" t="inlineStr">
        <is>
          <t>с/к колбасы "Филейбургская с ароматными пряностями" ф/в 0,03 нарезка ТМ "Баварушка"</t>
        </is>
      </c>
      <c r="N336" s="74" t="n"/>
      <c r="O336" s="74" t="n"/>
      <c r="P336" s="74" t="n"/>
      <c r="Q336" s="71" t="n"/>
      <c r="R336" s="26" t="inlineStr"/>
      <c r="S336" s="26" t="inlineStr"/>
      <c r="T336" s="27" t="inlineStr">
        <is>
          <t>кг</t>
        </is>
      </c>
      <c r="U336" s="75" t="n">
        <v>0</v>
      </c>
      <c r="V336" s="76">
        <f>IFERROR(IF(U336="",0,CEILING((U336/$H336),1)*$H336),"")</f>
        <v/>
      </c>
      <c r="W336" s="30">
        <f>IFERROR(IF(V336=0,"",ROUNDUP(V336/H336,0)*0.00349),"")</f>
        <v/>
      </c>
      <c r="X336" s="31" t="inlineStr"/>
      <c r="Y336" s="32" t="inlineStr">
        <is>
          <t>Новинка</t>
        </is>
      </c>
    </row>
    <row r="337">
      <c r="A337" s="17" t="inlineStr">
        <is>
          <t>SU003057</t>
        </is>
      </c>
      <c r="B337" s="17" t="inlineStr">
        <is>
          <t>P003619</t>
        </is>
      </c>
      <c r="C337" s="18" t="n">
        <v>4301032041</v>
      </c>
      <c r="D337" s="19" t="n">
        <v>4680115883024</v>
      </c>
      <c r="E337" s="71" t="n"/>
      <c r="F337" s="72" t="n">
        <v>0.03</v>
      </c>
      <c r="G337" s="21" t="n">
        <v>20</v>
      </c>
      <c r="H337" s="72" t="n">
        <v>0.6</v>
      </c>
      <c r="I337" s="72" t="n">
        <v>0.63</v>
      </c>
      <c r="J337" s="21" t="n">
        <v>350</v>
      </c>
      <c r="K337" s="22" t="inlineStr">
        <is>
          <t>ДК</t>
        </is>
      </c>
      <c r="L337" s="21" t="n">
        <v>60</v>
      </c>
      <c r="M337" s="73" t="inlineStr">
        <is>
          <t>с/к колбасы "Филейбургская с душистым чесноком" ф/в 0,03 н/о нарезка ТМ "Баварушка"</t>
        </is>
      </c>
      <c r="N337" s="74" t="n"/>
      <c r="O337" s="74" t="n"/>
      <c r="P337" s="74" t="n"/>
      <c r="Q337" s="71" t="n"/>
      <c r="R337" s="26" t="inlineStr"/>
      <c r="S337" s="26" t="inlineStr"/>
      <c r="T337" s="27" t="inlineStr">
        <is>
          <t>кг</t>
        </is>
      </c>
      <c r="U337" s="75" t="n">
        <v>0</v>
      </c>
      <c r="V337" s="76">
        <f>IFERROR(IF(U337="",0,CEILING((U337/$H337),1)*$H337),"")</f>
        <v/>
      </c>
      <c r="W337" s="30">
        <f>IFERROR(IF(V337=0,"",ROUNDUP(V337/H337,0)*0.00349),"")</f>
        <v/>
      </c>
      <c r="X337" s="31" t="inlineStr"/>
      <c r="Y337" s="32" t="inlineStr">
        <is>
          <t>Новинка</t>
        </is>
      </c>
    </row>
    <row r="338">
      <c r="A338" s="34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77" t="n"/>
      <c r="M338" s="78" t="inlineStr">
        <is>
          <t>Итого</t>
        </is>
      </c>
      <c r="N338" s="79" t="n"/>
      <c r="O338" s="79" t="n"/>
      <c r="P338" s="79" t="n"/>
      <c r="Q338" s="79" t="n"/>
      <c r="R338" s="79" t="n"/>
      <c r="S338" s="80" t="n"/>
      <c r="T338" s="38" t="inlineStr">
        <is>
          <t>кор</t>
        </is>
      </c>
      <c r="U338" s="81">
        <f>IFERROR(U335/H335,"0")+IFERROR(U336/H336,"0")+IFERROR(U337/H337,"0")</f>
        <v/>
      </c>
      <c r="V338" s="81">
        <f>IFERROR(V335/H335,"0")+IFERROR(V336/H336,"0")+IFERROR(V337/H337,"0")</f>
        <v/>
      </c>
      <c r="W338" s="81">
        <f>IFERROR(IF(W335="",0,W335),"0")+IFERROR(IF(W336="",0,W336),"0")+IFERROR(IF(W337="",0,W337),"0")</f>
        <v/>
      </c>
      <c r="X338" s="82" t="n"/>
      <c r="Y338" s="82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77" t="n"/>
      <c r="M339" s="78" t="inlineStr">
        <is>
          <t>Итого</t>
        </is>
      </c>
      <c r="N339" s="79" t="n"/>
      <c r="O339" s="79" t="n"/>
      <c r="P339" s="79" t="n"/>
      <c r="Q339" s="79" t="n"/>
      <c r="R339" s="79" t="n"/>
      <c r="S339" s="80" t="n"/>
      <c r="T339" s="38" t="inlineStr">
        <is>
          <t>кг</t>
        </is>
      </c>
      <c r="U339" s="81">
        <f>IFERROR(SUM(U335:U337),"0")</f>
        <v/>
      </c>
      <c r="V339" s="81">
        <f>IFERROR(SUM(V335:V337),"0")</f>
        <v/>
      </c>
      <c r="W339" s="38" t="n"/>
      <c r="X339" s="82" t="n"/>
      <c r="Y339" s="82" t="n"/>
    </row>
    <row r="340">
      <c r="A340" s="16" t="inlineStr">
        <is>
          <t>Сыровяленые колбасы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6" t="n"/>
      <c r="Y340" s="16" t="n"/>
    </row>
    <row r="341">
      <c r="A341" s="17" t="inlineStr">
        <is>
          <t>SU003060</t>
        </is>
      </c>
      <c r="B341" s="17" t="inlineStr">
        <is>
          <t>P003624</t>
        </is>
      </c>
      <c r="C341" s="18" t="n">
        <v>4301170009</v>
      </c>
      <c r="D341" s="19" t="n">
        <v>4680115882997</v>
      </c>
      <c r="E341" s="71" t="n"/>
      <c r="F341" s="72" t="n">
        <v>0.13</v>
      </c>
      <c r="G341" s="21" t="n">
        <v>10</v>
      </c>
      <c r="H341" s="72" t="n">
        <v>1.3</v>
      </c>
      <c r="I341" s="72" t="n">
        <v>1.43</v>
      </c>
      <c r="J341" s="21" t="n">
        <v>320</v>
      </c>
      <c r="K341" s="22" t="inlineStr">
        <is>
          <t>ДК</t>
        </is>
      </c>
      <c r="L341" s="21" t="n">
        <v>150</v>
      </c>
      <c r="M341" s="73" t="inlineStr">
        <is>
          <t>с/в колбасы "Филейбургская с филе сочного окорока" ф/в 0,13 н/о ТМ "Баварушка"</t>
        </is>
      </c>
      <c r="N341" s="74" t="n"/>
      <c r="O341" s="74" t="n"/>
      <c r="P341" s="74" t="n"/>
      <c r="Q341" s="71" t="n"/>
      <c r="R341" s="26" t="inlineStr"/>
      <c r="S341" s="26" t="inlineStr"/>
      <c r="T341" s="27" t="inlineStr">
        <is>
          <t>кг</t>
        </is>
      </c>
      <c r="U341" s="75" t="n">
        <v>0</v>
      </c>
      <c r="V341" s="76">
        <f>IFERROR(IF(U341="",0,CEILING((U341/$H341),1)*$H341),"")</f>
        <v/>
      </c>
      <c r="W341" s="30">
        <f>IFERROR(IF(V341=0,"",ROUNDUP(V341/H341,0)*0.00266),"")</f>
        <v/>
      </c>
      <c r="X341" s="31" t="inlineStr"/>
      <c r="Y341" s="32" t="inlineStr">
        <is>
          <t>Новинка</t>
        </is>
      </c>
    </row>
    <row r="342">
      <c r="A342" s="34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77" t="n"/>
      <c r="M342" s="78" t="inlineStr">
        <is>
          <t>Итого</t>
        </is>
      </c>
      <c r="N342" s="79" t="n"/>
      <c r="O342" s="79" t="n"/>
      <c r="P342" s="79" t="n"/>
      <c r="Q342" s="79" t="n"/>
      <c r="R342" s="79" t="n"/>
      <c r="S342" s="80" t="n"/>
      <c r="T342" s="38" t="inlineStr">
        <is>
          <t>кор</t>
        </is>
      </c>
      <c r="U342" s="81">
        <f>IFERROR(U341/H341,"0")</f>
        <v/>
      </c>
      <c r="V342" s="81">
        <f>IFERROR(V341/H341,"0")</f>
        <v/>
      </c>
      <c r="W342" s="81">
        <f>IFERROR(IF(W341="",0,W341),"0")</f>
        <v/>
      </c>
      <c r="X342" s="82" t="n"/>
      <c r="Y342" s="82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77" t="n"/>
      <c r="M343" s="78" t="inlineStr">
        <is>
          <t>Итого</t>
        </is>
      </c>
      <c r="N343" s="79" t="n"/>
      <c r="O343" s="79" t="n"/>
      <c r="P343" s="79" t="n"/>
      <c r="Q343" s="79" t="n"/>
      <c r="R343" s="79" t="n"/>
      <c r="S343" s="80" t="n"/>
      <c r="T343" s="38" t="inlineStr">
        <is>
          <t>кг</t>
        </is>
      </c>
      <c r="U343" s="81">
        <f>IFERROR(SUM(U341:U341),"0")</f>
        <v/>
      </c>
      <c r="V343" s="81">
        <f>IFERROR(SUM(V341:V341),"0")</f>
        <v/>
      </c>
      <c r="W343" s="38" t="n"/>
      <c r="X343" s="82" t="n"/>
      <c r="Y343" s="82" t="n"/>
    </row>
    <row r="344">
      <c r="A344" s="14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4" t="n"/>
      <c r="Y344" s="14" t="n"/>
    </row>
    <row r="345">
      <c r="A345" s="16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6" t="n"/>
      <c r="Y345" s="16" t="n"/>
    </row>
    <row r="346">
      <c r="A346" s="17" t="inlineStr">
        <is>
          <t>SU002542</t>
        </is>
      </c>
      <c r="B346" s="17" t="inlineStr">
        <is>
          <t>P002847</t>
        </is>
      </c>
      <c r="C346" s="18" t="n">
        <v>4301020196</v>
      </c>
      <c r="D346" s="19" t="n">
        <v>4607091389388</v>
      </c>
      <c r="E346" s="71" t="n"/>
      <c r="F346" s="72" t="n">
        <v>1.3</v>
      </c>
      <c r="G346" s="21" t="n">
        <v>4</v>
      </c>
      <c r="H346" s="72" t="n">
        <v>5.2</v>
      </c>
      <c r="I346" s="72" t="n">
        <v>5.608</v>
      </c>
      <c r="J346" s="21" t="n">
        <v>104</v>
      </c>
      <c r="K346" s="22" t="inlineStr">
        <is>
          <t>СК3</t>
        </is>
      </c>
      <c r="L346" s="21" t="n">
        <v>35</v>
      </c>
      <c r="M346" s="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6" s="74" t="n"/>
      <c r="O346" s="74" t="n"/>
      <c r="P346" s="74" t="n"/>
      <c r="Q346" s="71" t="n"/>
      <c r="R346" s="26" t="inlineStr"/>
      <c r="S346" s="26" t="inlineStr"/>
      <c r="T346" s="27" t="inlineStr">
        <is>
          <t>кг</t>
        </is>
      </c>
      <c r="U346" s="75" t="n">
        <v>0</v>
      </c>
      <c r="V346" s="76">
        <f>IFERROR(IF(U346="",0,CEILING((U346/$H346),1)*$H346),"")</f>
        <v/>
      </c>
      <c r="W346" s="30">
        <f>IFERROR(IF(V346=0,"",ROUNDUP(V346/H346,0)*0.01196),"")</f>
        <v/>
      </c>
      <c r="X346" s="31" t="inlineStr"/>
      <c r="Y346" s="32" t="inlineStr"/>
    </row>
    <row r="347">
      <c r="A347" s="17" t="inlineStr">
        <is>
          <t>SU002319</t>
        </is>
      </c>
      <c r="B347" s="17" t="inlineStr">
        <is>
          <t>P002597</t>
        </is>
      </c>
      <c r="C347" s="18" t="n">
        <v>4301020185</v>
      </c>
      <c r="D347" s="19" t="n">
        <v>4607091389364</v>
      </c>
      <c r="E347" s="71" t="n"/>
      <c r="F347" s="72" t="n">
        <v>0.42</v>
      </c>
      <c r="G347" s="21" t="n">
        <v>6</v>
      </c>
      <c r="H347" s="72" t="n">
        <v>2.52</v>
      </c>
      <c r="I347" s="72" t="n">
        <v>2.75</v>
      </c>
      <c r="J347" s="21" t="n">
        <v>156</v>
      </c>
      <c r="K347" s="22" t="inlineStr">
        <is>
          <t>СК3</t>
        </is>
      </c>
      <c r="L347" s="21" t="n">
        <v>35</v>
      </c>
      <c r="M347" s="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74" t="n"/>
      <c r="O347" s="74" t="n"/>
      <c r="P347" s="74" t="n"/>
      <c r="Q347" s="71" t="n"/>
      <c r="R347" s="26" t="inlineStr"/>
      <c r="S347" s="26" t="inlineStr"/>
      <c r="T347" s="27" t="inlineStr">
        <is>
          <t>кг</t>
        </is>
      </c>
      <c r="U347" s="75" t="n">
        <v>0</v>
      </c>
      <c r="V347" s="76">
        <f>IFERROR(IF(U347="",0,CEILING((U347/$H347),1)*$H347),"")</f>
        <v/>
      </c>
      <c r="W347" s="30">
        <f>IFERROR(IF(V347=0,"",ROUNDUP(V347/H347,0)*0.00753),"")</f>
        <v/>
      </c>
      <c r="X347" s="31" t="inlineStr"/>
      <c r="Y347" s="32" t="inlineStr"/>
    </row>
    <row r="348">
      <c r="A348" s="3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77" t="n"/>
      <c r="M348" s="78" t="inlineStr">
        <is>
          <t>Итого</t>
        </is>
      </c>
      <c r="N348" s="79" t="n"/>
      <c r="O348" s="79" t="n"/>
      <c r="P348" s="79" t="n"/>
      <c r="Q348" s="79" t="n"/>
      <c r="R348" s="79" t="n"/>
      <c r="S348" s="80" t="n"/>
      <c r="T348" s="38" t="inlineStr">
        <is>
          <t>кор</t>
        </is>
      </c>
      <c r="U348" s="81">
        <f>IFERROR(U346/H346,"0")+IFERROR(U347/H347,"0")</f>
        <v/>
      </c>
      <c r="V348" s="81">
        <f>IFERROR(V346/H346,"0")+IFERROR(V347/H347,"0")</f>
        <v/>
      </c>
      <c r="W348" s="81">
        <f>IFERROR(IF(W346="",0,W346),"0")+IFERROR(IF(W347="",0,W347),"0")</f>
        <v/>
      </c>
      <c r="X348" s="82" t="n"/>
      <c r="Y348" s="82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77" t="n"/>
      <c r="M349" s="78" t="inlineStr">
        <is>
          <t>Итого</t>
        </is>
      </c>
      <c r="N349" s="79" t="n"/>
      <c r="O349" s="79" t="n"/>
      <c r="P349" s="79" t="n"/>
      <c r="Q349" s="79" t="n"/>
      <c r="R349" s="79" t="n"/>
      <c r="S349" s="80" t="n"/>
      <c r="T349" s="38" t="inlineStr">
        <is>
          <t>кг</t>
        </is>
      </c>
      <c r="U349" s="81">
        <f>IFERROR(SUM(U346:U347),"0")</f>
        <v/>
      </c>
      <c r="V349" s="81">
        <f>IFERROR(SUM(V346:V347),"0")</f>
        <v/>
      </c>
      <c r="W349" s="38" t="n"/>
      <c r="X349" s="82" t="n"/>
      <c r="Y349" s="82" t="n"/>
    </row>
    <row r="350">
      <c r="A350" s="16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6" t="n"/>
      <c r="Y350" s="16" t="n"/>
    </row>
    <row r="351">
      <c r="A351" s="17" t="inlineStr">
        <is>
          <t>SU002612</t>
        </is>
      </c>
      <c r="B351" s="17" t="inlineStr">
        <is>
          <t>P003140</t>
        </is>
      </c>
      <c r="C351" s="18" t="n">
        <v>4301031179</v>
      </c>
      <c r="D351" s="19" t="n">
        <v>4607091389739</v>
      </c>
      <c r="E351" s="71" t="n"/>
      <c r="F351" s="72" t="n">
        <v>0.7</v>
      </c>
      <c r="G351" s="21" t="n">
        <v>6</v>
      </c>
      <c r="H351" s="72" t="n">
        <v>4.2</v>
      </c>
      <c r="I351" s="72" t="n">
        <v>4.43</v>
      </c>
      <c r="J351" s="21" t="n">
        <v>156</v>
      </c>
      <c r="K351" s="22" t="inlineStr">
        <is>
          <t>СК2</t>
        </is>
      </c>
      <c r="L351" s="21" t="n">
        <v>45</v>
      </c>
      <c r="M351" s="83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74" t="n"/>
      <c r="O351" s="74" t="n"/>
      <c r="P351" s="74" t="n"/>
      <c r="Q351" s="71" t="n"/>
      <c r="R351" s="26" t="inlineStr"/>
      <c r="S351" s="26" t="inlineStr"/>
      <c r="T351" s="27" t="inlineStr">
        <is>
          <t>кг</t>
        </is>
      </c>
      <c r="U351" s="75" t="n">
        <v>0</v>
      </c>
      <c r="V351" s="76">
        <f>IFERROR(IF(U351="",0,CEILING((U351/$H351),1)*$H351),"")</f>
        <v/>
      </c>
      <c r="W351" s="30">
        <f>IFERROR(IF(V351=0,"",ROUNDUP(V351/H351,0)*0.00753),"")</f>
        <v/>
      </c>
      <c r="X351" s="31" t="inlineStr"/>
      <c r="Y351" s="32" t="inlineStr"/>
    </row>
    <row r="352">
      <c r="A352" s="17" t="inlineStr">
        <is>
          <t>SU002545</t>
        </is>
      </c>
      <c r="B352" s="17" t="inlineStr">
        <is>
          <t>P003137</t>
        </is>
      </c>
      <c r="C352" s="18" t="n">
        <v>4301031176</v>
      </c>
      <c r="D352" s="19" t="n">
        <v>4607091389425</v>
      </c>
      <c r="E352" s="71" t="n"/>
      <c r="F352" s="72" t="n">
        <v>0.35</v>
      </c>
      <c r="G352" s="21" t="n">
        <v>6</v>
      </c>
      <c r="H352" s="72" t="n">
        <v>2.1</v>
      </c>
      <c r="I352" s="72" t="n">
        <v>2.23</v>
      </c>
      <c r="J352" s="21" t="n">
        <v>234</v>
      </c>
      <c r="K352" s="22" t="inlineStr">
        <is>
          <t>СК2</t>
        </is>
      </c>
      <c r="L352" s="21" t="n">
        <v>45</v>
      </c>
      <c r="M352" s="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74" t="n"/>
      <c r="O352" s="74" t="n"/>
      <c r="P352" s="74" t="n"/>
      <c r="Q352" s="71" t="n"/>
      <c r="R352" s="26" t="inlineStr"/>
      <c r="S352" s="26" t="inlineStr"/>
      <c r="T352" s="27" t="inlineStr">
        <is>
          <t>кг</t>
        </is>
      </c>
      <c r="U352" s="75" t="n">
        <v>0</v>
      </c>
      <c r="V352" s="76">
        <f>IFERROR(IF(U352="",0,CEILING((U352/$H352),1)*$H352),"")</f>
        <v/>
      </c>
      <c r="W352" s="30">
        <f>IFERROR(IF(V352=0,"",ROUNDUP(V352/H352,0)*0.00502),"")</f>
        <v/>
      </c>
      <c r="X352" s="31" t="inlineStr"/>
      <c r="Y352" s="32" t="inlineStr"/>
    </row>
    <row r="353">
      <c r="A353" s="17" t="inlineStr">
        <is>
          <t>SU002726</t>
        </is>
      </c>
      <c r="B353" s="17" t="inlineStr">
        <is>
          <t>P003095</t>
        </is>
      </c>
      <c r="C353" s="18" t="n">
        <v>4301031167</v>
      </c>
      <c r="D353" s="19" t="n">
        <v>4680115880771</v>
      </c>
      <c r="E353" s="71" t="n"/>
      <c r="F353" s="72" t="n">
        <v>0.28</v>
      </c>
      <c r="G353" s="21" t="n">
        <v>6</v>
      </c>
      <c r="H353" s="72" t="n">
        <v>1.68</v>
      </c>
      <c r="I353" s="72" t="n">
        <v>1.81</v>
      </c>
      <c r="J353" s="21" t="n">
        <v>234</v>
      </c>
      <c r="K353" s="22" t="inlineStr">
        <is>
          <t>СК2</t>
        </is>
      </c>
      <c r="L353" s="21" t="n">
        <v>45</v>
      </c>
      <c r="M353" s="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74" t="n"/>
      <c r="O353" s="74" t="n"/>
      <c r="P353" s="74" t="n"/>
      <c r="Q353" s="71" t="n"/>
      <c r="R353" s="26" t="inlineStr"/>
      <c r="S353" s="26" t="inlineStr"/>
      <c r="T353" s="27" t="inlineStr">
        <is>
          <t>кг</t>
        </is>
      </c>
      <c r="U353" s="75" t="n">
        <v>0</v>
      </c>
      <c r="V353" s="76">
        <f>IFERROR(IF(U353="",0,CEILING((U353/$H353),1)*$H353),"")</f>
        <v/>
      </c>
      <c r="W353" s="30">
        <f>IFERROR(IF(V353=0,"",ROUNDUP(V353/H353,0)*0.00502),"")</f>
        <v/>
      </c>
      <c r="X353" s="31" t="inlineStr"/>
      <c r="Y353" s="32" t="inlineStr"/>
    </row>
    <row r="354">
      <c r="A354" s="17" t="inlineStr">
        <is>
          <t>SU002604</t>
        </is>
      </c>
      <c r="B354" s="17" t="inlineStr">
        <is>
          <t>P003135</t>
        </is>
      </c>
      <c r="C354" s="18" t="n">
        <v>4301031173</v>
      </c>
      <c r="D354" s="19" t="n">
        <v>4607091389500</v>
      </c>
      <c r="E354" s="71" t="n"/>
      <c r="F354" s="72" t="n">
        <v>0.35</v>
      </c>
      <c r="G354" s="21" t="n">
        <v>6</v>
      </c>
      <c r="H354" s="72" t="n">
        <v>2.1</v>
      </c>
      <c r="I354" s="72" t="n">
        <v>2.23</v>
      </c>
      <c r="J354" s="21" t="n">
        <v>234</v>
      </c>
      <c r="K354" s="22" t="inlineStr">
        <is>
          <t>СК2</t>
        </is>
      </c>
      <c r="L354" s="21" t="n">
        <v>45</v>
      </c>
      <c r="M354" s="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74" t="n"/>
      <c r="O354" s="74" t="n"/>
      <c r="P354" s="74" t="n"/>
      <c r="Q354" s="71" t="n"/>
      <c r="R354" s="26" t="inlineStr"/>
      <c r="S354" s="26" t="inlineStr"/>
      <c r="T354" s="27" t="inlineStr">
        <is>
          <t>кг</t>
        </is>
      </c>
      <c r="U354" s="75" t="n">
        <v>0</v>
      </c>
      <c r="V354" s="76">
        <f>IFERROR(IF(U354="",0,CEILING((U354/$H354),1)*$H354),"")</f>
        <v/>
      </c>
      <c r="W354" s="30">
        <f>IFERROR(IF(V354=0,"",ROUNDUP(V354/H354,0)*0.00502),"")</f>
        <v/>
      </c>
      <c r="X354" s="31" t="inlineStr"/>
      <c r="Y354" s="32" t="inlineStr"/>
    </row>
    <row r="355">
      <c r="A355" s="17" t="inlineStr">
        <is>
          <t>SU002358</t>
        </is>
      </c>
      <c r="B355" s="17" t="inlineStr">
        <is>
          <t>P002642</t>
        </is>
      </c>
      <c r="C355" s="18" t="n">
        <v>4301031103</v>
      </c>
      <c r="D355" s="19" t="n">
        <v>4680115881983</v>
      </c>
      <c r="E355" s="71" t="n"/>
      <c r="F355" s="72" t="n">
        <v>0.28</v>
      </c>
      <c r="G355" s="21" t="n">
        <v>4</v>
      </c>
      <c r="H355" s="72" t="n">
        <v>1.12</v>
      </c>
      <c r="I355" s="72" t="n">
        <v>1.252</v>
      </c>
      <c r="J355" s="21" t="n">
        <v>234</v>
      </c>
      <c r="K355" s="22" t="inlineStr">
        <is>
          <t>СК2</t>
        </is>
      </c>
      <c r="L355" s="21" t="n">
        <v>40</v>
      </c>
      <c r="M355" s="73" t="inlineStr">
        <is>
          <t>Колбаса Балыкбургская по-краковски с копченым балыком в натуральной оболочке 0,28 кг</t>
        </is>
      </c>
      <c r="N355" s="74" t="n"/>
      <c r="O355" s="74" t="n"/>
      <c r="P355" s="74" t="n"/>
      <c r="Q355" s="71" t="n"/>
      <c r="R355" s="26" t="inlineStr"/>
      <c r="S355" s="26" t="inlineStr"/>
      <c r="T355" s="27" t="inlineStr">
        <is>
          <t>кг</t>
        </is>
      </c>
      <c r="U355" s="75" t="n">
        <v>0</v>
      </c>
      <c r="V355" s="76">
        <f>IFERROR(IF(U355="",0,CEILING((U355/$H355),1)*$H355),"")</f>
        <v/>
      </c>
      <c r="W355" s="30">
        <f>IFERROR(IF(V355=0,"",ROUNDUP(V355/H355,0)*0.00502),"")</f>
        <v/>
      </c>
      <c r="X355" s="31" t="inlineStr"/>
      <c r="Y355" s="32" t="inlineStr"/>
    </row>
    <row r="356">
      <c r="A356" s="34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77" t="n"/>
      <c r="M356" s="78" t="inlineStr">
        <is>
          <t>Итого</t>
        </is>
      </c>
      <c r="N356" s="79" t="n"/>
      <c r="O356" s="79" t="n"/>
      <c r="P356" s="79" t="n"/>
      <c r="Q356" s="79" t="n"/>
      <c r="R356" s="79" t="n"/>
      <c r="S356" s="80" t="n"/>
      <c r="T356" s="38" t="inlineStr">
        <is>
          <t>кор</t>
        </is>
      </c>
      <c r="U356" s="81">
        <f>IFERROR(U351/H351,"0")+IFERROR(U352/H352,"0")+IFERROR(U353/H353,"0")+IFERROR(U354/H354,"0")+IFERROR(U355/H355,"0")</f>
        <v/>
      </c>
      <c r="V356" s="81">
        <f>IFERROR(V351/H351,"0")+IFERROR(V352/H352,"0")+IFERROR(V353/H353,"0")+IFERROR(V354/H354,"0")+IFERROR(V355/H355,"0")</f>
        <v/>
      </c>
      <c r="W356" s="81">
        <f>IFERROR(IF(W351="",0,W351),"0")+IFERROR(IF(W352="",0,W352),"0")+IFERROR(IF(W353="",0,W353),"0")+IFERROR(IF(W354="",0,W354),"0")+IFERROR(IF(W355="",0,W355),"0")</f>
        <v/>
      </c>
      <c r="X356" s="82" t="n"/>
      <c r="Y356" s="82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77" t="n"/>
      <c r="M357" s="78" t="inlineStr">
        <is>
          <t>Итого</t>
        </is>
      </c>
      <c r="N357" s="79" t="n"/>
      <c r="O357" s="79" t="n"/>
      <c r="P357" s="79" t="n"/>
      <c r="Q357" s="79" t="n"/>
      <c r="R357" s="79" t="n"/>
      <c r="S357" s="80" t="n"/>
      <c r="T357" s="38" t="inlineStr">
        <is>
          <t>кг</t>
        </is>
      </c>
      <c r="U357" s="81">
        <f>IFERROR(SUM(U351:U355),"0")</f>
        <v/>
      </c>
      <c r="V357" s="81">
        <f>IFERROR(SUM(V351:V355),"0")</f>
        <v/>
      </c>
      <c r="W357" s="38" t="n"/>
      <c r="X357" s="82" t="n"/>
      <c r="Y357" s="82" t="n"/>
    </row>
    <row r="358">
      <c r="A358" s="16" t="inlineStr">
        <is>
          <t>Сырокопченые колбасы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6" t="n"/>
      <c r="Y358" s="16" t="n"/>
    </row>
    <row r="359">
      <c r="A359" s="17" t="inlineStr">
        <is>
          <t>SU003059</t>
        </is>
      </c>
      <c r="B359" s="17" t="inlineStr">
        <is>
          <t>P003623</t>
        </is>
      </c>
      <c r="C359" s="18" t="n">
        <v>4301032044</v>
      </c>
      <c r="D359" s="19" t="n">
        <v>4680115883000</v>
      </c>
      <c r="E359" s="71" t="n"/>
      <c r="F359" s="72" t="n">
        <v>0.03</v>
      </c>
      <c r="G359" s="21" t="n">
        <v>20</v>
      </c>
      <c r="H359" s="72" t="n">
        <v>0.6</v>
      </c>
      <c r="I359" s="72" t="n">
        <v>0.63</v>
      </c>
      <c r="J359" s="21" t="n">
        <v>350</v>
      </c>
      <c r="K359" s="22" t="inlineStr">
        <is>
          <t>ДК</t>
        </is>
      </c>
      <c r="L359" s="21" t="n">
        <v>60</v>
      </c>
      <c r="M359" s="73" t="inlineStr">
        <is>
          <t>с/к колбасы "Балыкбургская с мраморным балыком и нотками кориандра" ф/в 0,03 ТМ "Баварушка"</t>
        </is>
      </c>
      <c r="N359" s="74" t="n"/>
      <c r="O359" s="74" t="n"/>
      <c r="P359" s="74" t="n"/>
      <c r="Q359" s="71" t="n"/>
      <c r="R359" s="26" t="inlineStr"/>
      <c r="S359" s="26" t="inlineStr"/>
      <c r="T359" s="27" t="inlineStr">
        <is>
          <t>кг</t>
        </is>
      </c>
      <c r="U359" s="75" t="n">
        <v>0</v>
      </c>
      <c r="V359" s="76">
        <f>IFERROR(IF(U359="",0,CEILING((U359/$H359),1)*$H359),"")</f>
        <v/>
      </c>
      <c r="W359" s="30">
        <f>IFERROR(IF(V359=0,"",ROUNDUP(V359/H359,0)*0.00349),"")</f>
        <v/>
      </c>
      <c r="X359" s="31" t="inlineStr"/>
      <c r="Y359" s="32" t="inlineStr">
        <is>
          <t>Новинка</t>
        </is>
      </c>
    </row>
    <row r="360">
      <c r="A360" s="34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77" t="n"/>
      <c r="M360" s="78" t="inlineStr">
        <is>
          <t>Итого</t>
        </is>
      </c>
      <c r="N360" s="79" t="n"/>
      <c r="O360" s="79" t="n"/>
      <c r="P360" s="79" t="n"/>
      <c r="Q360" s="79" t="n"/>
      <c r="R360" s="79" t="n"/>
      <c r="S360" s="80" t="n"/>
      <c r="T360" s="38" t="inlineStr">
        <is>
          <t>кор</t>
        </is>
      </c>
      <c r="U360" s="81">
        <f>IFERROR(U359/H359,"0")</f>
        <v/>
      </c>
      <c r="V360" s="81">
        <f>IFERROR(V359/H359,"0")</f>
        <v/>
      </c>
      <c r="W360" s="81">
        <f>IFERROR(IF(W359="",0,W359),"0")</f>
        <v/>
      </c>
      <c r="X360" s="82" t="n"/>
      <c r="Y360" s="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77" t="n"/>
      <c r="M361" s="78" t="inlineStr">
        <is>
          <t>Итого</t>
        </is>
      </c>
      <c r="N361" s="79" t="n"/>
      <c r="O361" s="79" t="n"/>
      <c r="P361" s="79" t="n"/>
      <c r="Q361" s="79" t="n"/>
      <c r="R361" s="79" t="n"/>
      <c r="S361" s="80" t="n"/>
      <c r="T361" s="38" t="inlineStr">
        <is>
          <t>кг</t>
        </is>
      </c>
      <c r="U361" s="81">
        <f>IFERROR(SUM(U359:U359),"0")</f>
        <v/>
      </c>
      <c r="V361" s="81">
        <f>IFERROR(SUM(V359:V359),"0")</f>
        <v/>
      </c>
      <c r="W361" s="38" t="n"/>
      <c r="X361" s="82" t="n"/>
      <c r="Y361" s="82" t="n"/>
    </row>
    <row r="362">
      <c r="A362" s="16" t="inlineStr">
        <is>
          <t>Сыровяленые колбасы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6" t="n"/>
      <c r="Y362" s="16" t="n"/>
    </row>
    <row r="363">
      <c r="A363" s="17" t="inlineStr">
        <is>
          <t>SU003056</t>
        </is>
      </c>
      <c r="B363" s="17" t="inlineStr">
        <is>
          <t>P003622</t>
        </is>
      </c>
      <c r="C363" s="18" t="n">
        <v>4301170008</v>
      </c>
      <c r="D363" s="19" t="n">
        <v>4680115882980</v>
      </c>
      <c r="E363" s="71" t="n"/>
      <c r="F363" s="72" t="n">
        <v>0.13</v>
      </c>
      <c r="G363" s="21" t="n">
        <v>10</v>
      </c>
      <c r="H363" s="72" t="n">
        <v>1.3</v>
      </c>
      <c r="I363" s="72" t="n">
        <v>1.43</v>
      </c>
      <c r="J363" s="21" t="n">
        <v>320</v>
      </c>
      <c r="K363" s="22" t="inlineStr">
        <is>
          <t>ДК</t>
        </is>
      </c>
      <c r="L363" s="21" t="n">
        <v>150</v>
      </c>
      <c r="M363" s="73" t="inlineStr">
        <is>
          <t>с/в колбасы "Балыкбургская с мраморным балыком" ф/в 0,13 н/о ТМ "Баварушка"</t>
        </is>
      </c>
      <c r="N363" s="74" t="n"/>
      <c r="O363" s="74" t="n"/>
      <c r="P363" s="74" t="n"/>
      <c r="Q363" s="71" t="n"/>
      <c r="R363" s="26" t="inlineStr"/>
      <c r="S363" s="26" t="inlineStr"/>
      <c r="T363" s="27" t="inlineStr">
        <is>
          <t>кг</t>
        </is>
      </c>
      <c r="U363" s="75" t="n">
        <v>0</v>
      </c>
      <c r="V363" s="76">
        <f>IFERROR(IF(U363="",0,CEILING((U363/$H363),1)*$H363),"")</f>
        <v/>
      </c>
      <c r="W363" s="30">
        <f>IFERROR(IF(V363=0,"",ROUNDUP(V363/H363,0)*0.00266),"")</f>
        <v/>
      </c>
      <c r="X363" s="31" t="inlineStr"/>
      <c r="Y363" s="32" t="inlineStr">
        <is>
          <t>Новинка</t>
        </is>
      </c>
    </row>
    <row r="364">
      <c r="A364" s="3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77" t="n"/>
      <c r="M364" s="78" t="inlineStr">
        <is>
          <t>Итого</t>
        </is>
      </c>
      <c r="N364" s="79" t="n"/>
      <c r="O364" s="79" t="n"/>
      <c r="P364" s="79" t="n"/>
      <c r="Q364" s="79" t="n"/>
      <c r="R364" s="79" t="n"/>
      <c r="S364" s="80" t="n"/>
      <c r="T364" s="38" t="inlineStr">
        <is>
          <t>кор</t>
        </is>
      </c>
      <c r="U364" s="81">
        <f>IFERROR(U363/H363,"0")</f>
        <v/>
      </c>
      <c r="V364" s="81">
        <f>IFERROR(V363/H363,"0")</f>
        <v/>
      </c>
      <c r="W364" s="81">
        <f>IFERROR(IF(W363="",0,W363),"0")</f>
        <v/>
      </c>
      <c r="X364" s="82" t="n"/>
      <c r="Y364" s="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77" t="n"/>
      <c r="M365" s="78" t="inlineStr">
        <is>
          <t>Итого</t>
        </is>
      </c>
      <c r="N365" s="79" t="n"/>
      <c r="O365" s="79" t="n"/>
      <c r="P365" s="79" t="n"/>
      <c r="Q365" s="79" t="n"/>
      <c r="R365" s="79" t="n"/>
      <c r="S365" s="80" t="n"/>
      <c r="T365" s="38" t="inlineStr">
        <is>
          <t>кг</t>
        </is>
      </c>
      <c r="U365" s="81">
        <f>IFERROR(SUM(U363:U363),"0")</f>
        <v/>
      </c>
      <c r="V365" s="81">
        <f>IFERROR(SUM(V363:V363),"0")</f>
        <v/>
      </c>
      <c r="W365" s="38" t="n"/>
      <c r="X365" s="82" t="n"/>
      <c r="Y365" s="82" t="n"/>
    </row>
    <row r="366" ht="20.25" customHeight="1">
      <c r="A366" s="11" t="inlineStr">
        <is>
          <t>Дугушка</t>
        </is>
      </c>
      <c r="B366" s="70" t="n"/>
      <c r="C366" s="70" t="n"/>
      <c r="D366" s="70" t="n"/>
      <c r="E366" s="70" t="n"/>
      <c r="F366" s="70" t="n"/>
      <c r="G366" s="70" t="n"/>
      <c r="H366" s="70" t="n"/>
      <c r="I366" s="70" t="n"/>
      <c r="J366" s="70" t="n"/>
      <c r="K366" s="70" t="n"/>
      <c r="L366" s="70" t="n"/>
      <c r="M366" s="70" t="n"/>
      <c r="N366" s="70" t="n"/>
      <c r="O366" s="70" t="n"/>
      <c r="P366" s="70" t="n"/>
      <c r="Q366" s="70" t="n"/>
      <c r="R366" s="70" t="n"/>
      <c r="S366" s="70" t="n"/>
      <c r="T366" s="70" t="n"/>
      <c r="U366" s="70" t="n"/>
      <c r="V366" s="70" t="n"/>
      <c r="W366" s="70" t="n"/>
      <c r="X366" s="12" t="n"/>
      <c r="Y366" s="12" t="n"/>
    </row>
    <row r="367">
      <c r="A367" s="14" t="inlineStr">
        <is>
          <t>Дугушка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4" t="n"/>
      <c r="Y367" s="14" t="n"/>
    </row>
    <row r="368">
      <c r="A368" s="16" t="inlineStr">
        <is>
          <t>Вареные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6" t="n"/>
      <c r="Y368" s="16" t="n"/>
    </row>
    <row r="369">
      <c r="A369" s="17" t="inlineStr">
        <is>
          <t>SU002011</t>
        </is>
      </c>
      <c r="B369" s="17" t="inlineStr">
        <is>
          <t>P002991</t>
        </is>
      </c>
      <c r="C369" s="18" t="n">
        <v>4301011371</v>
      </c>
      <c r="D369" s="19" t="n">
        <v>4607091389067</v>
      </c>
      <c r="E369" s="71" t="n"/>
      <c r="F369" s="72" t="n">
        <v>0.88</v>
      </c>
      <c r="G369" s="21" t="n">
        <v>6</v>
      </c>
      <c r="H369" s="72" t="n">
        <v>5.28</v>
      </c>
      <c r="I369" s="72" t="n">
        <v>5.64</v>
      </c>
      <c r="J369" s="21" t="n">
        <v>104</v>
      </c>
      <c r="K369" s="22" t="inlineStr">
        <is>
          <t>СК3</t>
        </is>
      </c>
      <c r="L369" s="21" t="n">
        <v>55</v>
      </c>
      <c r="M369" s="8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9" s="74" t="n"/>
      <c r="O369" s="74" t="n"/>
      <c r="P369" s="74" t="n"/>
      <c r="Q369" s="71" t="n"/>
      <c r="R369" s="26" t="inlineStr"/>
      <c r="S369" s="26" t="inlineStr"/>
      <c r="T369" s="27" t="inlineStr">
        <is>
          <t>кг</t>
        </is>
      </c>
      <c r="U369" s="75" t="n">
        <v>0</v>
      </c>
      <c r="V369" s="76">
        <f>IFERROR(IF(U369="",0,CEILING((U369/$H369),1)*$H369),"")</f>
        <v/>
      </c>
      <c r="W369" s="30">
        <f>IFERROR(IF(V369=0,"",ROUNDUP(V369/H369,0)*0.01196),"")</f>
        <v/>
      </c>
      <c r="X369" s="31" t="inlineStr"/>
      <c r="Y369" s="32" t="inlineStr"/>
    </row>
    <row r="370">
      <c r="A370" s="17" t="inlineStr">
        <is>
          <t>SU002094</t>
        </is>
      </c>
      <c r="B370" s="17" t="inlineStr">
        <is>
          <t>P002975</t>
        </is>
      </c>
      <c r="C370" s="18" t="n">
        <v>4301011363</v>
      </c>
      <c r="D370" s="19" t="n">
        <v>4607091383522</v>
      </c>
      <c r="E370" s="71" t="n"/>
      <c r="F370" s="72" t="n">
        <v>0.88</v>
      </c>
      <c r="G370" s="21" t="n">
        <v>6</v>
      </c>
      <c r="H370" s="72" t="n">
        <v>5.28</v>
      </c>
      <c r="I370" s="72" t="n">
        <v>5.64</v>
      </c>
      <c r="J370" s="21" t="n">
        <v>104</v>
      </c>
      <c r="K370" s="22" t="inlineStr">
        <is>
          <t>СК1</t>
        </is>
      </c>
      <c r="L370" s="21" t="n">
        <v>55</v>
      </c>
      <c r="M370" s="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70" s="74" t="n"/>
      <c r="O370" s="74" t="n"/>
      <c r="P370" s="74" t="n"/>
      <c r="Q370" s="71" t="n"/>
      <c r="R370" s="26" t="inlineStr"/>
      <c r="S370" s="26" t="inlineStr"/>
      <c r="T370" s="27" t="inlineStr">
        <is>
          <t>кг</t>
        </is>
      </c>
      <c r="U370" s="84" t="n">
        <v>216</v>
      </c>
      <c r="V370" s="76">
        <f>IFERROR(IF(U370="",0,CEILING((U370/$H370),1)*$H370),"")</f>
        <v/>
      </c>
      <c r="W370" s="30">
        <f>IFERROR(IF(V370=0,"",ROUNDUP(V370/H370,0)*0.01196),"")</f>
        <v/>
      </c>
      <c r="X370" s="31" t="inlineStr"/>
      <c r="Y370" s="32" t="inlineStr"/>
    </row>
    <row r="371">
      <c r="A371" s="17" t="inlineStr">
        <is>
          <t>SU002182</t>
        </is>
      </c>
      <c r="B371" s="17" t="inlineStr">
        <is>
          <t>P002990</t>
        </is>
      </c>
      <c r="C371" s="18" t="n">
        <v>4301011431</v>
      </c>
      <c r="D371" s="19" t="n">
        <v>4607091384437</v>
      </c>
      <c r="E371" s="71" t="n"/>
      <c r="F371" s="72" t="n">
        <v>0.88</v>
      </c>
      <c r="G371" s="21" t="n">
        <v>6</v>
      </c>
      <c r="H371" s="72" t="n">
        <v>5.28</v>
      </c>
      <c r="I371" s="72" t="n">
        <v>5.64</v>
      </c>
      <c r="J371" s="21" t="n">
        <v>104</v>
      </c>
      <c r="K371" s="22" t="inlineStr">
        <is>
          <t>СК1</t>
        </is>
      </c>
      <c r="L371" s="21" t="n">
        <v>50</v>
      </c>
      <c r="M371" s="73" t="inlineStr">
        <is>
          <t>Вареные колбасы Дугушка со шпиком Дугушка Весовые Вектор Дугушка</t>
        </is>
      </c>
      <c r="N371" s="74" t="n"/>
      <c r="O371" s="74" t="n"/>
      <c r="P371" s="74" t="n"/>
      <c r="Q371" s="71" t="n"/>
      <c r="R371" s="26" t="inlineStr"/>
      <c r="S371" s="26" t="inlineStr"/>
      <c r="T371" s="27" t="inlineStr">
        <is>
          <t>кг</t>
        </is>
      </c>
      <c r="U371" s="75" t="n">
        <v>0</v>
      </c>
      <c r="V371" s="76">
        <f>IFERROR(IF(U371="",0,CEILING((U371/$H371),1)*$H371),"")</f>
        <v/>
      </c>
      <c r="W371" s="30">
        <f>IFERROR(IF(V371=0,"",ROUNDUP(V371/H371,0)*0.01196),"")</f>
        <v/>
      </c>
      <c r="X371" s="31" t="inlineStr"/>
      <c r="Y371" s="32" t="inlineStr"/>
    </row>
    <row r="372">
      <c r="A372" s="17" t="inlineStr">
        <is>
          <t>SU002010</t>
        </is>
      </c>
      <c r="B372" s="17" t="inlineStr">
        <is>
          <t>P002979</t>
        </is>
      </c>
      <c r="C372" s="18" t="n">
        <v>4301011365</v>
      </c>
      <c r="D372" s="19" t="n">
        <v>4607091389104</v>
      </c>
      <c r="E372" s="71" t="n"/>
      <c r="F372" s="72" t="n">
        <v>0.88</v>
      </c>
      <c r="G372" s="21" t="n">
        <v>6</v>
      </c>
      <c r="H372" s="72" t="n">
        <v>5.28</v>
      </c>
      <c r="I372" s="72" t="n">
        <v>5.64</v>
      </c>
      <c r="J372" s="21" t="n">
        <v>104</v>
      </c>
      <c r="K372" s="22" t="inlineStr">
        <is>
          <t>СК1</t>
        </is>
      </c>
      <c r="L372" s="21" t="n">
        <v>55</v>
      </c>
      <c r="M372" s="8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2" s="74" t="n"/>
      <c r="O372" s="74" t="n"/>
      <c r="P372" s="74" t="n"/>
      <c r="Q372" s="71" t="n"/>
      <c r="R372" s="26" t="inlineStr"/>
      <c r="S372" s="26" t="inlineStr"/>
      <c r="T372" s="27" t="inlineStr">
        <is>
          <t>кг</t>
        </is>
      </c>
      <c r="U372" s="84" t="n">
        <v>168</v>
      </c>
      <c r="V372" s="76">
        <f>IFERROR(IF(U372="",0,CEILING((U372/$H372),1)*$H372),"")</f>
        <v/>
      </c>
      <c r="W372" s="30">
        <f>IFERROR(IF(V372=0,"",ROUNDUP(V372/H372,0)*0.01196),"")</f>
        <v/>
      </c>
      <c r="X372" s="31" t="inlineStr"/>
      <c r="Y372" s="32" t="inlineStr"/>
    </row>
    <row r="373">
      <c r="A373" s="17" t="inlineStr">
        <is>
          <t>SU002019</t>
        </is>
      </c>
      <c r="B373" s="17" t="inlineStr">
        <is>
          <t>P002306</t>
        </is>
      </c>
      <c r="C373" s="18" t="n">
        <v>4301011142</v>
      </c>
      <c r="D373" s="19" t="n">
        <v>4607091389036</v>
      </c>
      <c r="E373" s="71" t="n"/>
      <c r="F373" s="72" t="n">
        <v>0.4</v>
      </c>
      <c r="G373" s="21" t="n">
        <v>6</v>
      </c>
      <c r="H373" s="72" t="n">
        <v>2.4</v>
      </c>
      <c r="I373" s="72" t="n">
        <v>2.6</v>
      </c>
      <c r="J373" s="21" t="n">
        <v>156</v>
      </c>
      <c r="K373" s="22" t="inlineStr">
        <is>
          <t>СК3</t>
        </is>
      </c>
      <c r="L373" s="21" t="n">
        <v>50</v>
      </c>
      <c r="M373" s="83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3" s="74" t="n"/>
      <c r="O373" s="74" t="n"/>
      <c r="P373" s="74" t="n"/>
      <c r="Q373" s="71" t="n"/>
      <c r="R373" s="26" t="inlineStr"/>
      <c r="S373" s="26" t="inlineStr"/>
      <c r="T373" s="27" t="inlineStr">
        <is>
          <t>кг</t>
        </is>
      </c>
      <c r="U373" s="75" t="n">
        <v>0</v>
      </c>
      <c r="V373" s="76">
        <f>IFERROR(IF(U373="",0,CEILING((U373/$H373),1)*$H373),"")</f>
        <v/>
      </c>
      <c r="W373" s="30">
        <f>IFERROR(IF(V373=0,"",ROUNDUP(V373/H373,0)*0.00753),"")</f>
        <v/>
      </c>
      <c r="X373" s="31" t="inlineStr"/>
      <c r="Y373" s="32" t="inlineStr"/>
    </row>
    <row r="374">
      <c r="A374" s="17" t="inlineStr">
        <is>
          <t>SU002632</t>
        </is>
      </c>
      <c r="B374" s="17" t="inlineStr">
        <is>
          <t>P002982</t>
        </is>
      </c>
      <c r="C374" s="18" t="n">
        <v>4301011367</v>
      </c>
      <c r="D374" s="19" t="n">
        <v>4680115880603</v>
      </c>
      <c r="E374" s="71" t="n"/>
      <c r="F374" s="72" t="n">
        <v>0.6</v>
      </c>
      <c r="G374" s="21" t="n">
        <v>6</v>
      </c>
      <c r="H374" s="72" t="n">
        <v>3.6</v>
      </c>
      <c r="I374" s="72" t="n">
        <v>3.84</v>
      </c>
      <c r="J374" s="21" t="n">
        <v>120</v>
      </c>
      <c r="K374" s="22" t="inlineStr">
        <is>
          <t>СК1</t>
        </is>
      </c>
      <c r="L374" s="21" t="n">
        <v>55</v>
      </c>
      <c r="M374" s="73" t="inlineStr">
        <is>
          <t>Вареные колбасы "Докторская ГОСТ" Фикс.вес 0,6 Вектор ТМ "Дугушка"</t>
        </is>
      </c>
      <c r="N374" s="74" t="n"/>
      <c r="O374" s="74" t="n"/>
      <c r="P374" s="74" t="n"/>
      <c r="Q374" s="71" t="n"/>
      <c r="R374" s="26" t="inlineStr"/>
      <c r="S374" s="26" t="inlineStr"/>
      <c r="T374" s="27" t="inlineStr">
        <is>
          <t>кг</t>
        </is>
      </c>
      <c r="U374" s="75" t="n">
        <v>0</v>
      </c>
      <c r="V374" s="76">
        <f>IFERROR(IF(U374="",0,CEILING((U374/$H374),1)*$H374),"")</f>
        <v/>
      </c>
      <c r="W374" s="30">
        <f>IFERROR(IF(V374=0,"",ROUNDUP(V374/H374,0)*0.00937),"")</f>
        <v/>
      </c>
      <c r="X374" s="31" t="inlineStr"/>
      <c r="Y374" s="32" t="inlineStr"/>
    </row>
    <row r="375">
      <c r="A375" s="17" t="inlineStr">
        <is>
          <t>SU002220</t>
        </is>
      </c>
      <c r="B375" s="17" t="inlineStr">
        <is>
          <t>P002404</t>
        </is>
      </c>
      <c r="C375" s="18" t="n">
        <v>4301011168</v>
      </c>
      <c r="D375" s="19" t="n">
        <v>4607091389999</v>
      </c>
      <c r="E375" s="71" t="n"/>
      <c r="F375" s="72" t="n">
        <v>0.6</v>
      </c>
      <c r="G375" s="21" t="n">
        <v>6</v>
      </c>
      <c r="H375" s="72" t="n">
        <v>3.6</v>
      </c>
      <c r="I375" s="72" t="n">
        <v>3.84</v>
      </c>
      <c r="J375" s="21" t="n">
        <v>120</v>
      </c>
      <c r="K375" s="22" t="inlineStr">
        <is>
          <t>СК1</t>
        </is>
      </c>
      <c r="L375" s="21" t="n">
        <v>55</v>
      </c>
      <c r="M375" s="73" t="inlineStr">
        <is>
          <t>Вареные колбасы "Докторская Дугушка" Фикс.вес 0,6 П/а ТМ "Дугушка"</t>
        </is>
      </c>
      <c r="N375" s="74" t="n"/>
      <c r="O375" s="74" t="n"/>
      <c r="P375" s="74" t="n"/>
      <c r="Q375" s="71" t="n"/>
      <c r="R375" s="26" t="inlineStr"/>
      <c r="S375" s="26" t="inlineStr"/>
      <c r="T375" s="27" t="inlineStr">
        <is>
          <t>кг</t>
        </is>
      </c>
      <c r="U375" s="75" t="n">
        <v>0</v>
      </c>
      <c r="V375" s="76">
        <f>IFERROR(IF(U375="",0,CEILING((U375/$H375),1)*$H375),"")</f>
        <v/>
      </c>
      <c r="W375" s="30">
        <f>IFERROR(IF(V375=0,"",ROUNDUP(V375/H375,0)*0.00937),"")</f>
        <v/>
      </c>
      <c r="X375" s="31" t="inlineStr"/>
      <c r="Y375" s="32" t="inlineStr"/>
    </row>
    <row r="376">
      <c r="A376" s="17" t="inlineStr">
        <is>
          <t>SU002635</t>
        </is>
      </c>
      <c r="B376" s="17" t="inlineStr">
        <is>
          <t>P002992</t>
        </is>
      </c>
      <c r="C376" s="18" t="n">
        <v>4301011372</v>
      </c>
      <c r="D376" s="19" t="n">
        <v>4680115882782</v>
      </c>
      <c r="E376" s="71" t="n"/>
      <c r="F376" s="72" t="n">
        <v>0.6</v>
      </c>
      <c r="G376" s="21" t="n">
        <v>6</v>
      </c>
      <c r="H376" s="72" t="n">
        <v>3.6</v>
      </c>
      <c r="I376" s="72" t="n">
        <v>3.84</v>
      </c>
      <c r="J376" s="21" t="n">
        <v>120</v>
      </c>
      <c r="K376" s="22" t="inlineStr">
        <is>
          <t>СК1</t>
        </is>
      </c>
      <c r="L376" s="21" t="n">
        <v>50</v>
      </c>
      <c r="M376" s="73" t="inlineStr">
        <is>
          <t>Вареные колбасы "Дугушка со шпиком" Фикс.вес 0,6 П/а ТМ "Дугушка"</t>
        </is>
      </c>
      <c r="N376" s="74" t="n"/>
      <c r="O376" s="74" t="n"/>
      <c r="P376" s="74" t="n"/>
      <c r="Q376" s="71" t="n"/>
      <c r="R376" s="26" t="inlineStr"/>
      <c r="S376" s="26" t="inlineStr"/>
      <c r="T376" s="27" t="inlineStr">
        <is>
          <t>кг</t>
        </is>
      </c>
      <c r="U376" s="75" t="n">
        <v>0</v>
      </c>
      <c r="V376" s="76">
        <f>IFERROR(IF(U376="",0,CEILING((U376/$H376),1)*$H376),"")</f>
        <v/>
      </c>
      <c r="W376" s="30">
        <f>IFERROR(IF(V376=0,"",ROUNDUP(V376/H376,0)*0.00937),"")</f>
        <v/>
      </c>
      <c r="X376" s="31" t="inlineStr"/>
      <c r="Y376" s="32" t="inlineStr"/>
    </row>
    <row r="377">
      <c r="A377" s="17" t="inlineStr">
        <is>
          <t>SU002020</t>
        </is>
      </c>
      <c r="B377" s="17" t="inlineStr">
        <is>
          <t>P002308</t>
        </is>
      </c>
      <c r="C377" s="18" t="n">
        <v>4301011190</v>
      </c>
      <c r="D377" s="19" t="n">
        <v>4607091389098</v>
      </c>
      <c r="E377" s="71" t="n"/>
      <c r="F377" s="72" t="n">
        <v>0.4</v>
      </c>
      <c r="G377" s="21" t="n">
        <v>6</v>
      </c>
      <c r="H377" s="72" t="n">
        <v>2.4</v>
      </c>
      <c r="I377" s="72" t="n">
        <v>2.6</v>
      </c>
      <c r="J377" s="21" t="n">
        <v>156</v>
      </c>
      <c r="K377" s="22" t="inlineStr">
        <is>
          <t>СК3</t>
        </is>
      </c>
      <c r="L377" s="21" t="n">
        <v>50</v>
      </c>
      <c r="M377" s="8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7" s="74" t="n"/>
      <c r="O377" s="74" t="n"/>
      <c r="P377" s="74" t="n"/>
      <c r="Q377" s="71" t="n"/>
      <c r="R377" s="26" t="inlineStr"/>
      <c r="S377" s="26" t="inlineStr"/>
      <c r="T377" s="27" t="inlineStr">
        <is>
          <t>кг</t>
        </is>
      </c>
      <c r="U377" s="75" t="n">
        <v>0</v>
      </c>
      <c r="V377" s="76">
        <f>IFERROR(IF(U377="",0,CEILING((U377/$H377),1)*$H377),"")</f>
        <v/>
      </c>
      <c r="W377" s="30">
        <f>IFERROR(IF(V377=0,"",ROUNDUP(V377/H377,0)*0.00753),"")</f>
        <v/>
      </c>
      <c r="X377" s="31" t="inlineStr"/>
      <c r="Y377" s="32" t="inlineStr"/>
    </row>
    <row r="378">
      <c r="A378" s="17" t="inlineStr">
        <is>
          <t>SU002631</t>
        </is>
      </c>
      <c r="B378" s="17" t="inlineStr">
        <is>
          <t>P002981</t>
        </is>
      </c>
      <c r="C378" s="18" t="n">
        <v>4301011366</v>
      </c>
      <c r="D378" s="19" t="n">
        <v>4607091389982</v>
      </c>
      <c r="E378" s="71" t="n"/>
      <c r="F378" s="72" t="n">
        <v>0.6</v>
      </c>
      <c r="G378" s="21" t="n">
        <v>6</v>
      </c>
      <c r="H378" s="72" t="n">
        <v>3.6</v>
      </c>
      <c r="I378" s="72" t="n">
        <v>3.84</v>
      </c>
      <c r="J378" s="21" t="n">
        <v>120</v>
      </c>
      <c r="K378" s="22" t="inlineStr">
        <is>
          <t>СК1</t>
        </is>
      </c>
      <c r="L378" s="21" t="n">
        <v>55</v>
      </c>
      <c r="M378" s="73" t="inlineStr">
        <is>
          <t>Вареные колбасы "Молочная Дугушка" Фикс.вес 0,6 П/а ТМ "Дугушка"</t>
        </is>
      </c>
      <c r="N378" s="74" t="n"/>
      <c r="O378" s="74" t="n"/>
      <c r="P378" s="74" t="n"/>
      <c r="Q378" s="71" t="n"/>
      <c r="R378" s="26" t="inlineStr"/>
      <c r="S378" s="26" t="inlineStr"/>
      <c r="T378" s="27" t="inlineStr">
        <is>
          <t>кг</t>
        </is>
      </c>
      <c r="U378" s="75" t="n">
        <v>0</v>
      </c>
      <c r="V378" s="76">
        <f>IFERROR(IF(U378="",0,CEILING((U378/$H378),1)*$H378),"")</f>
        <v/>
      </c>
      <c r="W378" s="30">
        <f>IFERROR(IF(V378=0,"",ROUNDUP(V378/H378,0)*0.00937),"")</f>
        <v/>
      </c>
      <c r="X378" s="31" t="inlineStr"/>
      <c r="Y378" s="32" t="inlineStr"/>
    </row>
    <row r="379">
      <c r="A379" s="34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77" t="n"/>
      <c r="M379" s="78" t="inlineStr">
        <is>
          <t>Итого</t>
        </is>
      </c>
      <c r="N379" s="79" t="n"/>
      <c r="O379" s="79" t="n"/>
      <c r="P379" s="79" t="n"/>
      <c r="Q379" s="79" t="n"/>
      <c r="R379" s="79" t="n"/>
      <c r="S379" s="80" t="n"/>
      <c r="T379" s="38" t="inlineStr">
        <is>
          <t>кор</t>
        </is>
      </c>
      <c r="U379" s="81">
        <f>IFERROR(U369/H369,"0")+IFERROR(U370/H370,"0")+IFERROR(U371/H371,"0")+IFERROR(U372/H372,"0")+IFERROR(U373/H373,"0")+IFERROR(U374/H374,"0")+IFERROR(U375/H375,"0")+IFERROR(U376/H376,"0")+IFERROR(U377/H377,"0")+IFERROR(U378/H378,"0")</f>
        <v/>
      </c>
      <c r="V379" s="81">
        <f>IFERROR(V369/H369,"0")+IFERROR(V370/H370,"0")+IFERROR(V371/H371,"0")+IFERROR(V372/H372,"0")+IFERROR(V373/H373,"0")+IFERROR(V374/H374,"0")+IFERROR(V375/H375,"0")+IFERROR(V376/H376,"0")+IFERROR(V377/H377,"0")+IFERROR(V378/H378,"0")</f>
        <v/>
      </c>
      <c r="W379" s="81">
        <f>IFERROR(IF(W369="",0,W369),"0")+IFERROR(IF(W370="",0,W370),"0")+IFERROR(IF(W371="",0,W371),"0")+IFERROR(IF(W372="",0,W372),"0")+IFERROR(IF(W373="",0,W373),"0")+IFERROR(IF(W374="",0,W374),"0")+IFERROR(IF(W375="",0,W375),"0")+IFERROR(IF(W376="",0,W376),"0")+IFERROR(IF(W377="",0,W377),"0")+IFERROR(IF(W378="",0,W378),"0")</f>
        <v/>
      </c>
      <c r="X379" s="82" t="n"/>
      <c r="Y379" s="82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77" t="n"/>
      <c r="M380" s="78" t="inlineStr">
        <is>
          <t>Итого</t>
        </is>
      </c>
      <c r="N380" s="79" t="n"/>
      <c r="O380" s="79" t="n"/>
      <c r="P380" s="79" t="n"/>
      <c r="Q380" s="79" t="n"/>
      <c r="R380" s="79" t="n"/>
      <c r="S380" s="80" t="n"/>
      <c r="T380" s="38" t="inlineStr">
        <is>
          <t>кг</t>
        </is>
      </c>
      <c r="U380" s="81">
        <f>IFERROR(SUM(U369:U378),"0")</f>
        <v/>
      </c>
      <c r="V380" s="81">
        <f>IFERROR(SUM(V369:V378),"0")</f>
        <v/>
      </c>
      <c r="W380" s="38" t="n"/>
      <c r="X380" s="82" t="n"/>
      <c r="Y380" s="82" t="n"/>
    </row>
    <row r="381">
      <c r="A381" s="16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6" t="n"/>
      <c r="Y381" s="16" t="n"/>
    </row>
    <row r="382">
      <c r="A382" s="17" t="inlineStr">
        <is>
          <t>SU002035</t>
        </is>
      </c>
      <c r="B382" s="17" t="inlineStr">
        <is>
          <t>P003146</t>
        </is>
      </c>
      <c r="C382" s="18" t="n">
        <v>4301020222</v>
      </c>
      <c r="D382" s="19" t="n">
        <v>4607091388930</v>
      </c>
      <c r="E382" s="71" t="n"/>
      <c r="F382" s="72" t="n">
        <v>0.88</v>
      </c>
      <c r="G382" s="21" t="n">
        <v>6</v>
      </c>
      <c r="H382" s="72" t="n">
        <v>5.28</v>
      </c>
      <c r="I382" s="72" t="n">
        <v>5.64</v>
      </c>
      <c r="J382" s="21" t="n">
        <v>104</v>
      </c>
      <c r="K382" s="22" t="inlineStr">
        <is>
          <t>СК1</t>
        </is>
      </c>
      <c r="L382" s="21" t="n">
        <v>55</v>
      </c>
      <c r="M382" s="83">
        <f>HYPERLINK("https://abi.ru/products/Охлажденные/Дугушка/Дугушка/Ветчины/P003146/","Ветчины Дугушка Дугушка Вес б/о Дугушка")</f>
        <v/>
      </c>
      <c r="N382" s="74" t="n"/>
      <c r="O382" s="74" t="n"/>
      <c r="P382" s="74" t="n"/>
      <c r="Q382" s="71" t="n"/>
      <c r="R382" s="26" t="inlineStr"/>
      <c r="S382" s="26" t="inlineStr"/>
      <c r="T382" s="27" t="inlineStr">
        <is>
          <t>кг</t>
        </is>
      </c>
      <c r="U382" s="75" t="n">
        <v>0</v>
      </c>
      <c r="V382" s="76">
        <f>IFERROR(IF(U382="",0,CEILING((U382/$H382),1)*$H382),"")</f>
        <v/>
      </c>
      <c r="W382" s="30">
        <f>IFERROR(IF(V382=0,"",ROUNDUP(V382/H382,0)*0.01196),"")</f>
        <v/>
      </c>
      <c r="X382" s="31" t="inlineStr"/>
      <c r="Y382" s="32" t="inlineStr"/>
    </row>
    <row r="383">
      <c r="A383" s="17" t="inlineStr">
        <is>
          <t>SU002643</t>
        </is>
      </c>
      <c r="B383" s="17" t="inlineStr">
        <is>
          <t>P002993</t>
        </is>
      </c>
      <c r="C383" s="18" t="n">
        <v>4301020206</v>
      </c>
      <c r="D383" s="19" t="n">
        <v>4680115880054</v>
      </c>
      <c r="E383" s="71" t="n"/>
      <c r="F383" s="72" t="n">
        <v>0.6</v>
      </c>
      <c r="G383" s="21" t="n">
        <v>6</v>
      </c>
      <c r="H383" s="72" t="n">
        <v>3.6</v>
      </c>
      <c r="I383" s="72" t="n">
        <v>3.84</v>
      </c>
      <c r="J383" s="21" t="n">
        <v>120</v>
      </c>
      <c r="K383" s="22" t="inlineStr">
        <is>
          <t>СК1</t>
        </is>
      </c>
      <c r="L383" s="21" t="n">
        <v>55</v>
      </c>
      <c r="M383" s="73" t="inlineStr">
        <is>
          <t>Ветчины "Дугушка" Фикс.вес 0,6 П/а ТМ "Дугушка"</t>
        </is>
      </c>
      <c r="N383" s="74" t="n"/>
      <c r="O383" s="74" t="n"/>
      <c r="P383" s="74" t="n"/>
      <c r="Q383" s="71" t="n"/>
      <c r="R383" s="26" t="inlineStr"/>
      <c r="S383" s="26" t="inlineStr"/>
      <c r="T383" s="27" t="inlineStr">
        <is>
          <t>кг</t>
        </is>
      </c>
      <c r="U383" s="75" t="n">
        <v>0</v>
      </c>
      <c r="V383" s="76">
        <f>IFERROR(IF(U383="",0,CEILING((U383/$H383),1)*$H383),"")</f>
        <v/>
      </c>
      <c r="W383" s="30">
        <f>IFERROR(IF(V383=0,"",ROUNDUP(V383/H383,0)*0.00937),"")</f>
        <v/>
      </c>
      <c r="X383" s="31" t="inlineStr"/>
      <c r="Y383" s="32" t="inlineStr"/>
    </row>
    <row r="384">
      <c r="A384" s="3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77" t="n"/>
      <c r="M384" s="78" t="inlineStr">
        <is>
          <t>Итого</t>
        </is>
      </c>
      <c r="N384" s="79" t="n"/>
      <c r="O384" s="79" t="n"/>
      <c r="P384" s="79" t="n"/>
      <c r="Q384" s="79" t="n"/>
      <c r="R384" s="79" t="n"/>
      <c r="S384" s="80" t="n"/>
      <c r="T384" s="38" t="inlineStr">
        <is>
          <t>кор</t>
        </is>
      </c>
      <c r="U384" s="81">
        <f>IFERROR(U382/H382,"0")+IFERROR(U383/H383,"0")</f>
        <v/>
      </c>
      <c r="V384" s="81">
        <f>IFERROR(V382/H382,"0")+IFERROR(V383/H383,"0")</f>
        <v/>
      </c>
      <c r="W384" s="81">
        <f>IFERROR(IF(W382="",0,W382),"0")+IFERROR(IF(W383="",0,W383),"0")</f>
        <v/>
      </c>
      <c r="X384" s="82" t="n"/>
      <c r="Y384" s="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77" t="n"/>
      <c r="M385" s="78" t="inlineStr">
        <is>
          <t>Итого</t>
        </is>
      </c>
      <c r="N385" s="79" t="n"/>
      <c r="O385" s="79" t="n"/>
      <c r="P385" s="79" t="n"/>
      <c r="Q385" s="79" t="n"/>
      <c r="R385" s="79" t="n"/>
      <c r="S385" s="80" t="n"/>
      <c r="T385" s="38" t="inlineStr">
        <is>
          <t>кг</t>
        </is>
      </c>
      <c r="U385" s="81">
        <f>IFERROR(SUM(U382:U383),"0")</f>
        <v/>
      </c>
      <c r="V385" s="81">
        <f>IFERROR(SUM(V382:V383),"0")</f>
        <v/>
      </c>
      <c r="W385" s="38" t="n"/>
      <c r="X385" s="82" t="n"/>
      <c r="Y385" s="82" t="n"/>
    </row>
    <row r="386">
      <c r="A386" s="16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6" t="n"/>
      <c r="Y386" s="16" t="n"/>
    </row>
    <row r="387">
      <c r="A387" s="17" t="inlineStr">
        <is>
          <t>SU002150</t>
        </is>
      </c>
      <c r="B387" s="17" t="inlineStr">
        <is>
          <t>P003249</t>
        </is>
      </c>
      <c r="C387" s="18" t="n">
        <v>4301031198</v>
      </c>
      <c r="D387" s="19" t="n">
        <v>4607091383348</v>
      </c>
      <c r="E387" s="71" t="n"/>
      <c r="F387" s="72" t="n">
        <v>0.88</v>
      </c>
      <c r="G387" s="21" t="n">
        <v>6</v>
      </c>
      <c r="H387" s="72" t="n">
        <v>5.28</v>
      </c>
      <c r="I387" s="72" t="n">
        <v>5.64</v>
      </c>
      <c r="J387" s="21" t="n">
        <v>104</v>
      </c>
      <c r="K387" s="22" t="inlineStr">
        <is>
          <t>СК1</t>
        </is>
      </c>
      <c r="L387" s="21" t="n">
        <v>55</v>
      </c>
      <c r="M387" s="83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7" s="74" t="n"/>
      <c r="O387" s="74" t="n"/>
      <c r="P387" s="74" t="n"/>
      <c r="Q387" s="71" t="n"/>
      <c r="R387" s="26" t="inlineStr"/>
      <c r="S387" s="26" t="inlineStr"/>
      <c r="T387" s="27" t="inlineStr">
        <is>
          <t>кг</t>
        </is>
      </c>
      <c r="U387" s="75" t="n">
        <v>0</v>
      </c>
      <c r="V387" s="76">
        <f>IFERROR(IF(U387="",0,CEILING((U387/$H387),1)*$H387),"")</f>
        <v/>
      </c>
      <c r="W387" s="30">
        <f>IFERROR(IF(V387=0,"",ROUNDUP(V387/H387,0)*0.01196),"")</f>
        <v/>
      </c>
      <c r="X387" s="31" t="inlineStr"/>
      <c r="Y387" s="32" t="inlineStr"/>
    </row>
    <row r="388">
      <c r="A388" s="17" t="inlineStr">
        <is>
          <t>SU002158</t>
        </is>
      </c>
      <c r="B388" s="17" t="inlineStr">
        <is>
          <t>P003152</t>
        </is>
      </c>
      <c r="C388" s="18" t="n">
        <v>4301031188</v>
      </c>
      <c r="D388" s="19" t="n">
        <v>4607091383386</v>
      </c>
      <c r="E388" s="71" t="n"/>
      <c r="F388" s="72" t="n">
        <v>0.88</v>
      </c>
      <c r="G388" s="21" t="n">
        <v>6</v>
      </c>
      <c r="H388" s="72" t="n">
        <v>5.28</v>
      </c>
      <c r="I388" s="72" t="n">
        <v>5.64</v>
      </c>
      <c r="J388" s="21" t="n">
        <v>104</v>
      </c>
      <c r="K388" s="22" t="inlineStr">
        <is>
          <t>СК2</t>
        </is>
      </c>
      <c r="L388" s="21" t="n">
        <v>55</v>
      </c>
      <c r="M388" s="83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8" s="74" t="n"/>
      <c r="O388" s="74" t="n"/>
      <c r="P388" s="74" t="n"/>
      <c r="Q388" s="71" t="n"/>
      <c r="R388" s="26" t="inlineStr"/>
      <c r="S388" s="26" t="inlineStr"/>
      <c r="T388" s="27" t="inlineStr">
        <is>
          <t>кг</t>
        </is>
      </c>
      <c r="U388" s="75" t="n">
        <v>0</v>
      </c>
      <c r="V388" s="76">
        <f>IFERROR(IF(U388="",0,CEILING((U388/$H388),1)*$H388),"")</f>
        <v/>
      </c>
      <c r="W388" s="30">
        <f>IFERROR(IF(V388=0,"",ROUNDUP(V388/H388,0)*0.01196),"")</f>
        <v/>
      </c>
      <c r="X388" s="31" t="inlineStr"/>
      <c r="Y388" s="32" t="inlineStr"/>
    </row>
    <row r="389">
      <c r="A389" s="17" t="inlineStr">
        <is>
          <t>SU002151</t>
        </is>
      </c>
      <c r="B389" s="17" t="inlineStr">
        <is>
          <t>P003153</t>
        </is>
      </c>
      <c r="C389" s="18" t="n">
        <v>4301031189</v>
      </c>
      <c r="D389" s="19" t="n">
        <v>4607091383355</v>
      </c>
      <c r="E389" s="71" t="n"/>
      <c r="F389" s="72" t="n">
        <v>0.88</v>
      </c>
      <c r="G389" s="21" t="n">
        <v>6</v>
      </c>
      <c r="H389" s="72" t="n">
        <v>5.28</v>
      </c>
      <c r="I389" s="72" t="n">
        <v>5.64</v>
      </c>
      <c r="J389" s="21" t="n">
        <v>104</v>
      </c>
      <c r="K389" s="22" t="inlineStr">
        <is>
          <t>СК2</t>
        </is>
      </c>
      <c r="L389" s="21" t="n">
        <v>55</v>
      </c>
      <c r="M389" s="83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9" s="74" t="n"/>
      <c r="O389" s="74" t="n"/>
      <c r="P389" s="74" t="n"/>
      <c r="Q389" s="71" t="n"/>
      <c r="R389" s="26" t="inlineStr"/>
      <c r="S389" s="26" t="inlineStr"/>
      <c r="T389" s="27" t="inlineStr">
        <is>
          <t>кг</t>
        </is>
      </c>
      <c r="U389" s="75" t="n">
        <v>0</v>
      </c>
      <c r="V389" s="76">
        <f>IFERROR(IF(U389="",0,CEILING((U389/$H389),1)*$H389),"")</f>
        <v/>
      </c>
      <c r="W389" s="30">
        <f>IFERROR(IF(V389=0,"",ROUNDUP(V389/H389,0)*0.01196),"")</f>
        <v/>
      </c>
      <c r="X389" s="31" t="inlineStr"/>
      <c r="Y389" s="32" t="inlineStr"/>
    </row>
    <row r="390">
      <c r="A390" s="17" t="inlineStr">
        <is>
          <t>SU002916</t>
        </is>
      </c>
      <c r="B390" s="17" t="inlineStr">
        <is>
          <t>P003342</t>
        </is>
      </c>
      <c r="C390" s="18" t="n">
        <v>4301031214</v>
      </c>
      <c r="D390" s="19" t="n">
        <v>4680115882072</v>
      </c>
      <c r="E390" s="71" t="n"/>
      <c r="F390" s="72" t="n">
        <v>0.6</v>
      </c>
      <c r="G390" s="21" t="n">
        <v>6</v>
      </c>
      <c r="H390" s="72" t="n">
        <v>3.6</v>
      </c>
      <c r="I390" s="72" t="n">
        <v>3.84</v>
      </c>
      <c r="J390" s="21" t="n">
        <v>120</v>
      </c>
      <c r="K390" s="22" t="inlineStr">
        <is>
          <t>СК1</t>
        </is>
      </c>
      <c r="L390" s="21" t="n">
        <v>55</v>
      </c>
      <c r="M390" s="73" t="inlineStr">
        <is>
          <t>В/к колбасы "Рубленая Запеченная" Фикс.вес 0,6 Вектор ТМ "Дугушка"</t>
        </is>
      </c>
      <c r="N390" s="74" t="n"/>
      <c r="O390" s="74" t="n"/>
      <c r="P390" s="74" t="n"/>
      <c r="Q390" s="71" t="n"/>
      <c r="R390" s="26" t="inlineStr"/>
      <c r="S390" s="26" t="inlineStr"/>
      <c r="T390" s="27" t="inlineStr">
        <is>
          <t>кг</t>
        </is>
      </c>
      <c r="U390" s="75" t="n">
        <v>0</v>
      </c>
      <c r="V390" s="76">
        <f>IFERROR(IF(U390="",0,CEILING((U390/$H390),1)*$H390),"")</f>
        <v/>
      </c>
      <c r="W390" s="30">
        <f>IFERROR(IF(V390=0,"",ROUNDUP(V390/H390,0)*0.00937),"")</f>
        <v/>
      </c>
      <c r="X390" s="31" t="inlineStr"/>
      <c r="Y390" s="32" t="inlineStr"/>
    </row>
    <row r="391">
      <c r="A391" s="17" t="inlineStr">
        <is>
          <t>SU002919</t>
        </is>
      </c>
      <c r="B391" s="17" t="inlineStr">
        <is>
          <t>P003345</t>
        </is>
      </c>
      <c r="C391" s="18" t="n">
        <v>4301031217</v>
      </c>
      <c r="D391" s="19" t="n">
        <v>4680115882102</v>
      </c>
      <c r="E391" s="71" t="n"/>
      <c r="F391" s="72" t="n">
        <v>0.6</v>
      </c>
      <c r="G391" s="21" t="n">
        <v>6</v>
      </c>
      <c r="H391" s="72" t="n">
        <v>3.6</v>
      </c>
      <c r="I391" s="72" t="n">
        <v>3.81</v>
      </c>
      <c r="J391" s="21" t="n">
        <v>120</v>
      </c>
      <c r="K391" s="22" t="inlineStr">
        <is>
          <t>СК2</t>
        </is>
      </c>
      <c r="L391" s="21" t="n">
        <v>55</v>
      </c>
      <c r="M391" s="73" t="inlineStr">
        <is>
          <t>В/к колбасы "Салями Запеченая" Фикс.вес 0,6 Вектор ТМ "Дугушка"</t>
        </is>
      </c>
      <c r="N391" s="74" t="n"/>
      <c r="O391" s="74" t="n"/>
      <c r="P391" s="74" t="n"/>
      <c r="Q391" s="71" t="n"/>
      <c r="R391" s="26" t="inlineStr"/>
      <c r="S391" s="26" t="inlineStr"/>
      <c r="T391" s="27" t="inlineStr">
        <is>
          <t>кг</t>
        </is>
      </c>
      <c r="U391" s="75" t="n">
        <v>0</v>
      </c>
      <c r="V391" s="76">
        <f>IFERROR(IF(U391="",0,CEILING((U391/$H391),1)*$H391),"")</f>
        <v/>
      </c>
      <c r="W391" s="30">
        <f>IFERROR(IF(V391=0,"",ROUNDUP(V391/H391,0)*0.00937),"")</f>
        <v/>
      </c>
      <c r="X391" s="31" t="inlineStr"/>
      <c r="Y391" s="32" t="inlineStr"/>
    </row>
    <row r="392">
      <c r="A392" s="17" t="inlineStr">
        <is>
          <t>SU002918</t>
        </is>
      </c>
      <c r="B392" s="17" t="inlineStr">
        <is>
          <t>P003344</t>
        </is>
      </c>
      <c r="C392" s="18" t="n">
        <v>4301031216</v>
      </c>
      <c r="D392" s="19" t="n">
        <v>4680115882096</v>
      </c>
      <c r="E392" s="71" t="n"/>
      <c r="F392" s="72" t="n">
        <v>0.6</v>
      </c>
      <c r="G392" s="21" t="n">
        <v>6</v>
      </c>
      <c r="H392" s="72" t="n">
        <v>3.6</v>
      </c>
      <c r="I392" s="72" t="n">
        <v>3.81</v>
      </c>
      <c r="J392" s="21" t="n">
        <v>120</v>
      </c>
      <c r="K392" s="22" t="inlineStr">
        <is>
          <t>СК2</t>
        </is>
      </c>
      <c r="L392" s="21" t="n">
        <v>55</v>
      </c>
      <c r="M392" s="73" t="inlineStr">
        <is>
          <t>В/к колбасы "Сервелат Запеченный" Фикс.вес 0,6 Вектор ТМ "Дугушка"</t>
        </is>
      </c>
      <c r="N392" s="74" t="n"/>
      <c r="O392" s="74" t="n"/>
      <c r="P392" s="74" t="n"/>
      <c r="Q392" s="71" t="n"/>
      <c r="R392" s="26" t="inlineStr"/>
      <c r="S392" s="26" t="inlineStr"/>
      <c r="T392" s="27" t="inlineStr">
        <is>
          <t>кг</t>
        </is>
      </c>
      <c r="U392" s="75" t="n">
        <v>0</v>
      </c>
      <c r="V392" s="76">
        <f>IFERROR(IF(U392="",0,CEILING((U392/$H392),1)*$H392),"")</f>
        <v/>
      </c>
      <c r="W392" s="30">
        <f>IFERROR(IF(V392=0,"",ROUNDUP(V392/H392,0)*0.00937),"")</f>
        <v/>
      </c>
      <c r="X392" s="31" t="inlineStr"/>
      <c r="Y392" s="32" t="inlineStr"/>
    </row>
    <row r="393">
      <c r="A393" s="34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77" t="n"/>
      <c r="M393" s="78" t="inlineStr">
        <is>
          <t>Итого</t>
        </is>
      </c>
      <c r="N393" s="79" t="n"/>
      <c r="O393" s="79" t="n"/>
      <c r="P393" s="79" t="n"/>
      <c r="Q393" s="79" t="n"/>
      <c r="R393" s="79" t="n"/>
      <c r="S393" s="80" t="n"/>
      <c r="T393" s="38" t="inlineStr">
        <is>
          <t>кор</t>
        </is>
      </c>
      <c r="U393" s="81">
        <f>IFERROR(U387/H387,"0")+IFERROR(U388/H388,"0")+IFERROR(U389/H389,"0")+IFERROR(U390/H390,"0")+IFERROR(U391/H391,"0")+IFERROR(U392/H392,"0")</f>
        <v/>
      </c>
      <c r="V393" s="81">
        <f>IFERROR(V387/H387,"0")+IFERROR(V388/H388,"0")+IFERROR(V389/H389,"0")+IFERROR(V390/H390,"0")+IFERROR(V391/H391,"0")+IFERROR(V392/H392,"0")</f>
        <v/>
      </c>
      <c r="W393" s="81">
        <f>IFERROR(IF(W387="",0,W387),"0")+IFERROR(IF(W388="",0,W388),"0")+IFERROR(IF(W389="",0,W389),"0")+IFERROR(IF(W390="",0,W390),"0")+IFERROR(IF(W391="",0,W391),"0")+IFERROR(IF(W392="",0,W392),"0")</f>
        <v/>
      </c>
      <c r="X393" s="82" t="n"/>
      <c r="Y393" s="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77" t="n"/>
      <c r="M394" s="78" t="inlineStr">
        <is>
          <t>Итого</t>
        </is>
      </c>
      <c r="N394" s="79" t="n"/>
      <c r="O394" s="79" t="n"/>
      <c r="P394" s="79" t="n"/>
      <c r="Q394" s="79" t="n"/>
      <c r="R394" s="79" t="n"/>
      <c r="S394" s="80" t="n"/>
      <c r="T394" s="38" t="inlineStr">
        <is>
          <t>кг</t>
        </is>
      </c>
      <c r="U394" s="81">
        <f>IFERROR(SUM(U387:U392),"0")</f>
        <v/>
      </c>
      <c r="V394" s="81">
        <f>IFERROR(SUM(V387:V392),"0")</f>
        <v/>
      </c>
      <c r="W394" s="38" t="n"/>
      <c r="X394" s="82" t="n"/>
      <c r="Y394" s="82" t="n"/>
    </row>
    <row r="395">
      <c r="A395" s="16" t="inlineStr">
        <is>
          <t>Сосиски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6" t="n"/>
      <c r="Y395" s="16" t="n"/>
    </row>
    <row r="396">
      <c r="A396" s="17" t="inlineStr">
        <is>
          <t>SU002218</t>
        </is>
      </c>
      <c r="B396" s="17" t="inlineStr">
        <is>
          <t>P002854</t>
        </is>
      </c>
      <c r="C396" s="18" t="n">
        <v>4301051230</v>
      </c>
      <c r="D396" s="19" t="n">
        <v>4607091383409</v>
      </c>
      <c r="E396" s="71" t="n"/>
      <c r="F396" s="72" t="n">
        <v>1.3</v>
      </c>
      <c r="G396" s="21" t="n">
        <v>6</v>
      </c>
      <c r="H396" s="72" t="n">
        <v>7.8</v>
      </c>
      <c r="I396" s="72" t="n">
        <v>8.346</v>
      </c>
      <c r="J396" s="21" t="n">
        <v>56</v>
      </c>
      <c r="K396" s="22" t="inlineStr">
        <is>
          <t>СК2</t>
        </is>
      </c>
      <c r="L396" s="21" t="n">
        <v>45</v>
      </c>
      <c r="M396" s="83">
        <f>HYPERLINK("https://abi.ru/products/Охлажденные/Дугушка/Дугушка/Сосиски/P002854/","Сосиски Молочные Дугушки Дугушка Весовые П/а мгс Дугушка")</f>
        <v/>
      </c>
      <c r="N396" s="74" t="n"/>
      <c r="O396" s="74" t="n"/>
      <c r="P396" s="74" t="n"/>
      <c r="Q396" s="71" t="n"/>
      <c r="R396" s="26" t="inlineStr"/>
      <c r="S396" s="26" t="inlineStr"/>
      <c r="T396" s="27" t="inlineStr">
        <is>
          <t>кг</t>
        </is>
      </c>
      <c r="U396" s="75" t="n">
        <v>0</v>
      </c>
      <c r="V396" s="76">
        <f>IFERROR(IF(U396="",0,CEILING((U396/$H396),1)*$H396),"")</f>
        <v/>
      </c>
      <c r="W396" s="30">
        <f>IFERROR(IF(V396=0,"",ROUNDUP(V396/H396,0)*0.02175),"")</f>
        <v/>
      </c>
      <c r="X396" s="31" t="inlineStr"/>
      <c r="Y396" s="32" t="inlineStr"/>
    </row>
    <row r="397">
      <c r="A397" s="17" t="inlineStr">
        <is>
          <t>SU002219</t>
        </is>
      </c>
      <c r="B397" s="17" t="inlineStr">
        <is>
          <t>P002855</t>
        </is>
      </c>
      <c r="C397" s="18" t="n">
        <v>4301051231</v>
      </c>
      <c r="D397" s="19" t="n">
        <v>4607091383416</v>
      </c>
      <c r="E397" s="71" t="n"/>
      <c r="F397" s="72" t="n">
        <v>1.3</v>
      </c>
      <c r="G397" s="21" t="n">
        <v>6</v>
      </c>
      <c r="H397" s="72" t="n">
        <v>7.8</v>
      </c>
      <c r="I397" s="72" t="n">
        <v>8.346</v>
      </c>
      <c r="J397" s="21" t="n">
        <v>56</v>
      </c>
      <c r="K397" s="22" t="inlineStr">
        <is>
          <t>СК2</t>
        </is>
      </c>
      <c r="L397" s="21" t="n">
        <v>45</v>
      </c>
      <c r="M397" s="83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7" s="74" t="n"/>
      <c r="O397" s="74" t="n"/>
      <c r="P397" s="74" t="n"/>
      <c r="Q397" s="71" t="n"/>
      <c r="R397" s="26" t="inlineStr"/>
      <c r="S397" s="26" t="inlineStr"/>
      <c r="T397" s="27" t="inlineStr">
        <is>
          <t>кг</t>
        </is>
      </c>
      <c r="U397" s="75" t="n">
        <v>0</v>
      </c>
      <c r="V397" s="76">
        <f>IFERROR(IF(U397="",0,CEILING((U397/$H397),1)*$H397),"")</f>
        <v/>
      </c>
      <c r="W397" s="30">
        <f>IFERROR(IF(V397=0,"",ROUNDUP(V397/H397,0)*0.02175),"")</f>
        <v/>
      </c>
      <c r="X397" s="31" t="inlineStr"/>
      <c r="Y397" s="32" t="inlineStr"/>
    </row>
    <row r="398">
      <c r="A398" s="3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77" t="n"/>
      <c r="M398" s="78" t="inlineStr">
        <is>
          <t>Итого</t>
        </is>
      </c>
      <c r="N398" s="79" t="n"/>
      <c r="O398" s="79" t="n"/>
      <c r="P398" s="79" t="n"/>
      <c r="Q398" s="79" t="n"/>
      <c r="R398" s="79" t="n"/>
      <c r="S398" s="80" t="n"/>
      <c r="T398" s="38" t="inlineStr">
        <is>
          <t>кор</t>
        </is>
      </c>
      <c r="U398" s="81">
        <f>IFERROR(U396/H396,"0")+IFERROR(U397/H397,"0")</f>
        <v/>
      </c>
      <c r="V398" s="81">
        <f>IFERROR(V396/H396,"0")+IFERROR(V397/H397,"0")</f>
        <v/>
      </c>
      <c r="W398" s="81">
        <f>IFERROR(IF(W396="",0,W396),"0")+IFERROR(IF(W397="",0,W397),"0")</f>
        <v/>
      </c>
      <c r="X398" s="82" t="n"/>
      <c r="Y398" s="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77" t="n"/>
      <c r="M399" s="78" t="inlineStr">
        <is>
          <t>Итого</t>
        </is>
      </c>
      <c r="N399" s="79" t="n"/>
      <c r="O399" s="79" t="n"/>
      <c r="P399" s="79" t="n"/>
      <c r="Q399" s="79" t="n"/>
      <c r="R399" s="79" t="n"/>
      <c r="S399" s="80" t="n"/>
      <c r="T399" s="38" t="inlineStr">
        <is>
          <t>кг</t>
        </is>
      </c>
      <c r="U399" s="81">
        <f>IFERROR(SUM(U396:U397),"0")</f>
        <v/>
      </c>
      <c r="V399" s="81">
        <f>IFERROR(SUM(V396:V397),"0")</f>
        <v/>
      </c>
      <c r="W399" s="38" t="n"/>
      <c r="X399" s="82" t="n"/>
      <c r="Y399" s="82" t="n"/>
    </row>
    <row r="400" ht="20.25" customHeight="1">
      <c r="A400" s="11" t="inlineStr">
        <is>
          <t>Зареченские</t>
        </is>
      </c>
      <c r="B400" s="70" t="n"/>
      <c r="C400" s="70" t="n"/>
      <c r="D400" s="70" t="n"/>
      <c r="E400" s="70" t="n"/>
      <c r="F400" s="70" t="n"/>
      <c r="G400" s="70" t="n"/>
      <c r="H400" s="70" t="n"/>
      <c r="I400" s="70" t="n"/>
      <c r="J400" s="70" t="n"/>
      <c r="K400" s="70" t="n"/>
      <c r="L400" s="70" t="n"/>
      <c r="M400" s="70" t="n"/>
      <c r="N400" s="70" t="n"/>
      <c r="O400" s="70" t="n"/>
      <c r="P400" s="70" t="n"/>
      <c r="Q400" s="70" t="n"/>
      <c r="R400" s="70" t="n"/>
      <c r="S400" s="70" t="n"/>
      <c r="T400" s="70" t="n"/>
      <c r="U400" s="70" t="n"/>
      <c r="V400" s="70" t="n"/>
      <c r="W400" s="70" t="n"/>
      <c r="X400" s="12" t="n"/>
      <c r="Y400" s="12" t="n"/>
    </row>
    <row r="401">
      <c r="A401" s="14" t="inlineStr">
        <is>
          <t>Зареченские продукты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4" t="n"/>
      <c r="Y401" s="14" t="n"/>
    </row>
    <row r="402">
      <c r="A402" s="16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6" t="n"/>
      <c r="Y402" s="16" t="n"/>
    </row>
    <row r="403">
      <c r="A403" s="17" t="inlineStr">
        <is>
          <t>SU002807</t>
        </is>
      </c>
      <c r="B403" s="17" t="inlineStr">
        <is>
          <t>P003210</t>
        </is>
      </c>
      <c r="C403" s="18" t="n">
        <v>4301011434</v>
      </c>
      <c r="D403" s="19" t="n">
        <v>4680115881099</v>
      </c>
      <c r="E403" s="71" t="n"/>
      <c r="F403" s="72" t="n">
        <v>1.5</v>
      </c>
      <c r="G403" s="21" t="n">
        <v>8</v>
      </c>
      <c r="H403" s="72" t="n">
        <v>12</v>
      </c>
      <c r="I403" s="72" t="n">
        <v>12.48</v>
      </c>
      <c r="J403" s="21" t="n">
        <v>56</v>
      </c>
      <c r="K403" s="22" t="inlineStr">
        <is>
          <t>СК1</t>
        </is>
      </c>
      <c r="L403" s="21" t="n">
        <v>50</v>
      </c>
      <c r="M403" s="73" t="inlineStr">
        <is>
          <t>Вареные колбасы "Муромская" Весовой п/а ТМ "Зареченские"</t>
        </is>
      </c>
      <c r="N403" s="74" t="n"/>
      <c r="O403" s="74" t="n"/>
      <c r="P403" s="74" t="n"/>
      <c r="Q403" s="71" t="n"/>
      <c r="R403" s="26" t="inlineStr"/>
      <c r="S403" s="26" t="inlineStr"/>
      <c r="T403" s="27" t="inlineStr">
        <is>
          <t>кг</t>
        </is>
      </c>
      <c r="U403" s="75" t="n">
        <v>0</v>
      </c>
      <c r="V403" s="76">
        <f>IFERROR(IF(U403="",0,CEILING((U403/$H403),1)*$H403),"")</f>
        <v/>
      </c>
      <c r="W403" s="30">
        <f>IFERROR(IF(V403=0,"",ROUNDUP(V403/H403,0)*0.02175),"")</f>
        <v/>
      </c>
      <c r="X403" s="31" t="inlineStr"/>
      <c r="Y403" s="32" t="inlineStr"/>
    </row>
    <row r="404">
      <c r="A404" s="17" t="inlineStr">
        <is>
          <t>SU002808</t>
        </is>
      </c>
      <c r="B404" s="17" t="inlineStr">
        <is>
          <t>P003214</t>
        </is>
      </c>
      <c r="C404" s="18" t="n">
        <v>4301011435</v>
      </c>
      <c r="D404" s="19" t="n">
        <v>4680115881150</v>
      </c>
      <c r="E404" s="71" t="n"/>
      <c r="F404" s="72" t="n">
        <v>1.5</v>
      </c>
      <c r="G404" s="21" t="n">
        <v>8</v>
      </c>
      <c r="H404" s="72" t="n">
        <v>12</v>
      </c>
      <c r="I404" s="72" t="n">
        <v>12.48</v>
      </c>
      <c r="J404" s="21" t="n">
        <v>56</v>
      </c>
      <c r="K404" s="22" t="inlineStr">
        <is>
          <t>СК1</t>
        </is>
      </c>
      <c r="L404" s="21" t="n">
        <v>50</v>
      </c>
      <c r="M404" s="73" t="inlineStr">
        <is>
          <t>Вареные колбасы "Нежная" НТУ Весовые П/а ТМ "Зареченские"</t>
        </is>
      </c>
      <c r="N404" s="74" t="n"/>
      <c r="O404" s="74" t="n"/>
      <c r="P404" s="74" t="n"/>
      <c r="Q404" s="71" t="n"/>
      <c r="R404" s="26" t="inlineStr"/>
      <c r="S404" s="26" t="inlineStr"/>
      <c r="T404" s="27" t="inlineStr">
        <is>
          <t>кг</t>
        </is>
      </c>
      <c r="U404" s="75" t="n">
        <v>0</v>
      </c>
      <c r="V404" s="76">
        <f>IFERROR(IF(U404="",0,CEILING((U404/$H404),1)*$H404),"")</f>
        <v/>
      </c>
      <c r="W404" s="30">
        <f>IFERROR(IF(V404=0,"",ROUNDUP(V404/H404,0)*0.02175),"")</f>
        <v/>
      </c>
      <c r="X404" s="31" t="inlineStr"/>
      <c r="Y404" s="32" t="inlineStr"/>
    </row>
    <row r="405">
      <c r="A405" s="34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77" t="n"/>
      <c r="M405" s="78" t="inlineStr">
        <is>
          <t>Итого</t>
        </is>
      </c>
      <c r="N405" s="79" t="n"/>
      <c r="O405" s="79" t="n"/>
      <c r="P405" s="79" t="n"/>
      <c r="Q405" s="79" t="n"/>
      <c r="R405" s="79" t="n"/>
      <c r="S405" s="80" t="n"/>
      <c r="T405" s="38" t="inlineStr">
        <is>
          <t>кор</t>
        </is>
      </c>
      <c r="U405" s="81">
        <f>IFERROR(U403/H403,"0")+IFERROR(U404/H404,"0")</f>
        <v/>
      </c>
      <c r="V405" s="81">
        <f>IFERROR(V403/H403,"0")+IFERROR(V404/H404,"0")</f>
        <v/>
      </c>
      <c r="W405" s="81">
        <f>IFERROR(IF(W403="",0,W403),"0")+IFERROR(IF(W404="",0,W404),"0")</f>
        <v/>
      </c>
      <c r="X405" s="82" t="n"/>
      <c r="Y405" s="82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77" t="n"/>
      <c r="M406" s="78" t="inlineStr">
        <is>
          <t>Итого</t>
        </is>
      </c>
      <c r="N406" s="79" t="n"/>
      <c r="O406" s="79" t="n"/>
      <c r="P406" s="79" t="n"/>
      <c r="Q406" s="79" t="n"/>
      <c r="R406" s="79" t="n"/>
      <c r="S406" s="80" t="n"/>
      <c r="T406" s="38" t="inlineStr">
        <is>
          <t>кг</t>
        </is>
      </c>
      <c r="U406" s="81">
        <f>IFERROR(SUM(U403:U404),"0")</f>
        <v/>
      </c>
      <c r="V406" s="81">
        <f>IFERROR(SUM(V403:V404),"0")</f>
        <v/>
      </c>
      <c r="W406" s="38" t="n"/>
      <c r="X406" s="82" t="n"/>
      <c r="Y406" s="82" t="n"/>
    </row>
    <row r="407">
      <c r="A407" s="16" t="inlineStr">
        <is>
          <t>Ветчины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6" t="n"/>
      <c r="Y407" s="16" t="n"/>
    </row>
    <row r="408">
      <c r="A408" s="17" t="inlineStr">
        <is>
          <t>SU002806</t>
        </is>
      </c>
      <c r="B408" s="17" t="inlineStr">
        <is>
          <t>P003207</t>
        </is>
      </c>
      <c r="C408" s="18" t="n">
        <v>4301020230</v>
      </c>
      <c r="D408" s="19" t="n">
        <v>4680115881112</v>
      </c>
      <c r="E408" s="71" t="n"/>
      <c r="F408" s="72" t="n">
        <v>1.35</v>
      </c>
      <c r="G408" s="21" t="n">
        <v>8</v>
      </c>
      <c r="H408" s="72" t="n">
        <v>10.8</v>
      </c>
      <c r="I408" s="72" t="n">
        <v>11.28</v>
      </c>
      <c r="J408" s="21" t="n">
        <v>56</v>
      </c>
      <c r="K408" s="22" t="inlineStr">
        <is>
          <t>СК1</t>
        </is>
      </c>
      <c r="L408" s="21" t="n">
        <v>50</v>
      </c>
      <c r="M408" s="73" t="inlineStr">
        <is>
          <t>Ветчины "Нежная" Весовой п/а ТМ "Зареченские"</t>
        </is>
      </c>
      <c r="N408" s="74" t="n"/>
      <c r="O408" s="74" t="n"/>
      <c r="P408" s="74" t="n"/>
      <c r="Q408" s="71" t="n"/>
      <c r="R408" s="26" t="inlineStr"/>
      <c r="S408" s="26" t="inlineStr"/>
      <c r="T408" s="27" t="inlineStr">
        <is>
          <t>кг</t>
        </is>
      </c>
      <c r="U408" s="75" t="n">
        <v>0</v>
      </c>
      <c r="V408" s="76">
        <f>IFERROR(IF(U408="",0,CEILING((U408/$H408),1)*$H408),"")</f>
        <v/>
      </c>
      <c r="W408" s="30">
        <f>IFERROR(IF(V408=0,"",ROUNDUP(V408/H408,0)*0.02175),"")</f>
        <v/>
      </c>
      <c r="X408" s="31" t="inlineStr"/>
      <c r="Y408" s="32" t="inlineStr"/>
    </row>
    <row r="409">
      <c r="A409" s="17" t="inlineStr">
        <is>
          <t>SU002811</t>
        </is>
      </c>
      <c r="B409" s="17" t="inlineStr">
        <is>
          <t>P003208</t>
        </is>
      </c>
      <c r="C409" s="18" t="n">
        <v>4301020231</v>
      </c>
      <c r="D409" s="19" t="n">
        <v>4680115881129</v>
      </c>
      <c r="E409" s="71" t="n"/>
      <c r="F409" s="72" t="n">
        <v>1.8</v>
      </c>
      <c r="G409" s="21" t="n">
        <v>6</v>
      </c>
      <c r="H409" s="72" t="n">
        <v>10.8</v>
      </c>
      <c r="I409" s="72" t="n">
        <v>11.28</v>
      </c>
      <c r="J409" s="21" t="n">
        <v>56</v>
      </c>
      <c r="K409" s="22" t="inlineStr">
        <is>
          <t>СК1</t>
        </is>
      </c>
      <c r="L409" s="21" t="n">
        <v>50</v>
      </c>
      <c r="M409" s="73" t="inlineStr">
        <is>
          <t>Ветчины "Нежная" Весовой п/а ТМ "Зареченские" большой батон</t>
        </is>
      </c>
      <c r="N409" s="74" t="n"/>
      <c r="O409" s="74" t="n"/>
      <c r="P409" s="74" t="n"/>
      <c r="Q409" s="71" t="n"/>
      <c r="R409" s="26" t="inlineStr"/>
      <c r="S409" s="26" t="inlineStr"/>
      <c r="T409" s="27" t="inlineStr">
        <is>
          <t>кг</t>
        </is>
      </c>
      <c r="U409" s="75" t="n">
        <v>0</v>
      </c>
      <c r="V409" s="76">
        <f>IFERROR(IF(U409="",0,CEILING((U409/$H409),1)*$H409),"")</f>
        <v/>
      </c>
      <c r="W409" s="30">
        <f>IFERROR(IF(V409=0,"",ROUNDUP(V409/H409,0)*0.02175),"")</f>
        <v/>
      </c>
      <c r="X409" s="31" t="inlineStr"/>
      <c r="Y409" s="32" t="inlineStr"/>
    </row>
    <row r="410">
      <c r="A410" s="34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77" t="n"/>
      <c r="M410" s="78" t="inlineStr">
        <is>
          <t>Итого</t>
        </is>
      </c>
      <c r="N410" s="79" t="n"/>
      <c r="O410" s="79" t="n"/>
      <c r="P410" s="79" t="n"/>
      <c r="Q410" s="79" t="n"/>
      <c r="R410" s="79" t="n"/>
      <c r="S410" s="80" t="n"/>
      <c r="T410" s="38" t="inlineStr">
        <is>
          <t>кор</t>
        </is>
      </c>
      <c r="U410" s="81">
        <f>IFERROR(U408/H408,"0")+IFERROR(U409/H409,"0")</f>
        <v/>
      </c>
      <c r="V410" s="81">
        <f>IFERROR(V408/H408,"0")+IFERROR(V409/H409,"0")</f>
        <v/>
      </c>
      <c r="W410" s="81">
        <f>IFERROR(IF(W408="",0,W408),"0")+IFERROR(IF(W409="",0,W409),"0")</f>
        <v/>
      </c>
      <c r="X410" s="82" t="n"/>
      <c r="Y410" s="8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77" t="n"/>
      <c r="M411" s="78" t="inlineStr">
        <is>
          <t>Итого</t>
        </is>
      </c>
      <c r="N411" s="79" t="n"/>
      <c r="O411" s="79" t="n"/>
      <c r="P411" s="79" t="n"/>
      <c r="Q411" s="79" t="n"/>
      <c r="R411" s="79" t="n"/>
      <c r="S411" s="80" t="n"/>
      <c r="T411" s="38" t="inlineStr">
        <is>
          <t>кг</t>
        </is>
      </c>
      <c r="U411" s="81">
        <f>IFERROR(SUM(U408:U409),"0")</f>
        <v/>
      </c>
      <c r="V411" s="81">
        <f>IFERROR(SUM(V408:V409),"0")</f>
        <v/>
      </c>
      <c r="W411" s="38" t="n"/>
      <c r="X411" s="82" t="n"/>
      <c r="Y411" s="82" t="n"/>
    </row>
    <row r="412">
      <c r="A412" s="16" t="inlineStr">
        <is>
          <t>Копченые колбасы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6" t="n"/>
      <c r="Y412" s="16" t="n"/>
    </row>
    <row r="413">
      <c r="A413" s="17" t="inlineStr">
        <is>
          <t>SU002805</t>
        </is>
      </c>
      <c r="B413" s="17" t="inlineStr">
        <is>
          <t>P003206</t>
        </is>
      </c>
      <c r="C413" s="18" t="n">
        <v>4301031192</v>
      </c>
      <c r="D413" s="19" t="n">
        <v>4680115881167</v>
      </c>
      <c r="E413" s="71" t="n"/>
      <c r="F413" s="72" t="n">
        <v>0.63</v>
      </c>
      <c r="G413" s="21" t="n">
        <v>6</v>
      </c>
      <c r="H413" s="72" t="n">
        <v>3.78</v>
      </c>
      <c r="I413" s="72" t="n">
        <v>4.04</v>
      </c>
      <c r="J413" s="21" t="n">
        <v>156</v>
      </c>
      <c r="K413" s="22" t="inlineStr">
        <is>
          <t>СК2</t>
        </is>
      </c>
      <c r="L413" s="21" t="n">
        <v>40</v>
      </c>
      <c r="M413" s="73" t="inlineStr">
        <is>
          <t>Копченые колбасы Пражский Зареченские продукты Весовой фиброуз Зареченские</t>
        </is>
      </c>
      <c r="N413" s="74" t="n"/>
      <c r="O413" s="74" t="n"/>
      <c r="P413" s="74" t="n"/>
      <c r="Q413" s="71" t="n"/>
      <c r="R413" s="26" t="inlineStr"/>
      <c r="S413" s="26" t="inlineStr"/>
      <c r="T413" s="27" t="inlineStr">
        <is>
          <t>кг</t>
        </is>
      </c>
      <c r="U413" s="75" t="n">
        <v>0</v>
      </c>
      <c r="V413" s="76">
        <f>IFERROR(IF(U413="",0,CEILING((U413/$H413),1)*$H413),"")</f>
        <v/>
      </c>
      <c r="W413" s="30">
        <f>IFERROR(IF(V413=0,"",ROUNDUP(V413/H413,0)*0.00753),"")</f>
        <v/>
      </c>
      <c r="X413" s="31" t="inlineStr"/>
      <c r="Y413" s="32" t="inlineStr"/>
    </row>
    <row r="414">
      <c r="A414" s="17" t="inlineStr">
        <is>
          <t>SU002809</t>
        </is>
      </c>
      <c r="B414" s="17" t="inlineStr">
        <is>
          <t>P003216</t>
        </is>
      </c>
      <c r="C414" s="18" t="n">
        <v>4301031193</v>
      </c>
      <c r="D414" s="19" t="n">
        <v>4680115881136</v>
      </c>
      <c r="E414" s="71" t="n"/>
      <c r="F414" s="72" t="n">
        <v>0.63</v>
      </c>
      <c r="G414" s="21" t="n">
        <v>6</v>
      </c>
      <c r="H414" s="72" t="n">
        <v>3.78</v>
      </c>
      <c r="I414" s="72" t="n">
        <v>4.04</v>
      </c>
      <c r="J414" s="21" t="n">
        <v>156</v>
      </c>
      <c r="K414" s="22" t="inlineStr">
        <is>
          <t>СК2</t>
        </is>
      </c>
      <c r="L414" s="21" t="n">
        <v>40</v>
      </c>
      <c r="M414" s="73" t="inlineStr">
        <is>
          <t>В/к колбасы "Рижский" НТУ Весовые Фиброуз в/у ТМ "Зареченские"</t>
        </is>
      </c>
      <c r="N414" s="74" t="n"/>
      <c r="O414" s="74" t="n"/>
      <c r="P414" s="74" t="n"/>
      <c r="Q414" s="71" t="n"/>
      <c r="R414" s="26" t="inlineStr"/>
      <c r="S414" s="26" t="inlineStr"/>
      <c r="T414" s="27" t="inlineStr">
        <is>
          <t>кг</t>
        </is>
      </c>
      <c r="U414" s="75" t="n">
        <v>0</v>
      </c>
      <c r="V414" s="76">
        <f>IFERROR(IF(U414="",0,CEILING((U414/$H414),1)*$H414),"")</f>
        <v/>
      </c>
      <c r="W414" s="30">
        <f>IFERROR(IF(V414=0,"",ROUNDUP(V414/H414,0)*0.00753),"")</f>
        <v/>
      </c>
      <c r="X414" s="31" t="inlineStr"/>
      <c r="Y414" s="32" t="inlineStr"/>
    </row>
    <row r="415">
      <c r="A415" s="34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77" t="n"/>
      <c r="M415" s="78" t="inlineStr">
        <is>
          <t>Итого</t>
        </is>
      </c>
      <c r="N415" s="79" t="n"/>
      <c r="O415" s="79" t="n"/>
      <c r="P415" s="79" t="n"/>
      <c r="Q415" s="79" t="n"/>
      <c r="R415" s="79" t="n"/>
      <c r="S415" s="80" t="n"/>
      <c r="T415" s="38" t="inlineStr">
        <is>
          <t>кор</t>
        </is>
      </c>
      <c r="U415" s="81">
        <f>IFERROR(U413/H413,"0")+IFERROR(U414/H414,"0")</f>
        <v/>
      </c>
      <c r="V415" s="81">
        <f>IFERROR(V413/H413,"0")+IFERROR(V414/H414,"0")</f>
        <v/>
      </c>
      <c r="W415" s="81">
        <f>IFERROR(IF(W413="",0,W413),"0")+IFERROR(IF(W414="",0,W414),"0")</f>
        <v/>
      </c>
      <c r="X415" s="82" t="n"/>
      <c r="Y415" s="8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77" t="n"/>
      <c r="M416" s="78" t="inlineStr">
        <is>
          <t>Итого</t>
        </is>
      </c>
      <c r="N416" s="79" t="n"/>
      <c r="O416" s="79" t="n"/>
      <c r="P416" s="79" t="n"/>
      <c r="Q416" s="79" t="n"/>
      <c r="R416" s="79" t="n"/>
      <c r="S416" s="80" t="n"/>
      <c r="T416" s="38" t="inlineStr">
        <is>
          <t>кг</t>
        </is>
      </c>
      <c r="U416" s="81">
        <f>IFERROR(SUM(U413:U414),"0")</f>
        <v/>
      </c>
      <c r="V416" s="81">
        <f>IFERROR(SUM(V413:V414),"0")</f>
        <v/>
      </c>
      <c r="W416" s="38" t="n"/>
      <c r="X416" s="82" t="n"/>
      <c r="Y416" s="82" t="n"/>
    </row>
    <row r="417">
      <c r="A417" s="16" t="inlineStr">
        <is>
          <t>Сосиски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6" t="n"/>
      <c r="Y417" s="16" t="n"/>
    </row>
    <row r="418">
      <c r="A418" s="17" t="inlineStr">
        <is>
          <t>SU002810</t>
        </is>
      </c>
      <c r="B418" s="17" t="inlineStr">
        <is>
          <t>P003215</t>
        </is>
      </c>
      <c r="C418" s="18" t="n">
        <v>4301051383</v>
      </c>
      <c r="D418" s="19" t="n">
        <v>4680115881143</v>
      </c>
      <c r="E418" s="71" t="n"/>
      <c r="F418" s="72" t="n">
        <v>1.3</v>
      </c>
      <c r="G418" s="21" t="n">
        <v>6</v>
      </c>
      <c r="H418" s="72" t="n">
        <v>7.8</v>
      </c>
      <c r="I418" s="72" t="n">
        <v>8.364000000000001</v>
      </c>
      <c r="J418" s="21" t="n">
        <v>56</v>
      </c>
      <c r="K418" s="22" t="inlineStr">
        <is>
          <t>СК2</t>
        </is>
      </c>
      <c r="L418" s="21" t="n">
        <v>40</v>
      </c>
      <c r="M418" s="73" t="inlineStr">
        <is>
          <t>Сосиски "Датские" НТУ Весовые П/а мгс ТМ "Зареченские"</t>
        </is>
      </c>
      <c r="N418" s="74" t="n"/>
      <c r="O418" s="74" t="n"/>
      <c r="P418" s="74" t="n"/>
      <c r="Q418" s="71" t="n"/>
      <c r="R418" s="26" t="inlineStr"/>
      <c r="S418" s="26" t="inlineStr"/>
      <c r="T418" s="27" t="inlineStr">
        <is>
          <t>кг</t>
        </is>
      </c>
      <c r="U418" s="75" t="n">
        <v>0</v>
      </c>
      <c r="V418" s="76">
        <f>IFERROR(IF(U418="",0,CEILING((U418/$H418),1)*$H418),"")</f>
        <v/>
      </c>
      <c r="W418" s="30">
        <f>IFERROR(IF(V418=0,"",ROUNDUP(V418/H418,0)*0.02175),"")</f>
        <v/>
      </c>
      <c r="X418" s="31" t="inlineStr"/>
      <c r="Y418" s="32" t="inlineStr"/>
    </row>
    <row r="419">
      <c r="A419" s="17" t="inlineStr">
        <is>
          <t>SU002803</t>
        </is>
      </c>
      <c r="B419" s="17" t="inlineStr">
        <is>
          <t>P003204</t>
        </is>
      </c>
      <c r="C419" s="18" t="n">
        <v>4301051381</v>
      </c>
      <c r="D419" s="19" t="n">
        <v>4680115881068</v>
      </c>
      <c r="E419" s="71" t="n"/>
      <c r="F419" s="72" t="n">
        <v>1.3</v>
      </c>
      <c r="G419" s="21" t="n">
        <v>6</v>
      </c>
      <c r="H419" s="72" t="n">
        <v>7.8</v>
      </c>
      <c r="I419" s="72" t="n">
        <v>8.279999999999999</v>
      </c>
      <c r="J419" s="21" t="n">
        <v>56</v>
      </c>
      <c r="K419" s="22" t="inlineStr">
        <is>
          <t>СК2</t>
        </is>
      </c>
      <c r="L419" s="21" t="n">
        <v>30</v>
      </c>
      <c r="M419" s="73" t="inlineStr">
        <is>
          <t>Сосиски "Сочные" Весовой п/а ТМ "Зареченские"</t>
        </is>
      </c>
      <c r="N419" s="74" t="n"/>
      <c r="O419" s="74" t="n"/>
      <c r="P419" s="74" t="n"/>
      <c r="Q419" s="71" t="n"/>
      <c r="R419" s="26" t="inlineStr"/>
      <c r="S419" s="26" t="inlineStr"/>
      <c r="T419" s="27" t="inlineStr">
        <is>
          <t>кг</t>
        </is>
      </c>
      <c r="U419" s="75" t="n">
        <v>0</v>
      </c>
      <c r="V419" s="76">
        <f>IFERROR(IF(U419="",0,CEILING((U419/$H419),1)*$H419),"")</f>
        <v/>
      </c>
      <c r="W419" s="30">
        <f>IFERROR(IF(V419=0,"",ROUNDUP(V419/H419,0)*0.02175),"")</f>
        <v/>
      </c>
      <c r="X419" s="31" t="inlineStr"/>
      <c r="Y419" s="32" t="inlineStr"/>
    </row>
    <row r="420">
      <c r="A420" s="17" t="inlineStr">
        <is>
          <t>SU002804</t>
        </is>
      </c>
      <c r="B420" s="17" t="inlineStr">
        <is>
          <t>P003205</t>
        </is>
      </c>
      <c r="C420" s="18" t="n">
        <v>4301051382</v>
      </c>
      <c r="D420" s="19" t="n">
        <v>4680115881075</v>
      </c>
      <c r="E420" s="71" t="n"/>
      <c r="F420" s="72" t="n">
        <v>0.5</v>
      </c>
      <c r="G420" s="21" t="n">
        <v>6</v>
      </c>
      <c r="H420" s="72" t="n">
        <v>3</v>
      </c>
      <c r="I420" s="72" t="n">
        <v>3.2</v>
      </c>
      <c r="J420" s="21" t="n">
        <v>156</v>
      </c>
      <c r="K420" s="22" t="inlineStr">
        <is>
          <t>СК2</t>
        </is>
      </c>
      <c r="L420" s="21" t="n">
        <v>30</v>
      </c>
      <c r="M420" s="73" t="inlineStr">
        <is>
          <t>Сосиски "Сочные" Фикс.вес 0,5 п/а ТМ "Зареченские"</t>
        </is>
      </c>
      <c r="N420" s="74" t="n"/>
      <c r="O420" s="74" t="n"/>
      <c r="P420" s="74" t="n"/>
      <c r="Q420" s="71" t="n"/>
      <c r="R420" s="26" t="inlineStr"/>
      <c r="S420" s="26" t="inlineStr"/>
      <c r="T420" s="27" t="inlineStr">
        <is>
          <t>кг</t>
        </is>
      </c>
      <c r="U420" s="75" t="n">
        <v>0</v>
      </c>
      <c r="V420" s="76">
        <f>IFERROR(IF(U420="",0,CEILING((U420/$H420),1)*$H420),"")</f>
        <v/>
      </c>
      <c r="W420" s="30">
        <f>IFERROR(IF(V420=0,"",ROUNDUP(V420/H420,0)*0.00753),"")</f>
        <v/>
      </c>
      <c r="X420" s="31" t="inlineStr"/>
      <c r="Y420" s="32" t="inlineStr"/>
    </row>
    <row r="421">
      <c r="A421" s="3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77" t="n"/>
      <c r="M421" s="78" t="inlineStr">
        <is>
          <t>Итого</t>
        </is>
      </c>
      <c r="N421" s="79" t="n"/>
      <c r="O421" s="79" t="n"/>
      <c r="P421" s="79" t="n"/>
      <c r="Q421" s="79" t="n"/>
      <c r="R421" s="79" t="n"/>
      <c r="S421" s="80" t="n"/>
      <c r="T421" s="38" t="inlineStr">
        <is>
          <t>кор</t>
        </is>
      </c>
      <c r="U421" s="81">
        <f>IFERROR(U418/H418,"0")+IFERROR(U419/H419,"0")+IFERROR(U420/H420,"0")</f>
        <v/>
      </c>
      <c r="V421" s="81">
        <f>IFERROR(V418/H418,"0")+IFERROR(V419/H419,"0")+IFERROR(V420/H420,"0")</f>
        <v/>
      </c>
      <c r="W421" s="81">
        <f>IFERROR(IF(W418="",0,W418),"0")+IFERROR(IF(W419="",0,W419),"0")+IFERROR(IF(W420="",0,W420),"0")</f>
        <v/>
      </c>
      <c r="X421" s="82" t="n"/>
      <c r="Y421" s="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77" t="n"/>
      <c r="M422" s="78" t="inlineStr">
        <is>
          <t>Итого</t>
        </is>
      </c>
      <c r="N422" s="79" t="n"/>
      <c r="O422" s="79" t="n"/>
      <c r="P422" s="79" t="n"/>
      <c r="Q422" s="79" t="n"/>
      <c r="R422" s="79" t="n"/>
      <c r="S422" s="80" t="n"/>
      <c r="T422" s="38" t="inlineStr">
        <is>
          <t>кг</t>
        </is>
      </c>
      <c r="U422" s="81">
        <f>IFERROR(SUM(U418:U420),"0")</f>
        <v/>
      </c>
      <c r="V422" s="81">
        <f>IFERROR(SUM(V418:V420),"0")</f>
        <v/>
      </c>
      <c r="W422" s="38" t="n"/>
      <c r="X422" s="82" t="n"/>
      <c r="Y422" s="82" t="n"/>
    </row>
    <row r="423">
      <c r="A423" s="43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85" t="n"/>
      <c r="M423" s="86" t="inlineStr">
        <is>
          <t>ИТОГО НЕТТО</t>
        </is>
      </c>
      <c r="N423" s="87" t="n"/>
      <c r="O423" s="87" t="n"/>
      <c r="P423" s="87" t="n"/>
      <c r="Q423" s="87" t="n"/>
      <c r="R423" s="87" t="n"/>
      <c r="S423" s="63" t="n"/>
      <c r="T423" s="38" t="inlineStr">
        <is>
          <t>кг</t>
        </is>
      </c>
      <c r="U423" s="81">
        <f>IFERROR(U8+U17+U22+U26+U30+U36+U43+U62+U71+U83+U93+U100+U108+U116+U136+U142+U161+U187+U196+U202+U209+U220+U225+U231+U237+U241+U245+U258+U263+U267+U271+U275+U283+U288+U295+U299+U306+U322+U329+U333+U339+U343+U349+U357+U361+U365+U380+U385+U394+U399+U406+U411+U416+U422,"0")</f>
        <v/>
      </c>
      <c r="V423" s="81">
        <f>IFERROR(V8+V17+V22+V26+V30+V36+V43+V62+V71+V83+V93+V100+V108+V116+V136+V142+V161+V187+V196+V202+V209+V220+V225+V231+V237+V241+V245+V258+V263+V267+V271+V275+V283+V288+V295+V299+V306+V322+V329+V333+V339+V343+V349+V357+V361+V365+V380+V385+V394+V399+V406+V411+V416+V422,"0")</f>
        <v/>
      </c>
      <c r="W423" s="38" t="n"/>
      <c r="X423" s="82" t="n"/>
      <c r="Y423" s="82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85" t="n"/>
      <c r="M424" s="86" t="inlineStr">
        <is>
          <t>ИТОГО БРУТТО</t>
        </is>
      </c>
      <c r="N424" s="87" t="n"/>
      <c r="O424" s="87" t="n"/>
      <c r="P424" s="87" t="n"/>
      <c r="Q424" s="87" t="n"/>
      <c r="R424" s="87" t="n"/>
      <c r="S424" s="63" t="n"/>
      <c r="T424" s="38" t="inlineStr">
        <is>
          <t>кг</t>
        </is>
      </c>
      <c r="U424" s="81">
        <f>IFERROR(IFERROR(U6*I6/H6,"0")+IFERROR(U10*I10/H10,"0")+IFERROR(U11*I11/H11,"0")+IFERROR(U12*I12/H12,"0")+IFERROR(U13*I13/H13,"0")+IFERROR(U14*I14/H14,"0")+IFERROR(U15*I15/H15,"0")+IFERROR(U19*I19/H19,"0")+IFERROR(U20*I20/H20,"0")+IFERROR(U24*I24/H24,"0")+IFERROR(U28*I28/H28,"0")+IFERROR(U34*I34/H34,"0")+IFERROR(U39*I39/H39,"0")+IFERROR(U40*I40/H40,"0")+IFERROR(U41*I41/H41,"0")+IFERROR(U46*I46/H46,"0")+IFERROR(U47*I47/H47,"0")+IFERROR(U48*I48/H48,"0")+IFERROR(U49*I49/H49,"0")+IFERROR(U50*I50/H50,"0")+IFERROR(U51*I51/H51,"0")+IFERROR(U52*I52/H52,"0")+IFERROR(U53*I53/H53,"0")+IFERROR(U54*I54/H54,"0")+IFERROR(U55*I55/H55,"0")+IFERROR(U56*I56/H56,"0")+IFERROR(U57*I57/H57,"0")+IFERROR(U58*I58/H58,"0")+IFERROR(U59*I59/H59,"0")+IFERROR(U60*I60/H60,"0")+IFERROR(U64*I64/H64,"0")+IFERROR(U65*I65/H65,"0")+IFERROR(U66*I66/H66,"0")+IFERROR(U67*I67/H67,"0")+IFERROR(U68*I68/H68,"0")+IFERROR(U69*I69/H69,"0")+IFERROR(U73*I73/H73,"0")+IFERROR(U74*I74/H74,"0")+IFERROR(U75*I75/H75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95*I95/H95,"0")+IFERROR(U96*I96/H96,"0")+IFERROR(U97*I97/H97,"0")+IFERROR(U98*I98/H98,"0")+IFERROR(U103*I103/H103,"0")+IFERROR(U104*I104/H104,"0")+IFERROR(U105*I105/H105,"0")+IFERROR(U106*I106/H106,"0")+IFERROR(U112*I112/H112,"0")+IFERROR(U113*I113/H113,"0")+IFERROR(U114*I114/H114,"0")+IFERROR(U119*I119/H119,"0")+IFERROR(U120*I120/H120,"0")+IFERROR(U121*I121/H121,"0")+IFERROR(U122*I122/H122,"0")+IFERROR(U123*I123/H123,"0")+IFERROR(U124*I124/H124,"0")+IFERROR(U125*I125/H125,"0")+IFERROR(U126*I126/H126,"0")+IFERROR(U127*I127/H127,"0")+IFERROR(U128*I128/H128,"0")+IFERROR(U129*I129/H129,"0")+IFERROR(U130*I130/H130,"0")+IFERROR(U131*I131/H131,"0")+IFERROR(U132*I132/H132,"0")+IFERROR(U133*I133/H133,"0")+IFERROR(U134*I134/H134,"0")+IFERROR(U138*I138/H138,"0")+IFERROR(U139*I139/H139,"0")+IFERROR(U140*I140/H140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155*I155/H155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191*I191/H191,"0")+IFERROR(U192*I192/H192,"0")+IFERROR(U193*I193/H193,"0")+IFERROR(U194*I194/H194,"0")+IFERROR(U198*I198/H198,"0")+IFERROR(U199*I199/H199,"0")+IFERROR(U200*I200/H200,"0")+IFERROR(U204*I204/H204,"0")+IFERROR(U205*I205/H205,"0")+IFERROR(U206*I206/H206,"0")+IFERROR(U207*I207/H207,"0")+IFERROR(U212*I212/H212,"0")+IFERROR(U213*I213/H213,"0")+IFERROR(U214*I214/H214,"0")+IFERROR(U215*I215/H215,"0")+IFERROR(U216*I216/H216,"0")+IFERROR(U217*I217/H217,"0")+IFERROR(U218*I218/H218,"0")+IFERROR(U222*I222/H222,"0")+IFERROR(U223*I223/H223,"0")+IFERROR(U228*I228/H228,"0")+IFERROR(U229*I229/H229,"0")+IFERROR(U233*I233/H233,"0")+IFERROR(U234*I234/H234,"0")+IFERROR(U235*I235/H235,"0")+IFERROR(U239*I239/H239,"0")+IFERROR(U243*I243/H243,"0")+IFERROR(U249*I249/H249,"0")+IFERROR(U250*I250/H250,"0")+IFERROR(U251*I251/H251,"0")+IFERROR(U252*I252/H252,"0")+IFERROR(U253*I253/H253,"0")+IFERROR(U254*I254/H254,"0")+IFERROR(U255*I255/H255,"0")+IFERROR(U256*I256/H256,"0")+IFERROR(U260*I260/H260,"0")+IFERROR(U261*I261/H261,"0")+IFERROR(U265*I265/H265,"0")+IFERROR(U269*I269/H269,"0")+IFERROR(U273*I273/H273,"0")+IFERROR(U278*I278/H278,"0")+IFERROR(U279*I279/H279,"0")+IFERROR(U280*I280/H280,"0")+IFERROR(U281*I281/H281,"0")+IFERROR(U285*I285/H285,"0")+IFERROR(U286*I286/H286,"0")+IFERROR(U290*I290/H290,"0")+IFERROR(U291*I291/H291,"0")+IFERROR(U292*I292/H292,"0")+IFERROR(U293*I293/H293,"0")+IFERROR(U297*I297/H297,"0")+IFERROR(U303*I303/H303,"0")+IFERROR(U304*I304/H304,"0")+IFERROR(U308*I308/H308,"0")+IFERROR(U309*I309/H309,"0")+IFERROR(U310*I310/H310,"0")+IFERROR(U311*I311/H311,"0")+IFERROR(U312*I312/H312,"0")+IFERROR(U313*I313/H313,"0")+IFERROR(U314*I314/H314,"0")+IFERROR(U315*I315/H315,"0")+IFERROR(U316*I316/H316,"0")+IFERROR(U317*I317/H317,"0")+IFERROR(U318*I318/H318,"0")+IFERROR(U319*I319/H319,"0")+IFERROR(U320*I320/H320,"0")+IFERROR(U324*I324/H324,"0")+IFERROR(U325*I325/H325,"0")+IFERROR(U326*I326/H326,"0")+IFERROR(U327*I327/H327,"0")+IFERROR(U331*I331/H331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359*I359/H359,"0")+IFERROR(U363*I363/H363,"0")+IFERROR(U369*I369/H369,"0")+IFERROR(U370*I370/H370,"0")+IFERROR(U371*I371/H371,"0")+IFERROR(U372*I372/H372,"0")+IFERROR(U373*I373/H373,"0")+IFERROR(U374*I374/H374,"0")+IFERROR(U375*I375/H375,"0")+IFERROR(U376*I376/H376,"0")+IFERROR(U377*I377/H377,"0")+IFERROR(U378*I378/H378,"0")+IFERROR(U382*I382/H382,"0")+IFERROR(U383*I383/H383,"0")+IFERROR(U387*I387/H387,"0")+IFERROR(U388*I388/H388,"0")+IFERROR(U389*I389/H389,"0")+IFERROR(U390*I390/H390,"0")+IFERROR(U391*I391/H391,"0")+IFERROR(U392*I392/H392,"0")+IFERROR(U396*I396/H396,"0")+IFERROR(U397*I397/H397,"0")+IFERROR(U403*I403/H403,"0")+IFERROR(U404*I404/H404,"0")+IFERROR(U408*I408/H408,"0")+IFERROR(U409*I409/H409,"0")+IFERROR(U413*I413/H413,"0")+IFERROR(U414*I414/H414,"0")+IFERROR(U418*I418/H418,"0")+IFERROR(U419*I419/H419,"0")+IFERROR(U420*I420/H420,"0"),"0")</f>
        <v/>
      </c>
      <c r="V424" s="81">
        <f>IFERROR(IFERROR(V6*I6/H6,"0")+IFERROR(V10*I10/H10,"0")+IFERROR(V11*I11/H11,"0")+IFERROR(V12*I12/H12,"0")+IFERROR(V13*I13/H13,"0")+IFERROR(V14*I14/H14,"0")+IFERROR(V15*I15/H15,"0")+IFERROR(V19*I19/H19,"0")+IFERROR(V20*I20/H20,"0")+IFERROR(V24*I24/H24,"0")+IFERROR(V28*I28/H28,"0")+IFERROR(V34*I34/H34,"0")+IFERROR(V39*I39/H39,"0")+IFERROR(V40*I40/H40,"0")+IFERROR(V41*I41/H41,"0")+IFERROR(V46*I46/H46,"0")+IFERROR(V47*I47/H47,"0")+IFERROR(V48*I48/H48,"0")+IFERROR(V49*I49/H49,"0")+IFERROR(V50*I50/H50,"0")+IFERROR(V51*I51/H51,"0")+IFERROR(V52*I52/H52,"0")+IFERROR(V53*I53/H53,"0")+IFERROR(V54*I54/H54,"0")+IFERROR(V55*I55/H55,"0")+IFERROR(V56*I56/H56,"0")+IFERROR(V57*I57/H57,"0")+IFERROR(V58*I58/H58,"0")+IFERROR(V59*I59/H59,"0")+IFERROR(V60*I60/H60,"0")+IFERROR(V64*I64/H64,"0")+IFERROR(V65*I65/H65,"0")+IFERROR(V66*I66/H66,"0")+IFERROR(V67*I67/H67,"0")+IFERROR(V68*I68/H68,"0")+IFERROR(V69*I69/H69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103*I103/H103,"0")+IFERROR(V104*I104/H104,"0")+IFERROR(V105*I105/H105,"0")+IFERROR(V106*I106/H106,"0")+IFERROR(V112*I112/H112,"0")+IFERROR(V113*I113/H113,"0")+IFERROR(V114*I114/H114,"0")+IFERROR(V119*I119/H119,"0")+IFERROR(V120*I120/H120,"0")+IFERROR(V121*I121/H121,"0")+IFERROR(V122*I122/H122,"0")+IFERROR(V123*I123/H123,"0")+IFERROR(V124*I124/H124,"0")+IFERROR(V125*I125/H125,"0")+IFERROR(V126*I126/H126,"0")+IFERROR(V127*I127/H127,"0")+IFERROR(V128*I128/H128,"0")+IFERROR(V129*I129/H129,"0")+IFERROR(V130*I130/H130,"0")+IFERROR(V131*I131/H131,"0")+IFERROR(V132*I132/H132,"0")+IFERROR(V133*I133/H133,"0")+IFERROR(V134*I134/H134,"0")+IFERROR(V138*I138/H138,"0")+IFERROR(V139*I139/H139,"0")+IFERROR(V140*I140/H140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155*I155/H155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193*I193/H193,"0")+IFERROR(V194*I194/H194,"0")+IFERROR(V198*I198/H198,"0")+IFERROR(V199*I199/H199,"0")+IFERROR(V200*I200/H200,"0")+IFERROR(V204*I204/H204,"0")+IFERROR(V205*I205/H205,"0")+IFERROR(V206*I206/H206,"0")+IFERROR(V207*I207/H207,"0")+IFERROR(V212*I212/H212,"0")+IFERROR(V213*I213/H213,"0")+IFERROR(V214*I214/H214,"0")+IFERROR(V215*I215/H215,"0")+IFERROR(V216*I216/H216,"0")+IFERROR(V217*I217/H217,"0")+IFERROR(V218*I218/H218,"0")+IFERROR(V222*I222/H222,"0")+IFERROR(V223*I223/H223,"0")+IFERROR(V228*I228/H228,"0")+IFERROR(V229*I229/H229,"0")+IFERROR(V233*I233/H233,"0")+IFERROR(V234*I234/H234,"0")+IFERROR(V235*I235/H235,"0")+IFERROR(V239*I239/H239,"0")+IFERROR(V243*I243/H243,"0")+IFERROR(V249*I249/H249,"0")+IFERROR(V250*I250/H250,"0")+IFERROR(V251*I251/H251,"0")+IFERROR(V252*I252/H252,"0")+IFERROR(V253*I253/H253,"0")+IFERROR(V254*I254/H254,"0")+IFERROR(V255*I255/H255,"0")+IFERROR(V256*I256/H256,"0")+IFERROR(V260*I260/H260,"0")+IFERROR(V261*I261/H261,"0")+IFERROR(V265*I265/H265,"0")+IFERROR(V269*I269/H269,"0")+IFERROR(V273*I273/H273,"0")+IFERROR(V278*I278/H278,"0")+IFERROR(V279*I279/H279,"0")+IFERROR(V280*I280/H280,"0")+IFERROR(V281*I281/H281,"0")+IFERROR(V285*I285/H285,"0")+IFERROR(V286*I286/H286,"0")+IFERROR(V290*I290/H290,"0")+IFERROR(V291*I291/H291,"0")+IFERROR(V292*I292/H292,"0")+IFERROR(V293*I293/H293,"0")+IFERROR(V297*I297/H297,"0")+IFERROR(V303*I303/H303,"0")+IFERROR(V304*I304/H304,"0")+IFERROR(V308*I308/H308,"0")+IFERROR(V309*I309/H309,"0")+IFERROR(V310*I310/H310,"0")+IFERROR(V311*I311/H311,"0")+IFERROR(V312*I312/H312,"0")+IFERROR(V313*I313/H313,"0")+IFERROR(V314*I314/H314,"0")+IFERROR(V315*I315/H315,"0")+IFERROR(V316*I316/H316,"0")+IFERROR(V317*I317/H317,"0")+IFERROR(V318*I318/H318,"0")+IFERROR(V319*I319/H319,"0")+IFERROR(V320*I320/H320,"0")+IFERROR(V324*I324/H324,"0")+IFERROR(V325*I325/H325,"0")+IFERROR(V326*I326/H326,"0")+IFERROR(V327*I327/H327,"0")+IFERROR(V331*I331/H331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359*I359/H359,"0")+IFERROR(V363*I363/H363,"0")+IFERROR(V369*I369/H369,"0")+IFERROR(V370*I370/H370,"0")+IFERROR(V371*I371/H371,"0")+IFERROR(V372*I372/H372,"0")+IFERROR(V373*I373/H373,"0")+IFERROR(V374*I374/H374,"0")+IFERROR(V375*I375/H375,"0")+IFERROR(V376*I376/H376,"0")+IFERROR(V377*I377/H377,"0")+IFERROR(V378*I378/H378,"0")+IFERROR(V382*I382/H382,"0")+IFERROR(V383*I383/H383,"0")+IFERROR(V387*I387/H387,"0")+IFERROR(V388*I388/H388,"0")+IFERROR(V389*I389/H389,"0")+IFERROR(V390*I390/H390,"0")+IFERROR(V391*I391/H391,"0")+IFERROR(V392*I392/H392,"0")+IFERROR(V396*I396/H396,"0")+IFERROR(V397*I397/H397,"0")+IFERROR(V403*I403/H403,"0")+IFERROR(V404*I404/H404,"0")+IFERROR(V408*I408/H408,"0")+IFERROR(V409*I409/H409,"0")+IFERROR(V413*I413/H413,"0")+IFERROR(V414*I414/H414,"0")+IFERROR(V418*I418/H418,"0")+IFERROR(V419*I419/H419,"0")+IFERROR(V420*I420/H420,"0"),"0")</f>
        <v/>
      </c>
      <c r="W424" s="38" t="n"/>
      <c r="X424" s="82" t="n"/>
      <c r="Y424" s="8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85" t="n"/>
      <c r="M425" s="86" t="inlineStr">
        <is>
          <t>Кол-во паллет</t>
        </is>
      </c>
      <c r="N425" s="87" t="n"/>
      <c r="O425" s="87" t="n"/>
      <c r="P425" s="87" t="n"/>
      <c r="Q425" s="87" t="n"/>
      <c r="R425" s="87" t="n"/>
      <c r="S425" s="63" t="n"/>
      <c r="T425" s="38" t="inlineStr">
        <is>
          <t>шт</t>
        </is>
      </c>
      <c r="U425" s="88">
        <f>ROUNDUP(IFERROR(SUMPRODUCT(1/J6:J6*(U6:U6/H6:H6)),"0")+IFERROR(SUMPRODUCT(1/J10:J15*(U10:U15/H10:H15)),"0")+IFERROR(SUMPRODUCT(1/J19:J20*(U19:U20/H19:H20)),"0")+IFERROR(SUMPRODUCT(1/J24:J24*(U24:U24/H24:H24)),"0")+IFERROR(SUMPRODUCT(1/J28:J28*(U28:U28/H28:H28)),"0")+IFERROR(SUMPRODUCT(1/J34:J34*(U34:U34/H34:H34)),"0")+IFERROR(SUMPRODUCT(1/J39:J41*(U39:U41/H39:H41)),"0")+IFERROR(SUMPRODUCT(1/J46:J60*(U46:U60/H46:H60)),"0")+IFERROR(SUMPRODUCT(1/J64:J69*(U64:U69/H64:H69)),"0")+IFERROR(SUMPRODUCT(1/J73:J81*(U73:U81/H73:H81)),"0")+IFERROR(SUMPRODUCT(1/J85:J91*(U85:U91/H85:H91)),"0")+IFERROR(SUMPRODUCT(1/J95:J98*(U95:U98/H95:H98)),"0")+IFERROR(SUMPRODUCT(1/J103:J106*(U103:U106/H103:H106)),"0")+IFERROR(SUMPRODUCT(1/J112:J114*(U112:U114/H112:H114)),"0")+IFERROR(SUMPRODUCT(1/J119:J134*(U119:U134/H119:H134)),"0")+IFERROR(SUMPRODUCT(1/J138:J140*(U138:U140/H138:H140)),"0")+IFERROR(SUMPRODUCT(1/J144:J159*(U144:U159/H144:H159)),"0")+IFERROR(SUMPRODUCT(1/J163:J185*(U163:U185/H163:H185)),"0")+IFERROR(SUMPRODUCT(1/J189:J194*(U189:U194/H189:H194)),"0")+IFERROR(SUMPRODUCT(1/J198:J200*(U198:U200/H198:H200)),"0")+IFERROR(SUMPRODUCT(1/J204:J207*(U204:U207/H204:H207)),"0")+IFERROR(SUMPRODUCT(1/J212:J218*(U212:U218/H212:H218)),"0")+IFERROR(SUMPRODUCT(1/J222:J223*(U222:U223/H222:H223)),"0")+IFERROR(SUMPRODUCT(1/J228:J229*(U228:U229/H228:H229)),"0")+IFERROR(SUMPRODUCT(1/J233:J235*(U233:U235/H233:H235)),"0")+IFERROR(SUMPRODUCT(1/J239:J239*(U239:U239/H239:H239)),"0")+IFERROR(SUMPRODUCT(1/J243:J243*(U243:U243/H243:H243)),"0")+IFERROR(SUMPRODUCT(1/J249:J256*(U249:U256/H249:H256)),"0")+IFERROR(SUMPRODUCT(1/J260:J261*(U260:U261/H260:H261)),"0")+IFERROR(SUMPRODUCT(1/J265:J265*(U265:U265/H265:H265)),"0")+IFERROR(SUMPRODUCT(1/J269:J269*(U269:U269/H269:H269)),"0")+IFERROR(SUMPRODUCT(1/J273:J273*(U273:U273/H273:H273)),"0")+IFERROR(SUMPRODUCT(1/J278:J281*(U278:U281/H278:H281)),"0")+IFERROR(SUMPRODUCT(1/J285:J286*(U285:U286/H285:H286)),"0")+IFERROR(SUMPRODUCT(1/J290:J293*(U290:U293/H290:H293)),"0")+IFERROR(SUMPRODUCT(1/J297:J297*(U297:U297/H297:H297)),"0")+IFERROR(SUMPRODUCT(1/J303:J304*(U303:U304/H303:H304)),"0")+IFERROR(SUMPRODUCT(1/J308:J320*(U308:U320/H308:H320)),"0")+IFERROR(SUMPRODUCT(1/J324:J327*(U324:U327/H324:H327)),"0")+IFERROR(SUMPRODUCT(1/J331:J331*(U331:U331/H331:H331)),"0")+IFERROR(SUMPRODUCT(1/J335:J337*(U335:U337/H335:H337)),"0")+IFERROR(SUMPRODUCT(1/J341:J341*(U341:U341/H341:H341)),"0")+IFERROR(SUMPRODUCT(1/J346:J347*(U346:U347/H346:H347)),"0")+IFERROR(SUMPRODUCT(1/J351:J355*(U351:U355/H351:H355)),"0")+IFERROR(SUMPRODUCT(1/J359:J359*(U359:U359/H359:H359)),"0")+IFERROR(SUMPRODUCT(1/J363:J363*(U363:U363/H363:H363)),"0")+IFERROR(SUMPRODUCT(1/J369:J378*(U369:U378/H369:H378)),"0")+IFERROR(SUMPRODUCT(1/J382:J383*(U382:U383/H382:H383)),"0")+IFERROR(SUMPRODUCT(1/J387:J392*(U387:U392/H387:H392)),"0")+IFERROR(SUMPRODUCT(1/J396:J397*(U396:U397/H396:H397)),"0")+IFERROR(SUMPRODUCT(1/J403:J404*(U403:U404/H403:H404)),"0")+IFERROR(SUMPRODUCT(1/J408:J409*(U408:U409/H408:H409)),"0")+IFERROR(SUMPRODUCT(1/J413:J414*(U413:U414/H413:H414)),"0")+IFERROR(SUMPRODUCT(1/J418:J420*(U418:U420/H418:H420)),"0"),0)</f>
        <v/>
      </c>
      <c r="V425" s="88">
        <f>ROUNDUP(IFERROR(SUMPRODUCT(1/J6:J6*(V6:V6/H6:H6)),"0")+IFERROR(SUMPRODUCT(1/J10:J15*(V10:V15/H10:H15)),"0")+IFERROR(SUMPRODUCT(1/J19:J20*(V19:V20/H19:H20)),"0")+IFERROR(SUMPRODUCT(1/J24:J24*(V24:V24/H24:H24)),"0")+IFERROR(SUMPRODUCT(1/J28:J28*(V28:V28/H28:H28)),"0")+IFERROR(SUMPRODUCT(1/J34:J34*(V34:V34/H34:H34)),"0")+IFERROR(SUMPRODUCT(1/J39:J41*(V39:V41/H39:H41)),"0")+IFERROR(SUMPRODUCT(1/J46:J60*(V46:V60/H46:H60)),"0")+IFERROR(SUMPRODUCT(1/J64:J69*(V64:V69/H64:H69)),"0")+IFERROR(SUMPRODUCT(1/J73:J81*(V73:V81/H73:H81)),"0")+IFERROR(SUMPRODUCT(1/J85:J91*(V85:V91/H85:H91)),"0")+IFERROR(SUMPRODUCT(1/J95:J98*(V95:V98/H95:H98)),"0")+IFERROR(SUMPRODUCT(1/J103:J106*(V103:V106/H103:H106)),"0")+IFERROR(SUMPRODUCT(1/J112:J114*(V112:V114/H112:H114)),"0")+IFERROR(SUMPRODUCT(1/J119:J134*(V119:V134/H119:H134)),"0")+IFERROR(SUMPRODUCT(1/J138:J140*(V138:V140/H138:H140)),"0")+IFERROR(SUMPRODUCT(1/J144:J159*(V144:V159/H144:H159)),"0")+IFERROR(SUMPRODUCT(1/J163:J185*(V163:V185/H163:H185)),"0")+IFERROR(SUMPRODUCT(1/J189:J194*(V189:V194/H189:H194)),"0")+IFERROR(SUMPRODUCT(1/J198:J200*(V198:V200/H198:H200)),"0")+IFERROR(SUMPRODUCT(1/J204:J207*(V204:V207/H204:H207)),"0")+IFERROR(SUMPRODUCT(1/J212:J218*(V212:V218/H212:H218)),"0")+IFERROR(SUMPRODUCT(1/J222:J223*(V222:V223/H222:H223)),"0")+IFERROR(SUMPRODUCT(1/J228:J229*(V228:V229/H228:H229)),"0")+IFERROR(SUMPRODUCT(1/J233:J235*(V233:V235/H233:H235)),"0")+IFERROR(SUMPRODUCT(1/J239:J239*(V239:V239/H239:H239)),"0")+IFERROR(SUMPRODUCT(1/J243:J243*(V243:V243/H243:H243)),"0")+IFERROR(SUMPRODUCT(1/J249:J256*(V249:V256/H249:H256)),"0")+IFERROR(SUMPRODUCT(1/J260:J261*(V260:V261/H260:H261)),"0")+IFERROR(SUMPRODUCT(1/J265:J265*(V265:V265/H265:H265)),"0")+IFERROR(SUMPRODUCT(1/J269:J269*(V269:V269/H269:H269)),"0")+IFERROR(SUMPRODUCT(1/J273:J273*(V273:V273/H273:H273)),"0")+IFERROR(SUMPRODUCT(1/J278:J281*(V278:V281/H278:H281)),"0")+IFERROR(SUMPRODUCT(1/J285:J286*(V285:V286/H285:H286)),"0")+IFERROR(SUMPRODUCT(1/J290:J293*(V290:V293/H290:H293)),"0")+IFERROR(SUMPRODUCT(1/J297:J297*(V297:V297/H297:H297)),"0")+IFERROR(SUMPRODUCT(1/J303:J304*(V303:V304/H303:H304)),"0")+IFERROR(SUMPRODUCT(1/J308:J320*(V308:V320/H308:H320)),"0")+IFERROR(SUMPRODUCT(1/J324:J327*(V324:V327/H324:H327)),"0")+IFERROR(SUMPRODUCT(1/J331:J331*(V331:V331/H331:H331)),"0")+IFERROR(SUMPRODUCT(1/J335:J337*(V335:V337/H335:H337)),"0")+IFERROR(SUMPRODUCT(1/J341:J341*(V341:V341/H341:H341)),"0")+IFERROR(SUMPRODUCT(1/J346:J347*(V346:V347/H346:H347)),"0")+IFERROR(SUMPRODUCT(1/J351:J355*(V351:V355/H351:H355)),"0")+IFERROR(SUMPRODUCT(1/J359:J359*(V359:V359/H359:H359)),"0")+IFERROR(SUMPRODUCT(1/J363:J363*(V363:V363/H363:H363)),"0")+IFERROR(SUMPRODUCT(1/J369:J378*(V369:V378/H369:H378)),"0")+IFERROR(SUMPRODUCT(1/J382:J383*(V382:V383/H382:H383)),"0")+IFERROR(SUMPRODUCT(1/J387:J392*(V387:V392/H387:H392)),"0")+IFERROR(SUMPRODUCT(1/J396:J397*(V396:V397/H396:H397)),"0")+IFERROR(SUMPRODUCT(1/J403:J404*(V403:V404/H403:H404)),"0")+IFERROR(SUMPRODUCT(1/J408:J409*(V408:V409/H408:H409)),"0")+IFERROR(SUMPRODUCT(1/J413:J414*(V413:V414/H413:H414)),"0")+IFERROR(SUMPRODUCT(1/J418:J420*(V418:V420/H418:H420)),"0"),0)</f>
        <v/>
      </c>
      <c r="W425" s="38" t="n"/>
      <c r="X425" s="82" t="n"/>
      <c r="Y425" s="82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85" t="n"/>
      <c r="M426" s="86" t="inlineStr">
        <is>
          <t>Вес брутто  с паллетами</t>
        </is>
      </c>
      <c r="N426" s="87" t="n"/>
      <c r="O426" s="87" t="n"/>
      <c r="P426" s="87" t="n"/>
      <c r="Q426" s="87" t="n"/>
      <c r="R426" s="87" t="n"/>
      <c r="S426" s="63" t="n"/>
      <c r="T426" s="38" t="inlineStr">
        <is>
          <t>кг</t>
        </is>
      </c>
      <c r="U426" s="81">
        <f>GrossWeightTotal+PalletQtyTotal*25</f>
        <v/>
      </c>
      <c r="V426" s="81">
        <f>GrossWeightTotalR+PalletQtyTotalR*25</f>
        <v/>
      </c>
      <c r="W426" s="38" t="n"/>
      <c r="X426" s="82" t="n"/>
      <c r="Y426" s="82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85" t="n"/>
      <c r="M427" s="86" t="inlineStr">
        <is>
          <t>Кол-во коробок</t>
        </is>
      </c>
      <c r="N427" s="87" t="n"/>
      <c r="O427" s="87" t="n"/>
      <c r="P427" s="87" t="n"/>
      <c r="Q427" s="87" t="n"/>
      <c r="R427" s="87" t="n"/>
      <c r="S427" s="63" t="n"/>
      <c r="T427" s="38" t="inlineStr">
        <is>
          <t>шт</t>
        </is>
      </c>
      <c r="U427" s="81">
        <f>IFERROR(U7+U16+U21+U25+U29+U35+U42+U61+U70+U82+U92+U99+U107+U115+U135+U141+U160+U186+U195+U201+U208+U219+U224+U230+U236+U240+U244+U257+U262+U266+U270+U274+U282+U287+U294+U298+U305+U321+U328+U332+U338+U342+U348+U356+U360+U364+U379+U384+U393+U398+U405+U410+U415+U421,"0")</f>
        <v/>
      </c>
      <c r="V427" s="81">
        <f>IFERROR(V7+V16+V21+V25+V29+V35+V42+V61+V70+V82+V92+V99+V107+V115+V135+V141+V160+V186+V195+V201+V208+V219+V224+V230+V236+V240+V244+V257+V262+V266+V270+V274+V282+V287+V294+V298+V305+V321+V328+V332+V338+V342+V348+V356+V360+V364+V379+V384+V393+V398+V405+V410+V415+V421,"0")</f>
        <v/>
      </c>
      <c r="W427" s="38" t="n"/>
      <c r="X427" s="82" t="n"/>
      <c r="Y427" s="82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85" t="n"/>
      <c r="M428" s="86" t="inlineStr">
        <is>
          <t>Объем заказа</t>
        </is>
      </c>
      <c r="N428" s="87" t="n"/>
      <c r="O428" s="87" t="n"/>
      <c r="P428" s="87" t="n"/>
      <c r="Q428" s="87" t="n"/>
      <c r="R428" s="87" t="n"/>
      <c r="S428" s="63" t="n"/>
      <c r="T428" s="48" t="inlineStr">
        <is>
          <t>м3</t>
        </is>
      </c>
      <c r="U428" s="38" t="n"/>
      <c r="V428" s="38" t="n"/>
      <c r="W428" s="38" t="n">
        <v>41.98147</v>
      </c>
      <c r="X428" s="82" t="n"/>
      <c r="Y428" s="82" t="n"/>
    </row>
    <row r="429" ht="15.75" customHeight="1" thickBot="1"/>
    <row r="430" ht="27" customHeight="1" thickBot="1" thickTop="1">
      <c r="A430" s="53" t="inlineStr">
        <is>
          <t>ТОРГОВАЯ МАРКА</t>
        </is>
      </c>
      <c r="B430" s="55" t="inlineStr">
        <is>
          <t>Ядрена копоть</t>
        </is>
      </c>
      <c r="C430" s="55" t="inlineStr">
        <is>
          <t>Вязанка</t>
        </is>
      </c>
      <c r="D430" s="89" t="n"/>
      <c r="E430" s="89" t="n"/>
      <c r="F430" s="90" t="n"/>
      <c r="G430" s="55" t="inlineStr">
        <is>
          <t>Стародворье</t>
        </is>
      </c>
      <c r="H430" s="89" t="n"/>
      <c r="I430" s="89" t="n"/>
      <c r="J430" s="90" t="n"/>
      <c r="K430" s="55" t="inlineStr">
        <is>
          <t>Особый рецепт</t>
        </is>
      </c>
      <c r="L430" s="90" t="n"/>
      <c r="M430" s="55" t="inlineStr">
        <is>
          <t>Баварушка</t>
        </is>
      </c>
      <c r="N430" s="90" t="n"/>
      <c r="O430" s="55" t="inlineStr">
        <is>
          <t>Дугушка</t>
        </is>
      </c>
      <c r="P430" s="55" t="inlineStr">
        <is>
          <t>Зареченские</t>
        </is>
      </c>
      <c r="Q430" s="1" t="n"/>
      <c r="R430" s="1" t="n"/>
      <c r="S430" s="1" t="n"/>
      <c r="T430" s="1" t="n"/>
      <c r="Y430" s="56" t="n"/>
    </row>
    <row r="431" ht="16.5" customHeight="1" thickBot="1" thickTop="1">
      <c r="A431" s="57" t="inlineStr">
        <is>
          <t>СЕРИЯ</t>
        </is>
      </c>
      <c r="B431" s="55" t="inlineStr">
        <is>
          <t>Ядрена копоть</t>
        </is>
      </c>
      <c r="C431" s="55" t="inlineStr">
        <is>
          <t>Столичная</t>
        </is>
      </c>
      <c r="D431" s="55" t="inlineStr">
        <is>
          <t>Классическая</t>
        </is>
      </c>
      <c r="E431" s="55" t="inlineStr">
        <is>
          <t>Вязанка</t>
        </is>
      </c>
      <c r="F431" s="55" t="inlineStr">
        <is>
          <t>Сливушки</t>
        </is>
      </c>
      <c r="G431" s="55" t="inlineStr">
        <is>
          <t>Золоченная в печи</t>
        </is>
      </c>
      <c r="H431" s="55" t="inlineStr">
        <is>
          <t>Бордо</t>
        </is>
      </c>
      <c r="I431" s="55" t="inlineStr">
        <is>
          <t>Фирменная</t>
        </is>
      </c>
      <c r="J431" s="55" t="inlineStr">
        <is>
          <t>Бавария</t>
        </is>
      </c>
      <c r="K431" s="55" t="inlineStr">
        <is>
          <t>Особая</t>
        </is>
      </c>
      <c r="L431" s="55" t="inlineStr">
        <is>
          <t>Особая Без свинины</t>
        </is>
      </c>
      <c r="M431" s="55" t="inlineStr">
        <is>
          <t>Филейбургская</t>
        </is>
      </c>
      <c r="N431" s="55" t="inlineStr">
        <is>
          <t>Балыкбургская</t>
        </is>
      </c>
      <c r="O431" s="55" t="inlineStr">
        <is>
          <t>Дугушка</t>
        </is>
      </c>
      <c r="P431" s="55" t="inlineStr">
        <is>
          <t>Зареченские продукты</t>
        </is>
      </c>
      <c r="Q431" s="1" t="n"/>
      <c r="R431" s="1" t="n"/>
      <c r="S431" s="1" t="n"/>
      <c r="T431" s="1" t="n"/>
      <c r="Y431" s="56" t="n"/>
    </row>
    <row r="432" ht="16.5" customHeight="1" thickBot="1" thickTop="1">
      <c r="A432" s="91" t="n"/>
      <c r="B432" s="92" t="n"/>
      <c r="C432" s="92" t="n"/>
      <c r="D432" s="92" t="n"/>
      <c r="E432" s="92" t="n"/>
      <c r="F432" s="92" t="n"/>
      <c r="G432" s="92" t="n"/>
      <c r="H432" s="92" t="n"/>
      <c r="I432" s="92" t="n"/>
      <c r="J432" s="92" t="n"/>
      <c r="K432" s="92" t="n"/>
      <c r="L432" s="92" t="n"/>
      <c r="M432" s="92" t="n"/>
      <c r="N432" s="92" t="n"/>
      <c r="O432" s="92" t="n"/>
      <c r="P432" s="92" t="n"/>
      <c r="Q432" s="1" t="n"/>
      <c r="R432" s="1" t="n"/>
      <c r="S432" s="1" t="n"/>
      <c r="T432" s="1" t="n"/>
      <c r="Y432" s="56" t="n"/>
    </row>
    <row r="433" ht="18" customHeight="1" thickBot="1" thickTop="1">
      <c r="A433" s="53" t="inlineStr">
        <is>
          <t>ИТОГО, кг</t>
        </is>
      </c>
      <c r="B433" s="59" t="n">
        <v>0</v>
      </c>
      <c r="C433" s="59" t="n">
        <v>0</v>
      </c>
      <c r="D433" s="59" t="n">
        <v>376.2</v>
      </c>
      <c r="E433" s="59" t="n">
        <v>526.5</v>
      </c>
      <c r="F433" s="59" t="n">
        <v>142.92</v>
      </c>
      <c r="G433" s="59" t="n">
        <v>0</v>
      </c>
      <c r="H433" s="59" t="n">
        <v>9897.119999999997</v>
      </c>
      <c r="I433" s="59" t="n">
        <v>21.6</v>
      </c>
      <c r="J433" s="59" t="n">
        <v>1030.68</v>
      </c>
      <c r="K433" s="59" t="n">
        <v>4888.6</v>
      </c>
      <c r="L433" s="59" t="n">
        <v>86.40000000000001</v>
      </c>
      <c r="M433" s="59" t="n">
        <v>191.1</v>
      </c>
      <c r="N433" s="59" t="n">
        <v>71.40000000000001</v>
      </c>
      <c r="O433" s="59" t="n">
        <v>537.12</v>
      </c>
      <c r="P433" s="59" t="n">
        <v>302.4</v>
      </c>
      <c r="Q433" s="1" t="n"/>
      <c r="R433" s="1" t="n"/>
      <c r="S433" s="1" t="n"/>
      <c r="T433" s="1" t="n"/>
      <c r="Y433" s="56" t="n"/>
    </row>
    <row r="434"/>
  </sheetData>
  <autoFilter ref="A1:Y428">
    <filterColumn colId="3" showButton="0"/>
    <filterColumn colId="12" showButton="0"/>
    <filterColumn colId="13" showButton="0"/>
    <filterColumn colId="14" showButton="0"/>
    <filterColumn colId="15" showButton="0"/>
    <filterColumn colId="17" showButton="0"/>
  </autoFilter>
  <mergeCells count="756">
    <mergeCell ref="M431:M432"/>
    <mergeCell ref="N431:N432"/>
    <mergeCell ref="O431:O432"/>
    <mergeCell ref="P431:P432"/>
    <mergeCell ref="G431:G432"/>
    <mergeCell ref="H431:H432"/>
    <mergeCell ref="I431:I432"/>
    <mergeCell ref="J431:J432"/>
    <mergeCell ref="K431:K432"/>
    <mergeCell ref="L431:L432"/>
    <mergeCell ref="C430:F430"/>
    <mergeCell ref="G430:J430"/>
    <mergeCell ref="K430:L430"/>
    <mergeCell ref="M430:N430"/>
    <mergeCell ref="A431:A432"/>
    <mergeCell ref="B431:B432"/>
    <mergeCell ref="C431:C432"/>
    <mergeCell ref="D431:D432"/>
    <mergeCell ref="E431:E432"/>
    <mergeCell ref="F431:F432"/>
    <mergeCell ref="A421:L422"/>
    <mergeCell ref="M421:S421"/>
    <mergeCell ref="M422:S422"/>
    <mergeCell ref="A423:L428"/>
    <mergeCell ref="M423:S423"/>
    <mergeCell ref="M424:S424"/>
    <mergeCell ref="M425:S425"/>
    <mergeCell ref="M426:S426"/>
    <mergeCell ref="M427:S427"/>
    <mergeCell ref="M428:S428"/>
    <mergeCell ref="A417:W417"/>
    <mergeCell ref="D418:E418"/>
    <mergeCell ref="M418:Q418"/>
    <mergeCell ref="D419:E419"/>
    <mergeCell ref="M419:Q419"/>
    <mergeCell ref="D420:E420"/>
    <mergeCell ref="M420:Q420"/>
    <mergeCell ref="D413:E413"/>
    <mergeCell ref="M413:Q413"/>
    <mergeCell ref="D414:E414"/>
    <mergeCell ref="M414:Q414"/>
    <mergeCell ref="A415:L416"/>
    <mergeCell ref="M415:S415"/>
    <mergeCell ref="M416:S416"/>
    <mergeCell ref="D409:E409"/>
    <mergeCell ref="M409:Q409"/>
    <mergeCell ref="A410:L411"/>
    <mergeCell ref="M410:S410"/>
    <mergeCell ref="M411:S411"/>
    <mergeCell ref="A412:W412"/>
    <mergeCell ref="A405:L406"/>
    <mergeCell ref="M405:S405"/>
    <mergeCell ref="M406:S406"/>
    <mergeCell ref="A407:W407"/>
    <mergeCell ref="D408:E408"/>
    <mergeCell ref="M408:Q408"/>
    <mergeCell ref="A401:W401"/>
    <mergeCell ref="A402:W402"/>
    <mergeCell ref="D403:E403"/>
    <mergeCell ref="M403:Q403"/>
    <mergeCell ref="D404:E404"/>
    <mergeCell ref="M404:Q404"/>
    <mergeCell ref="D397:E397"/>
    <mergeCell ref="M397:Q397"/>
    <mergeCell ref="A398:L399"/>
    <mergeCell ref="M398:S398"/>
    <mergeCell ref="M399:S399"/>
    <mergeCell ref="A400:W400"/>
    <mergeCell ref="A393:L394"/>
    <mergeCell ref="M393:S393"/>
    <mergeCell ref="M394:S394"/>
    <mergeCell ref="A395:W395"/>
    <mergeCell ref="D396:E396"/>
    <mergeCell ref="M396:Q396"/>
    <mergeCell ref="D390:E390"/>
    <mergeCell ref="M390:Q390"/>
    <mergeCell ref="D391:E391"/>
    <mergeCell ref="M391:Q391"/>
    <mergeCell ref="D392:E392"/>
    <mergeCell ref="M392:Q392"/>
    <mergeCell ref="A386:W386"/>
    <mergeCell ref="D387:E387"/>
    <mergeCell ref="M387:Q387"/>
    <mergeCell ref="D388:E388"/>
    <mergeCell ref="M388:Q388"/>
    <mergeCell ref="D389:E389"/>
    <mergeCell ref="M389:Q389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D371:E371"/>
    <mergeCell ref="M371:Q371"/>
    <mergeCell ref="D372:E372"/>
    <mergeCell ref="M372:Q372"/>
    <mergeCell ref="D373:E373"/>
    <mergeCell ref="M373:Q373"/>
    <mergeCell ref="A367:W367"/>
    <mergeCell ref="A368:W368"/>
    <mergeCell ref="D369:E369"/>
    <mergeCell ref="M369:Q369"/>
    <mergeCell ref="D370:E370"/>
    <mergeCell ref="M370:Q370"/>
    <mergeCell ref="D363:E363"/>
    <mergeCell ref="M363:Q363"/>
    <mergeCell ref="A364:L365"/>
    <mergeCell ref="M364:S364"/>
    <mergeCell ref="M365:S365"/>
    <mergeCell ref="A366:W366"/>
    <mergeCell ref="D359:E359"/>
    <mergeCell ref="M359:Q359"/>
    <mergeCell ref="A360:L361"/>
    <mergeCell ref="M360:S360"/>
    <mergeCell ref="M361:S361"/>
    <mergeCell ref="A362:W362"/>
    <mergeCell ref="D355:E355"/>
    <mergeCell ref="M355:Q355"/>
    <mergeCell ref="A356:L357"/>
    <mergeCell ref="M356:S356"/>
    <mergeCell ref="M357:S357"/>
    <mergeCell ref="A358:W358"/>
    <mergeCell ref="D352:E352"/>
    <mergeCell ref="M352:Q352"/>
    <mergeCell ref="D353:E353"/>
    <mergeCell ref="M353:Q353"/>
    <mergeCell ref="D354:E354"/>
    <mergeCell ref="M354:Q354"/>
    <mergeCell ref="A348:L349"/>
    <mergeCell ref="M348:S348"/>
    <mergeCell ref="M349:S349"/>
    <mergeCell ref="A350:W350"/>
    <mergeCell ref="D351:E351"/>
    <mergeCell ref="M351:Q351"/>
    <mergeCell ref="A344:W344"/>
    <mergeCell ref="A345:W345"/>
    <mergeCell ref="D346:E346"/>
    <mergeCell ref="M346:Q346"/>
    <mergeCell ref="D347:E347"/>
    <mergeCell ref="M347:Q347"/>
    <mergeCell ref="A340:W340"/>
    <mergeCell ref="D341:E341"/>
    <mergeCell ref="M341:Q341"/>
    <mergeCell ref="A342:L343"/>
    <mergeCell ref="M342:S342"/>
    <mergeCell ref="M343:S343"/>
    <mergeCell ref="D336:E336"/>
    <mergeCell ref="M336:Q336"/>
    <mergeCell ref="D337:E337"/>
    <mergeCell ref="M337:Q337"/>
    <mergeCell ref="A338:L339"/>
    <mergeCell ref="M338:S338"/>
    <mergeCell ref="M339:S339"/>
    <mergeCell ref="A332:L333"/>
    <mergeCell ref="M332:S332"/>
    <mergeCell ref="M333:S333"/>
    <mergeCell ref="A334:W334"/>
    <mergeCell ref="D335:E335"/>
    <mergeCell ref="M335:Q335"/>
    <mergeCell ref="A328:L329"/>
    <mergeCell ref="M328:S328"/>
    <mergeCell ref="M329:S329"/>
    <mergeCell ref="A330:W330"/>
    <mergeCell ref="D331:E331"/>
    <mergeCell ref="M331:Q331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D318:E318"/>
    <mergeCell ref="M318:Q318"/>
    <mergeCell ref="D319:E319"/>
    <mergeCell ref="M319:Q319"/>
    <mergeCell ref="D320:E320"/>
    <mergeCell ref="M320:Q320"/>
    <mergeCell ref="D315:E315"/>
    <mergeCell ref="M315:Q315"/>
    <mergeCell ref="D316:E316"/>
    <mergeCell ref="M316:Q316"/>
    <mergeCell ref="D317:E317"/>
    <mergeCell ref="M317:Q317"/>
    <mergeCell ref="D312:E312"/>
    <mergeCell ref="M312:Q312"/>
    <mergeCell ref="D313:E313"/>
    <mergeCell ref="M313:Q313"/>
    <mergeCell ref="D314:E314"/>
    <mergeCell ref="M314:Q314"/>
    <mergeCell ref="D309:E309"/>
    <mergeCell ref="M309:Q309"/>
    <mergeCell ref="D310:E310"/>
    <mergeCell ref="M310:Q310"/>
    <mergeCell ref="D311:E311"/>
    <mergeCell ref="M311:Q311"/>
    <mergeCell ref="A305:L306"/>
    <mergeCell ref="M305:S305"/>
    <mergeCell ref="M306:S306"/>
    <mergeCell ref="A307:W307"/>
    <mergeCell ref="D308:E308"/>
    <mergeCell ref="M308:Q308"/>
    <mergeCell ref="A301:W301"/>
    <mergeCell ref="A302:W302"/>
    <mergeCell ref="D303:E303"/>
    <mergeCell ref="M303:Q303"/>
    <mergeCell ref="D304:E304"/>
    <mergeCell ref="M304:Q304"/>
    <mergeCell ref="D297:E297"/>
    <mergeCell ref="M297:Q297"/>
    <mergeCell ref="A298:L299"/>
    <mergeCell ref="M298:S298"/>
    <mergeCell ref="M299:S299"/>
    <mergeCell ref="A300:W300"/>
    <mergeCell ref="D293:E293"/>
    <mergeCell ref="M293:Q293"/>
    <mergeCell ref="A294:L295"/>
    <mergeCell ref="M294:S294"/>
    <mergeCell ref="M295:S295"/>
    <mergeCell ref="A296:W296"/>
    <mergeCell ref="A289:W289"/>
    <mergeCell ref="D290:E290"/>
    <mergeCell ref="M290:Q290"/>
    <mergeCell ref="D291:E291"/>
    <mergeCell ref="M291:Q291"/>
    <mergeCell ref="D292:E292"/>
    <mergeCell ref="M292:Q292"/>
    <mergeCell ref="D285:E285"/>
    <mergeCell ref="M285:Q285"/>
    <mergeCell ref="D286:E286"/>
    <mergeCell ref="M286:Q286"/>
    <mergeCell ref="A287:L288"/>
    <mergeCell ref="M287:S287"/>
    <mergeCell ref="M288:S288"/>
    <mergeCell ref="D281:E281"/>
    <mergeCell ref="M281:Q281"/>
    <mergeCell ref="A282:L283"/>
    <mergeCell ref="M282:S282"/>
    <mergeCell ref="M283:S283"/>
    <mergeCell ref="A284:W284"/>
    <mergeCell ref="A277:W277"/>
    <mergeCell ref="D278:E278"/>
    <mergeCell ref="M278:Q278"/>
    <mergeCell ref="D279:E279"/>
    <mergeCell ref="M279:Q279"/>
    <mergeCell ref="D280:E280"/>
    <mergeCell ref="M280:Q280"/>
    <mergeCell ref="D273:E273"/>
    <mergeCell ref="M273:Q273"/>
    <mergeCell ref="A274:L275"/>
    <mergeCell ref="M274:S274"/>
    <mergeCell ref="M275:S275"/>
    <mergeCell ref="A276:W276"/>
    <mergeCell ref="D269:E269"/>
    <mergeCell ref="M269:Q269"/>
    <mergeCell ref="A270:L271"/>
    <mergeCell ref="M270:S270"/>
    <mergeCell ref="M271:S271"/>
    <mergeCell ref="A272:W272"/>
    <mergeCell ref="D265:E265"/>
    <mergeCell ref="M265:Q265"/>
    <mergeCell ref="A266:L267"/>
    <mergeCell ref="M266:S266"/>
    <mergeCell ref="M267:S267"/>
    <mergeCell ref="A268:W268"/>
    <mergeCell ref="D261:E261"/>
    <mergeCell ref="M261:Q261"/>
    <mergeCell ref="A262:L263"/>
    <mergeCell ref="M262:S262"/>
    <mergeCell ref="M263:S263"/>
    <mergeCell ref="A264:W264"/>
    <mergeCell ref="A257:L258"/>
    <mergeCell ref="M257:S257"/>
    <mergeCell ref="M258:S258"/>
    <mergeCell ref="A259:W259"/>
    <mergeCell ref="D260:E260"/>
    <mergeCell ref="M260:Q260"/>
    <mergeCell ref="D254:E254"/>
    <mergeCell ref="M254:Q254"/>
    <mergeCell ref="D255:E255"/>
    <mergeCell ref="M255:Q255"/>
    <mergeCell ref="D256:E256"/>
    <mergeCell ref="M256:Q256"/>
    <mergeCell ref="D251:E251"/>
    <mergeCell ref="M251:Q251"/>
    <mergeCell ref="D252:E252"/>
    <mergeCell ref="M252:Q252"/>
    <mergeCell ref="D253:E253"/>
    <mergeCell ref="M253:Q253"/>
    <mergeCell ref="A246:W246"/>
    <mergeCell ref="A247:W247"/>
    <mergeCell ref="A248:W248"/>
    <mergeCell ref="D249:E249"/>
    <mergeCell ref="M249:Q249"/>
    <mergeCell ref="D250:E250"/>
    <mergeCell ref="M250:Q250"/>
    <mergeCell ref="A242:W242"/>
    <mergeCell ref="D243:E243"/>
    <mergeCell ref="M243:Q243"/>
    <mergeCell ref="A244:L245"/>
    <mergeCell ref="M244:S244"/>
    <mergeCell ref="M245:S245"/>
    <mergeCell ref="A238:W238"/>
    <mergeCell ref="D239:E239"/>
    <mergeCell ref="M239:Q239"/>
    <mergeCell ref="A240:L241"/>
    <mergeCell ref="M240:S240"/>
    <mergeCell ref="M241:S241"/>
    <mergeCell ref="D234:E234"/>
    <mergeCell ref="M234:Q234"/>
    <mergeCell ref="D235:E235"/>
    <mergeCell ref="M235:Q235"/>
    <mergeCell ref="A236:L237"/>
    <mergeCell ref="M236:S236"/>
    <mergeCell ref="M237:S237"/>
    <mergeCell ref="A230:L231"/>
    <mergeCell ref="M230:S230"/>
    <mergeCell ref="M231:S231"/>
    <mergeCell ref="A232:W232"/>
    <mergeCell ref="D233:E233"/>
    <mergeCell ref="M233:Q233"/>
    <mergeCell ref="A226:W226"/>
    <mergeCell ref="A227:W227"/>
    <mergeCell ref="D228:E228"/>
    <mergeCell ref="M228:Q228"/>
    <mergeCell ref="D229:E229"/>
    <mergeCell ref="M229:Q229"/>
    <mergeCell ref="D222:E222"/>
    <mergeCell ref="M222:Q222"/>
    <mergeCell ref="D223:E223"/>
    <mergeCell ref="M223:Q223"/>
    <mergeCell ref="A224:L225"/>
    <mergeCell ref="M224:S224"/>
    <mergeCell ref="M225:S225"/>
    <mergeCell ref="D218:E218"/>
    <mergeCell ref="M218:Q218"/>
    <mergeCell ref="A219:L220"/>
    <mergeCell ref="M219:S219"/>
    <mergeCell ref="M220:S220"/>
    <mergeCell ref="A221:W221"/>
    <mergeCell ref="D215:E215"/>
    <mergeCell ref="M215:Q215"/>
    <mergeCell ref="D216:E216"/>
    <mergeCell ref="M216:Q216"/>
    <mergeCell ref="D217:E217"/>
    <mergeCell ref="M217:Q217"/>
    <mergeCell ref="A211:W211"/>
    <mergeCell ref="D212:E212"/>
    <mergeCell ref="M212:Q212"/>
    <mergeCell ref="D213:E213"/>
    <mergeCell ref="M213:Q213"/>
    <mergeCell ref="D214:E214"/>
    <mergeCell ref="M214:Q214"/>
    <mergeCell ref="D207:E207"/>
    <mergeCell ref="M207:Q207"/>
    <mergeCell ref="A208:L209"/>
    <mergeCell ref="M208:S208"/>
    <mergeCell ref="M209:S209"/>
    <mergeCell ref="A210:W210"/>
    <mergeCell ref="A203:W203"/>
    <mergeCell ref="D204:E204"/>
    <mergeCell ref="M204:Q204"/>
    <mergeCell ref="D205:E205"/>
    <mergeCell ref="M205:Q205"/>
    <mergeCell ref="D206:E206"/>
    <mergeCell ref="M206:Q206"/>
    <mergeCell ref="D199:E199"/>
    <mergeCell ref="M199:Q199"/>
    <mergeCell ref="D200:E200"/>
    <mergeCell ref="M200:Q200"/>
    <mergeCell ref="A201:L202"/>
    <mergeCell ref="M201:S201"/>
    <mergeCell ref="M202:S202"/>
    <mergeCell ref="A195:L196"/>
    <mergeCell ref="M195:S195"/>
    <mergeCell ref="M196:S196"/>
    <mergeCell ref="A197:W197"/>
    <mergeCell ref="D198:E198"/>
    <mergeCell ref="M198:Q198"/>
    <mergeCell ref="D192:E192"/>
    <mergeCell ref="M192:Q192"/>
    <mergeCell ref="D193:E193"/>
    <mergeCell ref="M193:Q193"/>
    <mergeCell ref="D194:E194"/>
    <mergeCell ref="M194:Q194"/>
    <mergeCell ref="A188:W188"/>
    <mergeCell ref="D189:E189"/>
    <mergeCell ref="M189:Q189"/>
    <mergeCell ref="D190:E190"/>
    <mergeCell ref="M190:Q190"/>
    <mergeCell ref="D191:E191"/>
    <mergeCell ref="M191:Q191"/>
    <mergeCell ref="D184:E184"/>
    <mergeCell ref="M184:Q184"/>
    <mergeCell ref="D185:E185"/>
    <mergeCell ref="M185:Q185"/>
    <mergeCell ref="A186:L187"/>
    <mergeCell ref="M186:S186"/>
    <mergeCell ref="M187:S187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D175:E175"/>
    <mergeCell ref="M175:Q175"/>
    <mergeCell ref="D176:E176"/>
    <mergeCell ref="M176:Q176"/>
    <mergeCell ref="D177:E177"/>
    <mergeCell ref="M177:Q177"/>
    <mergeCell ref="D172:E172"/>
    <mergeCell ref="M172:Q172"/>
    <mergeCell ref="D173:E173"/>
    <mergeCell ref="M173:Q173"/>
    <mergeCell ref="D174:E174"/>
    <mergeCell ref="M174:Q174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63:E163"/>
    <mergeCell ref="M163:Q163"/>
    <mergeCell ref="D164:E164"/>
    <mergeCell ref="M164:Q164"/>
    <mergeCell ref="D165:E165"/>
    <mergeCell ref="M165:Q165"/>
    <mergeCell ref="D159:E159"/>
    <mergeCell ref="M159:Q159"/>
    <mergeCell ref="A160:L161"/>
    <mergeCell ref="M160:S160"/>
    <mergeCell ref="M161:S161"/>
    <mergeCell ref="A162:W162"/>
    <mergeCell ref="D156:E156"/>
    <mergeCell ref="M156:Q156"/>
    <mergeCell ref="D157:E157"/>
    <mergeCell ref="M157:Q157"/>
    <mergeCell ref="D158:E158"/>
    <mergeCell ref="M158:Q158"/>
    <mergeCell ref="D153:E153"/>
    <mergeCell ref="M153:Q153"/>
    <mergeCell ref="D154:E154"/>
    <mergeCell ref="M154:Q154"/>
    <mergeCell ref="D155:E155"/>
    <mergeCell ref="M155:Q155"/>
    <mergeCell ref="D150:E150"/>
    <mergeCell ref="M150:Q150"/>
    <mergeCell ref="D151:E151"/>
    <mergeCell ref="M151:Q151"/>
    <mergeCell ref="D152:E152"/>
    <mergeCell ref="M152:Q152"/>
    <mergeCell ref="D147:E147"/>
    <mergeCell ref="M147:Q147"/>
    <mergeCell ref="D148:E148"/>
    <mergeCell ref="M148:Q148"/>
    <mergeCell ref="D149:E149"/>
    <mergeCell ref="M149:Q149"/>
    <mergeCell ref="A143:W143"/>
    <mergeCell ref="D144:E144"/>
    <mergeCell ref="M144:Q144"/>
    <mergeCell ref="D145:E145"/>
    <mergeCell ref="M145:Q145"/>
    <mergeCell ref="D146:E146"/>
    <mergeCell ref="M146:Q146"/>
    <mergeCell ref="D139:E139"/>
    <mergeCell ref="M139:Q139"/>
    <mergeCell ref="D140:E140"/>
    <mergeCell ref="M140:Q140"/>
    <mergeCell ref="A141:L142"/>
    <mergeCell ref="M141:S141"/>
    <mergeCell ref="M142:S142"/>
    <mergeCell ref="A135:L136"/>
    <mergeCell ref="M135:S135"/>
    <mergeCell ref="M136:S136"/>
    <mergeCell ref="A137:W137"/>
    <mergeCell ref="D138:E138"/>
    <mergeCell ref="M138:Q138"/>
    <mergeCell ref="D132:E132"/>
    <mergeCell ref="M132:Q132"/>
    <mergeCell ref="D133:E133"/>
    <mergeCell ref="M133:Q133"/>
    <mergeCell ref="D134:E134"/>
    <mergeCell ref="M134:Q134"/>
    <mergeCell ref="D129:E129"/>
    <mergeCell ref="M129:Q129"/>
    <mergeCell ref="D130:E130"/>
    <mergeCell ref="M130:Q130"/>
    <mergeCell ref="D131:E131"/>
    <mergeCell ref="M131:Q131"/>
    <mergeCell ref="D126:E126"/>
    <mergeCell ref="M126:Q126"/>
    <mergeCell ref="D127:E127"/>
    <mergeCell ref="M127:Q127"/>
    <mergeCell ref="D128:E128"/>
    <mergeCell ref="M128:Q128"/>
    <mergeCell ref="D123:E123"/>
    <mergeCell ref="M123:Q123"/>
    <mergeCell ref="D124:E124"/>
    <mergeCell ref="M124:Q124"/>
    <mergeCell ref="D125:E125"/>
    <mergeCell ref="M125:Q125"/>
    <mergeCell ref="D120:E120"/>
    <mergeCell ref="M120:Q120"/>
    <mergeCell ref="D121:E121"/>
    <mergeCell ref="M121:Q121"/>
    <mergeCell ref="D122:E122"/>
    <mergeCell ref="M122:Q122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A107:L108"/>
    <mergeCell ref="M107:S107"/>
    <mergeCell ref="M108:S108"/>
    <mergeCell ref="A109:W109"/>
    <mergeCell ref="A110:W110"/>
    <mergeCell ref="A111:W111"/>
    <mergeCell ref="D104:E104"/>
    <mergeCell ref="M104:Q104"/>
    <mergeCell ref="D105:E105"/>
    <mergeCell ref="M105:Q105"/>
    <mergeCell ref="D106:E106"/>
    <mergeCell ref="M106:Q106"/>
    <mergeCell ref="A99:L100"/>
    <mergeCell ref="M99:S99"/>
    <mergeCell ref="M100:S100"/>
    <mergeCell ref="A101:W101"/>
    <mergeCell ref="A102:W102"/>
    <mergeCell ref="D103:E103"/>
    <mergeCell ref="M103:Q103"/>
    <mergeCell ref="D96:E96"/>
    <mergeCell ref="M96:Q96"/>
    <mergeCell ref="D97:E97"/>
    <mergeCell ref="M97:Q97"/>
    <mergeCell ref="D98:E98"/>
    <mergeCell ref="M98:Q98"/>
    <mergeCell ref="A92:L93"/>
    <mergeCell ref="M92:S92"/>
    <mergeCell ref="M93:S93"/>
    <mergeCell ref="A94:W94"/>
    <mergeCell ref="D95:E95"/>
    <mergeCell ref="M95:Q95"/>
    <mergeCell ref="D89:E89"/>
    <mergeCell ref="M89:Q89"/>
    <mergeCell ref="D90:E90"/>
    <mergeCell ref="M90:Q90"/>
    <mergeCell ref="D91:E91"/>
    <mergeCell ref="M91:Q91"/>
    <mergeCell ref="D86:E86"/>
    <mergeCell ref="M86:Q86"/>
    <mergeCell ref="D87:E87"/>
    <mergeCell ref="M87:Q87"/>
    <mergeCell ref="D88:E88"/>
    <mergeCell ref="M88:Q88"/>
    <mergeCell ref="A82:L83"/>
    <mergeCell ref="M82:S82"/>
    <mergeCell ref="M83:S83"/>
    <mergeCell ref="A84:W84"/>
    <mergeCell ref="D85:E85"/>
    <mergeCell ref="M85:Q85"/>
    <mergeCell ref="D79:E79"/>
    <mergeCell ref="M79:Q79"/>
    <mergeCell ref="D80:E80"/>
    <mergeCell ref="M80:Q80"/>
    <mergeCell ref="D81:E81"/>
    <mergeCell ref="M81:Q81"/>
    <mergeCell ref="D76:E76"/>
    <mergeCell ref="M76:Q76"/>
    <mergeCell ref="D77:E77"/>
    <mergeCell ref="M77:Q77"/>
    <mergeCell ref="D78:E78"/>
    <mergeCell ref="M78:Q78"/>
    <mergeCell ref="A72:W72"/>
    <mergeCell ref="D73:E73"/>
    <mergeCell ref="M73:Q73"/>
    <mergeCell ref="D74:E74"/>
    <mergeCell ref="M74:Q74"/>
    <mergeCell ref="D75:E75"/>
    <mergeCell ref="M75:Q75"/>
    <mergeCell ref="D68:E68"/>
    <mergeCell ref="M68:Q68"/>
    <mergeCell ref="D69:E69"/>
    <mergeCell ref="M69:Q69"/>
    <mergeCell ref="A70:L71"/>
    <mergeCell ref="M70:S70"/>
    <mergeCell ref="M71:S71"/>
    <mergeCell ref="D65:E65"/>
    <mergeCell ref="M65:Q65"/>
    <mergeCell ref="D66:E66"/>
    <mergeCell ref="M66:Q66"/>
    <mergeCell ref="D67:E67"/>
    <mergeCell ref="M67:Q67"/>
    <mergeCell ref="A61:L62"/>
    <mergeCell ref="M61:S61"/>
    <mergeCell ref="M62:S62"/>
    <mergeCell ref="A63:W63"/>
    <mergeCell ref="D64:E64"/>
    <mergeCell ref="M64:Q64"/>
    <mergeCell ref="D58:E58"/>
    <mergeCell ref="M58:Q58"/>
    <mergeCell ref="D59:E59"/>
    <mergeCell ref="M59:Q59"/>
    <mergeCell ref="D60:E60"/>
    <mergeCell ref="M60:Q60"/>
    <mergeCell ref="D55:E55"/>
    <mergeCell ref="M55:Q55"/>
    <mergeCell ref="D56:E56"/>
    <mergeCell ref="M56:Q56"/>
    <mergeCell ref="D57:E57"/>
    <mergeCell ref="M57:Q57"/>
    <mergeCell ref="D52:E52"/>
    <mergeCell ref="M52:Q52"/>
    <mergeCell ref="D53:E53"/>
    <mergeCell ref="M53:Q53"/>
    <mergeCell ref="D54:E54"/>
    <mergeCell ref="M54:Q54"/>
    <mergeCell ref="D49:E49"/>
    <mergeCell ref="M49:Q49"/>
    <mergeCell ref="D50:E50"/>
    <mergeCell ref="M50:Q50"/>
    <mergeCell ref="D51:E51"/>
    <mergeCell ref="M51:Q51"/>
    <mergeCell ref="A45:W45"/>
    <mergeCell ref="D46:E46"/>
    <mergeCell ref="M46:Q46"/>
    <mergeCell ref="D47:E47"/>
    <mergeCell ref="M47:Q47"/>
    <mergeCell ref="D48:E48"/>
    <mergeCell ref="M48:Q48"/>
    <mergeCell ref="D41:E41"/>
    <mergeCell ref="M41:Q41"/>
    <mergeCell ref="A42:L43"/>
    <mergeCell ref="M42:S42"/>
    <mergeCell ref="M43:S43"/>
    <mergeCell ref="A44:W44"/>
    <mergeCell ref="A37:W37"/>
    <mergeCell ref="A38:W38"/>
    <mergeCell ref="D39:E39"/>
    <mergeCell ref="M39:Q39"/>
    <mergeCell ref="D40:E40"/>
    <mergeCell ref="M40:Q40"/>
    <mergeCell ref="A32:W32"/>
    <mergeCell ref="A33:W33"/>
    <mergeCell ref="D34:E34"/>
    <mergeCell ref="M34:Q34"/>
    <mergeCell ref="A35:L36"/>
    <mergeCell ref="M35:S35"/>
    <mergeCell ref="M36:S36"/>
    <mergeCell ref="D28:E28"/>
    <mergeCell ref="M28:Q28"/>
    <mergeCell ref="A29:L30"/>
    <mergeCell ref="M29:S29"/>
    <mergeCell ref="M30:S30"/>
    <mergeCell ref="A31:W31"/>
    <mergeCell ref="D24:E24"/>
    <mergeCell ref="M24:Q24"/>
    <mergeCell ref="A25:L26"/>
    <mergeCell ref="M25:S25"/>
    <mergeCell ref="M26:S26"/>
    <mergeCell ref="A27:W27"/>
    <mergeCell ref="D20:E20"/>
    <mergeCell ref="M20:Q20"/>
    <mergeCell ref="A21:L22"/>
    <mergeCell ref="M21:S21"/>
    <mergeCell ref="M22:S22"/>
    <mergeCell ref="A23:W23"/>
    <mergeCell ref="A16:L17"/>
    <mergeCell ref="M16:S16"/>
    <mergeCell ref="M17:S17"/>
    <mergeCell ref="A18:W18"/>
    <mergeCell ref="D19:E19"/>
    <mergeCell ref="M19:Q19"/>
    <mergeCell ref="D13:E13"/>
    <mergeCell ref="M13:Q13"/>
    <mergeCell ref="D14:E14"/>
    <mergeCell ref="M14:Q14"/>
    <mergeCell ref="D15:E15"/>
    <mergeCell ref="M15:Q15"/>
    <mergeCell ref="A9:W9"/>
    <mergeCell ref="D10:E10"/>
    <mergeCell ref="M10:Q10"/>
    <mergeCell ref="D11:E11"/>
    <mergeCell ref="M11:Q11"/>
    <mergeCell ref="D12:E12"/>
    <mergeCell ref="M12:Q12"/>
    <mergeCell ref="A3:W3"/>
    <mergeCell ref="A4:W4"/>
    <mergeCell ref="A5:W5"/>
    <mergeCell ref="D6:E6"/>
    <mergeCell ref="M6:Q6"/>
    <mergeCell ref="A7:L8"/>
    <mergeCell ref="M7:S7"/>
    <mergeCell ref="M8:S8"/>
    <mergeCell ref="T1:T2"/>
    <mergeCell ref="U1:U2"/>
    <mergeCell ref="V1:V2"/>
    <mergeCell ref="W1:W2"/>
    <mergeCell ref="X1:X2"/>
    <mergeCell ref="Y1:Y2"/>
    <mergeCell ref="I1:I2"/>
    <mergeCell ref="J1:J2"/>
    <mergeCell ref="K1:K2"/>
    <mergeCell ref="L1:L2"/>
    <mergeCell ref="M1:Q2"/>
    <mergeCell ref="R1:S1"/>
    <mergeCell ref="A1:A2"/>
    <mergeCell ref="B1:B2"/>
    <mergeCell ref="C1:C2"/>
    <mergeCell ref="D1:E2"/>
    <mergeCell ref="F1:F2"/>
    <mergeCell ref="G1:G2"/>
    <mergeCell ref="H1:H2"/>
  </mergeCells>
  <dataValidations count="1">
    <dataValidation sqref="W6:Y6" showErrorMessage="1" showInputMessage="1" allowBlank="1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Uaer4</dc:creator>
  <dcterms:created xsi:type="dcterms:W3CDTF">2015-06-05T18:19:34Z</dcterms:created>
  <dcterms:modified xsi:type="dcterms:W3CDTF">2023-08-08T10:26:35Z</dcterms:modified>
  <cp:lastModifiedBy>Uaer4</cp:lastModifiedBy>
</cp:coreProperties>
</file>