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3 Пушкарный\Пушкарный 1\"/>
    </mc:Choice>
  </mc:AlternateContent>
  <xr:revisionPtr revIDLastSave="0" documentId="13_ncr:1_{C4CAF84E-2F36-4B5A-95D8-CBE3D175C0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Лист1!$A$5:$AC$444</definedName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Лист1!$U$440:$U$440</definedName>
    <definedName name="GrossWeightTotalR">Лист1!$V$440:$V$440</definedName>
    <definedName name="NumProxySet">[1]Setting!$B$9:$B$10</definedName>
    <definedName name="PalletQtyTotal">Лист1!$U$441:$U$441</definedName>
    <definedName name="PalletQtyTotalR">Лист1!$V$441:$V$441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D7" i="1"/>
  <c r="U441" i="1"/>
  <c r="U440" i="1"/>
  <c r="U442" i="1" s="1"/>
  <c r="U438" i="1"/>
  <c r="V437" i="1"/>
  <c r="U437" i="1"/>
  <c r="W436" i="1"/>
  <c r="V436" i="1"/>
  <c r="W435" i="1"/>
  <c r="V435" i="1"/>
  <c r="W434" i="1"/>
  <c r="W437" i="1" s="1"/>
  <c r="V434" i="1"/>
  <c r="V438" i="1" s="1"/>
  <c r="U432" i="1"/>
  <c r="U431" i="1"/>
  <c r="V430" i="1"/>
  <c r="W430" i="1" s="1"/>
  <c r="V429" i="1"/>
  <c r="U427" i="1"/>
  <c r="U426" i="1"/>
  <c r="V425" i="1"/>
  <c r="W425" i="1" s="1"/>
  <c r="V424" i="1"/>
  <c r="U422" i="1"/>
  <c r="U421" i="1"/>
  <c r="V420" i="1"/>
  <c r="W420" i="1" s="1"/>
  <c r="V419" i="1"/>
  <c r="U415" i="1"/>
  <c r="U414" i="1"/>
  <c r="V413" i="1"/>
  <c r="W413" i="1" s="1"/>
  <c r="M413" i="1"/>
  <c r="V412" i="1"/>
  <c r="V414" i="1" s="1"/>
  <c r="M412" i="1"/>
  <c r="U410" i="1"/>
  <c r="U409" i="1"/>
  <c r="V408" i="1"/>
  <c r="W408" i="1" s="1"/>
  <c r="V407" i="1"/>
  <c r="W407" i="1" s="1"/>
  <c r="V406" i="1"/>
  <c r="W406" i="1" s="1"/>
  <c r="V405" i="1"/>
  <c r="W405" i="1" s="1"/>
  <c r="M405" i="1"/>
  <c r="V404" i="1"/>
  <c r="W404" i="1" s="1"/>
  <c r="M404" i="1"/>
  <c r="V403" i="1"/>
  <c r="M403" i="1"/>
  <c r="U401" i="1"/>
  <c r="U400" i="1"/>
  <c r="V399" i="1"/>
  <c r="W399" i="1" s="1"/>
  <c r="V398" i="1"/>
  <c r="M398" i="1"/>
  <c r="U396" i="1"/>
  <c r="U395" i="1"/>
  <c r="V394" i="1"/>
  <c r="W394" i="1" s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M385" i="1"/>
  <c r="U381" i="1"/>
  <c r="U380" i="1"/>
  <c r="V379" i="1"/>
  <c r="U377" i="1"/>
  <c r="U376" i="1"/>
  <c r="V375" i="1"/>
  <c r="V377" i="1" s="1"/>
  <c r="U373" i="1"/>
  <c r="U372" i="1"/>
  <c r="V371" i="1"/>
  <c r="W371" i="1" s="1"/>
  <c r="V370" i="1"/>
  <c r="W370" i="1" s="1"/>
  <c r="M370" i="1"/>
  <c r="V369" i="1"/>
  <c r="W369" i="1" s="1"/>
  <c r="M369" i="1"/>
  <c r="V368" i="1"/>
  <c r="W368" i="1" s="1"/>
  <c r="M368" i="1"/>
  <c r="V367" i="1"/>
  <c r="V372" i="1" s="1"/>
  <c r="M367" i="1"/>
  <c r="U365" i="1"/>
  <c r="U364" i="1"/>
  <c r="W363" i="1"/>
  <c r="V363" i="1"/>
  <c r="M363" i="1"/>
  <c r="V362" i="1"/>
  <c r="M362" i="1"/>
  <c r="U359" i="1"/>
  <c r="U358" i="1"/>
  <c r="V357" i="1"/>
  <c r="U355" i="1"/>
  <c r="U354" i="1"/>
  <c r="V353" i="1"/>
  <c r="W353" i="1" s="1"/>
  <c r="V352" i="1"/>
  <c r="W352" i="1" s="1"/>
  <c r="V351" i="1"/>
  <c r="V355" i="1" s="1"/>
  <c r="U349" i="1"/>
  <c r="U348" i="1"/>
  <c r="V347" i="1"/>
  <c r="U345" i="1"/>
  <c r="U344" i="1"/>
  <c r="V343" i="1"/>
  <c r="W343" i="1" s="1"/>
  <c r="M343" i="1"/>
  <c r="V342" i="1"/>
  <c r="W342" i="1" s="1"/>
  <c r="M342" i="1"/>
  <c r="W341" i="1"/>
  <c r="V341" i="1"/>
  <c r="W340" i="1"/>
  <c r="V340" i="1"/>
  <c r="M340" i="1"/>
  <c r="U338" i="1"/>
  <c r="U337" i="1"/>
  <c r="V336" i="1"/>
  <c r="W336" i="1" s="1"/>
  <c r="M336" i="1"/>
  <c r="V335" i="1"/>
  <c r="W335" i="1" s="1"/>
  <c r="M335" i="1"/>
  <c r="V334" i="1"/>
  <c r="W334" i="1" s="1"/>
  <c r="M334" i="1"/>
  <c r="V333" i="1"/>
  <c r="W333" i="1" s="1"/>
  <c r="M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M319" i="1"/>
  <c r="U315" i="1"/>
  <c r="U314" i="1"/>
  <c r="V313" i="1"/>
  <c r="V315" i="1" s="1"/>
  <c r="U311" i="1"/>
  <c r="U310" i="1"/>
  <c r="V309" i="1"/>
  <c r="W309" i="1" s="1"/>
  <c r="V308" i="1"/>
  <c r="W308" i="1" s="1"/>
  <c r="M308" i="1"/>
  <c r="V307" i="1"/>
  <c r="W307" i="1" s="1"/>
  <c r="V306" i="1"/>
  <c r="M306" i="1"/>
  <c r="U304" i="1"/>
  <c r="U303" i="1"/>
  <c r="V302" i="1"/>
  <c r="W302" i="1" s="1"/>
  <c r="M302" i="1"/>
  <c r="V301" i="1"/>
  <c r="M301" i="1"/>
  <c r="U299" i="1"/>
  <c r="U298" i="1"/>
  <c r="V297" i="1"/>
  <c r="W297" i="1" s="1"/>
  <c r="M297" i="1"/>
  <c r="V296" i="1"/>
  <c r="W296" i="1" s="1"/>
  <c r="V295" i="1"/>
  <c r="W295" i="1" s="1"/>
  <c r="M295" i="1"/>
  <c r="V294" i="1"/>
  <c r="M294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U279" i="1"/>
  <c r="U278" i="1"/>
  <c r="V277" i="1"/>
  <c r="W277" i="1" s="1"/>
  <c r="M277" i="1"/>
  <c r="V276" i="1"/>
  <c r="W276" i="1" s="1"/>
  <c r="W278" i="1" s="1"/>
  <c r="M276" i="1"/>
  <c r="U274" i="1"/>
  <c r="U273" i="1"/>
  <c r="V272" i="1"/>
  <c r="W272" i="1" s="1"/>
  <c r="M272" i="1"/>
  <c r="V271" i="1"/>
  <c r="W271" i="1" s="1"/>
  <c r="M271" i="1"/>
  <c r="V270" i="1"/>
  <c r="W270" i="1" s="1"/>
  <c r="V269" i="1"/>
  <c r="W269" i="1" s="1"/>
  <c r="M269" i="1"/>
  <c r="V268" i="1"/>
  <c r="W268" i="1" s="1"/>
  <c r="M268" i="1"/>
  <c r="V267" i="1"/>
  <c r="W267" i="1" s="1"/>
  <c r="M267" i="1"/>
  <c r="V266" i="1"/>
  <c r="W266" i="1" s="1"/>
  <c r="M266" i="1"/>
  <c r="V265" i="1"/>
  <c r="W265" i="1" s="1"/>
  <c r="M265" i="1"/>
  <c r="U261" i="1"/>
  <c r="U260" i="1"/>
  <c r="V259" i="1"/>
  <c r="V261" i="1" s="1"/>
  <c r="M259" i="1"/>
  <c r="U257" i="1"/>
  <c r="U256" i="1"/>
  <c r="V255" i="1"/>
  <c r="V257" i="1" s="1"/>
  <c r="M255" i="1"/>
  <c r="U253" i="1"/>
  <c r="U252" i="1"/>
  <c r="V251" i="1"/>
  <c r="W251" i="1" s="1"/>
  <c r="M251" i="1"/>
  <c r="V250" i="1"/>
  <c r="W250" i="1" s="1"/>
  <c r="M250" i="1"/>
  <c r="V249" i="1"/>
  <c r="V253" i="1" s="1"/>
  <c r="M249" i="1"/>
  <c r="U247" i="1"/>
  <c r="U246" i="1"/>
  <c r="W245" i="1"/>
  <c r="V245" i="1"/>
  <c r="M245" i="1"/>
  <c r="V244" i="1"/>
  <c r="M244" i="1"/>
  <c r="U241" i="1"/>
  <c r="U240" i="1"/>
  <c r="V239" i="1"/>
  <c r="W239" i="1" s="1"/>
  <c r="M239" i="1"/>
  <c r="V238" i="1"/>
  <c r="W238" i="1" s="1"/>
  <c r="W240" i="1" s="1"/>
  <c r="M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5" i="1"/>
  <c r="U224" i="1"/>
  <c r="V223" i="1"/>
  <c r="W223" i="1" s="1"/>
  <c r="M223" i="1"/>
  <c r="V222" i="1"/>
  <c r="W222" i="1" s="1"/>
  <c r="V221" i="1"/>
  <c r="W221" i="1" s="1"/>
  <c r="V220" i="1"/>
  <c r="M220" i="1"/>
  <c r="U218" i="1"/>
  <c r="U217" i="1"/>
  <c r="V216" i="1"/>
  <c r="W216" i="1" s="1"/>
  <c r="M216" i="1"/>
  <c r="V215" i="1"/>
  <c r="W215" i="1" s="1"/>
  <c r="V214" i="1"/>
  <c r="W214" i="1" s="1"/>
  <c r="U212" i="1"/>
  <c r="U211" i="1"/>
  <c r="V210" i="1"/>
  <c r="W210" i="1" s="1"/>
  <c r="V209" i="1"/>
  <c r="W209" i="1" s="1"/>
  <c r="V208" i="1"/>
  <c r="W208" i="1" s="1"/>
  <c r="V207" i="1"/>
  <c r="W207" i="1" s="1"/>
  <c r="M207" i="1"/>
  <c r="V206" i="1"/>
  <c r="W206" i="1" s="1"/>
  <c r="M206" i="1"/>
  <c r="V205" i="1"/>
  <c r="M205" i="1"/>
  <c r="U203" i="1"/>
  <c r="U202" i="1"/>
  <c r="V201" i="1"/>
  <c r="W201" i="1" s="1"/>
  <c r="V200" i="1"/>
  <c r="W200" i="1" s="1"/>
  <c r="M200" i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M188" i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M182" i="1"/>
  <c r="V181" i="1"/>
  <c r="W181" i="1" s="1"/>
  <c r="M181" i="1"/>
  <c r="W180" i="1"/>
  <c r="V180" i="1"/>
  <c r="M180" i="1"/>
  <c r="V179" i="1"/>
  <c r="U177" i="1"/>
  <c r="U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M171" i="1"/>
  <c r="V170" i="1"/>
  <c r="W170" i="1" s="1"/>
  <c r="M170" i="1"/>
  <c r="V169" i="1"/>
  <c r="W169" i="1" s="1"/>
  <c r="M169" i="1"/>
  <c r="W168" i="1"/>
  <c r="V168" i="1"/>
  <c r="W167" i="1"/>
  <c r="V167" i="1"/>
  <c r="W166" i="1"/>
  <c r="V166" i="1"/>
  <c r="W165" i="1"/>
  <c r="V165" i="1"/>
  <c r="V164" i="1"/>
  <c r="W164" i="1" s="1"/>
  <c r="M164" i="1"/>
  <c r="V163" i="1"/>
  <c r="W163" i="1" s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V155" i="1"/>
  <c r="W155" i="1" s="1"/>
  <c r="V154" i="1"/>
  <c r="U152" i="1"/>
  <c r="U151" i="1"/>
  <c r="V150" i="1"/>
  <c r="W150" i="1" s="1"/>
  <c r="M150" i="1"/>
  <c r="V149" i="1"/>
  <c r="W149" i="1" s="1"/>
  <c r="V148" i="1"/>
  <c r="W148" i="1" s="1"/>
  <c r="V147" i="1"/>
  <c r="W147" i="1" s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W119" i="1" s="1"/>
  <c r="M119" i="1"/>
  <c r="U116" i="1"/>
  <c r="U115" i="1"/>
  <c r="V114" i="1"/>
  <c r="W114" i="1" s="1"/>
  <c r="V113" i="1"/>
  <c r="W113" i="1" s="1"/>
  <c r="V112" i="1"/>
  <c r="W112" i="1" s="1"/>
  <c r="M112" i="1"/>
  <c r="V111" i="1"/>
  <c r="M111" i="1"/>
  <c r="U109" i="1"/>
  <c r="U108" i="1"/>
  <c r="V107" i="1"/>
  <c r="W107" i="1" s="1"/>
  <c r="M107" i="1"/>
  <c r="V106" i="1"/>
  <c r="W106" i="1" s="1"/>
  <c r="V105" i="1"/>
  <c r="W105" i="1" s="1"/>
  <c r="V104" i="1"/>
  <c r="W104" i="1" s="1"/>
  <c r="V103" i="1"/>
  <c r="W103" i="1" s="1"/>
  <c r="M103" i="1"/>
  <c r="V102" i="1"/>
  <c r="W102" i="1" s="1"/>
  <c r="M102" i="1"/>
  <c r="V101" i="1"/>
  <c r="U99" i="1"/>
  <c r="U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M89" i="1"/>
  <c r="U87" i="1"/>
  <c r="U86" i="1"/>
  <c r="V85" i="1"/>
  <c r="W85" i="1" s="1"/>
  <c r="M85" i="1"/>
  <c r="V84" i="1"/>
  <c r="W84" i="1" s="1"/>
  <c r="M84" i="1"/>
  <c r="V83" i="1"/>
  <c r="W83" i="1" s="1"/>
  <c r="V82" i="1"/>
  <c r="W82" i="1" s="1"/>
  <c r="M82" i="1"/>
  <c r="V81" i="1"/>
  <c r="W81" i="1" s="1"/>
  <c r="V80" i="1"/>
  <c r="M80" i="1"/>
  <c r="U78" i="1"/>
  <c r="U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M67" i="1"/>
  <c r="V66" i="1"/>
  <c r="W66" i="1" s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U59" i="1"/>
  <c r="U58" i="1"/>
  <c r="V57" i="1"/>
  <c r="W57" i="1" s="1"/>
  <c r="V56" i="1"/>
  <c r="W56" i="1" s="1"/>
  <c r="M56" i="1"/>
  <c r="V55" i="1"/>
  <c r="M55" i="1"/>
  <c r="U52" i="1"/>
  <c r="U51" i="1"/>
  <c r="V50" i="1"/>
  <c r="V5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V108" i="1" l="1"/>
  <c r="W255" i="1"/>
  <c r="W256" i="1" s="1"/>
  <c r="V256" i="1"/>
  <c r="V322" i="1"/>
  <c r="W259" i="1"/>
  <c r="W260" i="1" s="1"/>
  <c r="V260" i="1"/>
  <c r="V310" i="1"/>
  <c r="W313" i="1"/>
  <c r="W314" i="1" s="1"/>
  <c r="V314" i="1"/>
  <c r="W319" i="1"/>
  <c r="W321" i="1" s="1"/>
  <c r="V321" i="1"/>
  <c r="U439" i="1"/>
  <c r="V33" i="1"/>
  <c r="V59" i="1"/>
  <c r="V86" i="1"/>
  <c r="V116" i="1"/>
  <c r="V152" i="1"/>
  <c r="V236" i="1"/>
  <c r="V427" i="1"/>
  <c r="W217" i="1"/>
  <c r="W77" i="1"/>
  <c r="W123" i="1"/>
  <c r="V252" i="1"/>
  <c r="W273" i="1"/>
  <c r="W22" i="1"/>
  <c r="W23" i="1" s="1"/>
  <c r="W26" i="1"/>
  <c r="W32" i="1" s="1"/>
  <c r="V37" i="1"/>
  <c r="V78" i="1"/>
  <c r="W80" i="1"/>
  <c r="V98" i="1"/>
  <c r="W101" i="1"/>
  <c r="W108" i="1" s="1"/>
  <c r="V123" i="1"/>
  <c r="V131" i="1"/>
  <c r="W228" i="1"/>
  <c r="W235" i="1" s="1"/>
  <c r="W249" i="1"/>
  <c r="V278" i="1"/>
  <c r="W306" i="1"/>
  <c r="W310" i="1" s="1"/>
  <c r="V345" i="1"/>
  <c r="V344" i="1"/>
  <c r="W351" i="1"/>
  <c r="W354" i="1" s="1"/>
  <c r="V354" i="1"/>
  <c r="W367" i="1"/>
  <c r="W372" i="1" s="1"/>
  <c r="W375" i="1"/>
  <c r="W376" i="1" s="1"/>
  <c r="V376" i="1"/>
  <c r="W424" i="1"/>
  <c r="W426" i="1" s="1"/>
  <c r="V426" i="1"/>
  <c r="W86" i="1"/>
  <c r="V38" i="1"/>
  <c r="V42" i="1"/>
  <c r="V46" i="1"/>
  <c r="V58" i="1"/>
  <c r="V77" i="1"/>
  <c r="V87" i="1"/>
  <c r="V109" i="1"/>
  <c r="V115" i="1"/>
  <c r="V124" i="1"/>
  <c r="V132" i="1"/>
  <c r="V151" i="1"/>
  <c r="V176" i="1"/>
  <c r="V202" i="1"/>
  <c r="W179" i="1"/>
  <c r="W202" i="1" s="1"/>
  <c r="V203" i="1"/>
  <c r="V211" i="1"/>
  <c r="W205" i="1"/>
  <c r="W211" i="1" s="1"/>
  <c r="V212" i="1"/>
  <c r="V218" i="1"/>
  <c r="V225" i="1"/>
  <c r="W220" i="1"/>
  <c r="W224" i="1" s="1"/>
  <c r="V235" i="1"/>
  <c r="V241" i="1"/>
  <c r="V247" i="1"/>
  <c r="W244" i="1"/>
  <c r="W246" i="1" s="1"/>
  <c r="V299" i="1"/>
  <c r="V304" i="1"/>
  <c r="W301" i="1"/>
  <c r="W303" i="1" s="1"/>
  <c r="V303" i="1"/>
  <c r="V348" i="1"/>
  <c r="W347" i="1"/>
  <c r="W348" i="1" s="1"/>
  <c r="V349" i="1"/>
  <c r="V358" i="1"/>
  <c r="W357" i="1"/>
  <c r="W358" i="1" s="1"/>
  <c r="V359" i="1"/>
  <c r="V365" i="1"/>
  <c r="W362" i="1"/>
  <c r="W364" i="1" s="1"/>
  <c r="V364" i="1"/>
  <c r="V32" i="1"/>
  <c r="V52" i="1"/>
  <c r="V99" i="1"/>
  <c r="V441" i="1"/>
  <c r="V440" i="1"/>
  <c r="U443" i="1"/>
  <c r="V24" i="1"/>
  <c r="W40" i="1"/>
  <c r="W41" i="1" s="1"/>
  <c r="W44" i="1"/>
  <c r="W45" i="1" s="1"/>
  <c r="W50" i="1"/>
  <c r="W51" i="1" s="1"/>
  <c r="W55" i="1"/>
  <c r="W58" i="1" s="1"/>
  <c r="W89" i="1"/>
  <c r="W98" i="1" s="1"/>
  <c r="W111" i="1"/>
  <c r="W115" i="1" s="1"/>
  <c r="W128" i="1"/>
  <c r="W131" i="1" s="1"/>
  <c r="W135" i="1"/>
  <c r="W151" i="1" s="1"/>
  <c r="V157" i="1"/>
  <c r="W154" i="1"/>
  <c r="W157" i="1" s="1"/>
  <c r="V158" i="1"/>
  <c r="V177" i="1"/>
  <c r="W160" i="1"/>
  <c r="W176" i="1" s="1"/>
  <c r="V217" i="1"/>
  <c r="V224" i="1"/>
  <c r="V240" i="1"/>
  <c r="V246" i="1"/>
  <c r="W252" i="1"/>
  <c r="V273" i="1"/>
  <c r="V311" i="1"/>
  <c r="V338" i="1"/>
  <c r="W324" i="1"/>
  <c r="W337" i="1" s="1"/>
  <c r="V337" i="1"/>
  <c r="V396" i="1"/>
  <c r="V400" i="1"/>
  <c r="W398" i="1"/>
  <c r="W400" i="1" s="1"/>
  <c r="V401" i="1"/>
  <c r="V421" i="1"/>
  <c r="W419" i="1"/>
  <c r="W421" i="1" s="1"/>
  <c r="V422" i="1"/>
  <c r="V432" i="1"/>
  <c r="V274" i="1"/>
  <c r="V279" i="1"/>
  <c r="V282" i="1"/>
  <c r="W281" i="1"/>
  <c r="W282" i="1" s="1"/>
  <c r="V283" i="1"/>
  <c r="V286" i="1"/>
  <c r="W285" i="1"/>
  <c r="W286" i="1" s="1"/>
  <c r="V287" i="1"/>
  <c r="V290" i="1"/>
  <c r="W289" i="1"/>
  <c r="W290" i="1" s="1"/>
  <c r="V291" i="1"/>
  <c r="V298" i="1"/>
  <c r="W294" i="1"/>
  <c r="W298" i="1" s="1"/>
  <c r="W344" i="1"/>
  <c r="V373" i="1"/>
  <c r="V380" i="1"/>
  <c r="W379" i="1"/>
  <c r="W380" i="1" s="1"/>
  <c r="V381" i="1"/>
  <c r="V395" i="1"/>
  <c r="W385" i="1"/>
  <c r="W395" i="1" s="1"/>
  <c r="V409" i="1"/>
  <c r="W403" i="1"/>
  <c r="W409" i="1" s="1"/>
  <c r="V410" i="1"/>
  <c r="V415" i="1"/>
  <c r="W412" i="1"/>
  <c r="W414" i="1" s="1"/>
  <c r="V431" i="1"/>
  <c r="W429" i="1"/>
  <c r="W431" i="1" s="1"/>
  <c r="V443" i="1" l="1"/>
  <c r="V439" i="1"/>
  <c r="V442" i="1"/>
</calcChain>
</file>

<file path=xl/sharedStrings.xml><?xml version="1.0" encoding="utf-8"?>
<sst xmlns="http://schemas.openxmlformats.org/spreadsheetml/2006/main" count="2620" uniqueCount="668">
  <si>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</si>
  <si>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</si>
  <si>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</si>
  <si>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</si>
  <si>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</si>
  <si>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</si>
  <si>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</si>
  <si>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</si>
  <si>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</si>
  <si>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</si>
  <si>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</si>
  <si>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</si>
  <si>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</si>
  <si>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</si>
  <si>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ПУШКАРНЫЙ В.В., ИП, Краснодарский край, Краснодар г, Уральская ул, д. 116,</t>
  </si>
  <si>
    <t>День недели</t>
  </si>
  <si>
    <t>Наименование клиента</t>
  </si>
  <si>
    <t>Индивидуальный предприниматель ПУШКАРНЫЙ ВИТАЛИЙ ВЛАДИМИРОВИЧ</t>
  </si>
  <si>
    <t>Адрес сдачи груза:</t>
  </si>
  <si>
    <t>350080Российская Федерация, Краснодарский край, Краснодар г, Уральская ул, д. 116,</t>
  </si>
  <si>
    <t>Время загрузки</t>
  </si>
  <si>
    <t>Дата доставки</t>
  </si>
  <si>
    <t>Время доставки</t>
  </si>
  <si>
    <t>КОД Аксапты Клиента</t>
  </si>
  <si>
    <t>592445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</si>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</sst>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8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0" fontId="15" fillId="0" borderId="0" xfId="0" applyFont="1" applyAlignment="1" applyProtection="1">
      <alignment horizontal="right" vertical="center"/>
      <protection hidden="1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10" xfId="0" applyNumberFormat="1" applyFont="1" applyBorder="1" applyAlignment="1">
      <alignment horizontal="center" wrapText="1"/>
    </xf>
    <xf numFmtId="0" fontId="35" fillId="0" borderId="10" xfId="0" applyFont="1" applyBorder="1" applyProtection="1">
      <protection hidden="1"/>
    </xf>
    <xf numFmtId="0" fontId="36" fillId="0" borderId="0" xfId="0" applyFont="1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9" xfId="0" applyFont="1" applyFill="1" applyBorder="1" applyAlignment="1" applyProtection="1">
      <alignment horizontal="center" vertical="center" wrapText="1"/>
      <protection hidden="1"/>
    </xf>
    <xf numFmtId="0" fontId="43" fillId="0" borderId="30" xfId="0" applyFont="1" applyBorder="1" applyAlignment="1" applyProtection="1">
      <alignment horizontal="center" vertical="center" wrapText="1"/>
      <protection hidden="1"/>
    </xf>
    <xf numFmtId="4" fontId="44" fillId="0" borderId="33" xfId="1" applyNumberFormat="1" applyFont="1" applyBorder="1" applyAlignment="1" applyProtection="1">
      <alignment horizontal="center" vertical="center"/>
      <protection hidden="1"/>
    </xf>
    <xf numFmtId="167" fontId="33" fillId="6" borderId="1" xfId="0" applyNumberFormat="1" applyFont="1" applyFill="1" applyBorder="1" applyAlignment="1" applyProtection="1">
      <alignment horizontal="right"/>
      <protection locked="0"/>
    </xf>
    <xf numFmtId="2" fontId="14" fillId="3" borderId="4" xfId="0" applyNumberFormat="1" applyFont="1" applyFill="1" applyBorder="1" applyAlignment="1" applyProtection="1">
      <alignment horizontal="left" vertical="center" wrapText="1"/>
      <protection locked="0" hidden="1"/>
    </xf>
    <xf numFmtId="2" fontId="14" fillId="3" borderId="24" xfId="0" applyNumberFormat="1" applyFont="1" applyFill="1" applyBorder="1" applyAlignment="1" applyProtection="1">
      <alignment horizontal="left" vertical="center" wrapText="1"/>
      <protection locked="0" hidden="1"/>
    </xf>
    <xf numFmtId="2" fontId="14" fillId="3" borderId="5" xfId="0" applyNumberFormat="1" applyFont="1" applyFill="1" applyBorder="1" applyAlignment="1" applyProtection="1">
      <alignment horizontal="left" vertical="center" wrapText="1"/>
      <protection locked="0" hidden="1"/>
    </xf>
    <xf numFmtId="2" fontId="14" fillId="2" borderId="4" xfId="0" applyNumberFormat="1" applyFont="1" applyFill="1" applyBorder="1" applyAlignment="1" applyProtection="1">
      <alignment horizontal="center" vertical="center" wrapText="1"/>
      <protection hidden="1"/>
    </xf>
    <xf numFmtId="2" fontId="14" fillId="2" borderId="5" xfId="0" applyNumberFormat="1" applyFont="1" applyFill="1" applyBorder="1" applyAlignment="1" applyProtection="1">
      <alignment horizontal="center" vertical="center" wrapText="1"/>
      <protection hidden="1"/>
    </xf>
    <xf numFmtId="2" fontId="14" fillId="2" borderId="4" xfId="0" applyNumberFormat="1" applyFont="1" applyFill="1" applyBorder="1" applyAlignment="1" applyProtection="1">
      <alignment vertical="center" wrapText="1"/>
      <protection hidden="1"/>
    </xf>
    <xf numFmtId="2" fontId="14" fillId="2" borderId="24" xfId="0" applyNumberFormat="1" applyFont="1" applyFill="1" applyBorder="1" applyAlignment="1" applyProtection="1">
      <alignment vertical="center" wrapText="1"/>
      <protection hidden="1"/>
    </xf>
    <xf numFmtId="2" fontId="14" fillId="2" borderId="5" xfId="0" applyNumberFormat="1" applyFont="1" applyFill="1" applyBorder="1" applyAlignment="1" applyProtection="1">
      <alignment vertical="center" wrapText="1"/>
      <protection hidden="1"/>
    </xf>
    <xf numFmtId="0" fontId="43" fillId="0" borderId="30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righ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  <xf numFmtId="164" fontId="8" fillId="3" borderId="4" xfId="0" applyNumberFormat="1" applyFont="1" applyFill="1" applyBorder="1" applyAlignment="1" applyProtection="1">
      <alignment horizontal="center" vertical="center"/>
      <protection locked="0"/>
    </xf>
    <xf numFmtId="164" fontId="8" fillId="3" borderId="5" xfId="0" applyNumberFormat="1" applyFont="1" applyFill="1" applyBorder="1" applyAlignment="1" applyProtection="1">
      <alignment horizontal="center" vertical="center"/>
      <protection locked="0"/>
    </xf>
    <xf numFmtId="0" fontId="14" fillId="2" borderId="31" xfId="0" applyFont="1" applyFill="1" applyBorder="1" applyAlignment="1" applyProtection="1">
      <alignment horizontal="center" vertical="center" wrapText="1"/>
      <protection hidden="1"/>
    </xf>
    <xf numFmtId="0" fontId="14" fillId="2" borderId="32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25" xfId="0" applyFill="1" applyBorder="1" applyAlignment="1" applyProtection="1">
      <alignment horizontal="center"/>
      <protection hidden="1"/>
    </xf>
    <xf numFmtId="0" fontId="15" fillId="2" borderId="26" xfId="0" applyFont="1" applyFill="1" applyBorder="1" applyAlignment="1" applyProtection="1">
      <alignment horizontal="right"/>
      <protection hidden="1"/>
    </xf>
    <xf numFmtId="0" fontId="15" fillId="2" borderId="27" xfId="0" applyFont="1" applyFill="1" applyBorder="1" applyAlignment="1" applyProtection="1">
      <alignment horizontal="right"/>
      <protection hidden="1"/>
    </xf>
    <xf numFmtId="0" fontId="15" fillId="2" borderId="28" xfId="0" applyFont="1" applyFill="1" applyBorder="1" applyAlignment="1" applyProtection="1">
      <alignment horizontal="right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24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1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8" fillId="5" borderId="0" xfId="0" applyFont="1" applyFill="1" applyAlignment="1" applyProtection="1">
      <alignment horizontal="center"/>
      <protection hidden="1"/>
    </xf>
    <xf numFmtId="0" fontId="37" fillId="0" borderId="4" xfId="0" applyFont="1" applyBorder="1" applyAlignment="1">
      <alignment horizontal="left" vertical="center" wrapText="1"/>
    </xf>
    <xf numFmtId="2" fontId="27" fillId="0" borderId="9" xfId="0" applyNumberFormat="1" applyFont="1" applyBorder="1" applyAlignment="1">
      <alignment horizontal="center" vertical="center"/>
    </xf>
    <xf numFmtId="0" fontId="24" fillId="2" borderId="15" xfId="0" applyFont="1" applyFill="1" applyBorder="1" applyAlignment="1" applyProtection="1">
      <alignment horizontal="center" vertical="center" wrapText="1"/>
      <protection hidden="1"/>
    </xf>
    <xf numFmtId="0" fontId="24" fillId="2" borderId="16" xfId="0" applyFont="1" applyFill="1" applyBorder="1" applyAlignment="1" applyProtection="1">
      <alignment horizontal="center" vertical="center" wrapText="1"/>
      <protection hidden="1"/>
    </xf>
    <xf numFmtId="0" fontId="24" fillId="2" borderId="17" xfId="0" applyFont="1" applyFill="1" applyBorder="1" applyAlignment="1" applyProtection="1">
      <alignment horizontal="center" vertical="center" wrapText="1"/>
      <protection hidden="1"/>
    </xf>
    <xf numFmtId="0" fontId="24" fillId="2" borderId="21" xfId="0" applyFont="1" applyFill="1" applyBorder="1" applyAlignment="1" applyProtection="1">
      <alignment horizontal="center" vertical="center" wrapText="1"/>
      <protection hidden="1"/>
    </xf>
    <xf numFmtId="0" fontId="24" fillId="2" borderId="22" xfId="0" applyFont="1" applyFill="1" applyBorder="1" applyAlignment="1" applyProtection="1">
      <alignment horizontal="center" vertical="center" wrapText="1"/>
      <protection hidden="1"/>
    </xf>
    <xf numFmtId="0" fontId="24" fillId="2" borderId="23" xfId="0" applyFont="1" applyFill="1" applyBorder="1" applyAlignment="1" applyProtection="1">
      <alignment horizontal="center" vertical="center" wrapText="1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14" xfId="1" applyFont="1" applyFill="1" applyBorder="1" applyAlignment="1" applyProtection="1">
      <alignment horizontal="center" vertical="center" wrapText="1"/>
      <protection locked="0" hidden="1"/>
    </xf>
    <xf numFmtId="0" fontId="24" fillId="2" borderId="20" xfId="1" applyFont="1" applyFill="1" applyBorder="1" applyAlignment="1" applyProtection="1">
      <alignment horizontal="center" vertical="center" wrapText="1"/>
      <protection locked="0" hidden="1"/>
    </xf>
    <xf numFmtId="0" fontId="24" fillId="2" borderId="10" xfId="0" applyFont="1" applyFill="1" applyBorder="1" applyAlignment="1" applyProtection="1">
      <alignment horizontal="center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24" fillId="2" borderId="19" xfId="0" applyFont="1" applyFill="1" applyBorder="1" applyAlignment="1" applyProtection="1">
      <alignment horizontal="center" vertical="center" wrapText="1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14" fillId="2" borderId="4" xfId="0" applyNumberFormat="1" applyFont="1" applyFill="1" applyBorder="1" applyAlignment="1" applyProtection="1">
      <alignment horizontal="left" vertical="center" wrapText="1"/>
      <protection hidden="1"/>
    </xf>
    <xf numFmtId="2" fontId="14" fillId="2" borderId="24" xfId="0" applyNumberFormat="1" applyFont="1" applyFill="1" applyBorder="1" applyAlignment="1" applyProtection="1">
      <alignment horizontal="left" vertical="center" wrapText="1"/>
      <protection hidden="1"/>
    </xf>
    <xf numFmtId="2" fontId="14" fillId="2" borderId="5" xfId="0" applyNumberFormat="1" applyFont="1" applyFill="1" applyBorder="1" applyAlignment="1" applyProtection="1">
      <alignment horizontal="left" vertical="center" wrapText="1"/>
      <protection hidden="1"/>
    </xf>
    <xf numFmtId="2" fontId="20" fillId="2" borderId="4" xfId="0" applyNumberFormat="1" applyFont="1" applyFill="1" applyBorder="1" applyAlignment="1" applyProtection="1">
      <alignment horizontal="left" vertical="center" wrapText="1"/>
      <protection hidden="1"/>
    </xf>
    <xf numFmtId="2" fontId="20" fillId="2" borderId="24" xfId="0" applyNumberFormat="1" applyFont="1" applyFill="1" applyBorder="1" applyAlignment="1" applyProtection="1">
      <alignment horizontal="left" vertical="center" wrapText="1"/>
      <protection hidden="1"/>
    </xf>
    <xf numFmtId="2" fontId="20" fillId="2" borderId="5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165" fontId="8" fillId="3" borderId="4" xfId="0" applyNumberFormat="1" applyFont="1" applyFill="1" applyBorder="1" applyAlignment="1" applyProtection="1">
      <alignment horizontal="center" vertical="center"/>
      <protection locked="0"/>
    </xf>
    <xf numFmtId="165" fontId="8" fillId="3" borderId="5" xfId="0" applyNumberFormat="1" applyFont="1" applyFill="1" applyBorder="1" applyAlignment="1" applyProtection="1">
      <alignment horizontal="center" vertical="center"/>
      <protection locked="0"/>
    </xf>
    <xf numFmtId="165" fontId="8" fillId="3" borderId="26" xfId="0" applyNumberFormat="1" applyFont="1" applyFill="1" applyBorder="1" applyAlignment="1" applyProtection="1">
      <alignment horizontal="center" vertical="center"/>
      <protection locked="0"/>
    </xf>
    <xf numFmtId="165" fontId="8" fillId="3" borderId="28" xfId="0" applyNumberFormat="1" applyFont="1" applyFill="1" applyBorder="1" applyAlignment="1" applyProtection="1">
      <alignment horizontal="center" vertical="center"/>
      <protection locked="0"/>
    </xf>
    <xf numFmtId="165" fontId="8" fillId="3" borderId="34" xfId="0" applyNumberFormat="1" applyFont="1" applyFill="1" applyBorder="1" applyAlignment="1" applyProtection="1">
      <alignment horizontal="center" vertical="center"/>
      <protection locked="0"/>
    </xf>
    <xf numFmtId="165" fontId="8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Protection="1">
      <protection hidden="1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34" xfId="0" applyNumberFormat="1" applyFont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14" fillId="4" borderId="16" xfId="0" applyFont="1" applyFill="1" applyBorder="1" applyAlignment="1" applyProtection="1">
      <alignment vertical="center" wrapText="1"/>
      <protection hidden="1"/>
    </xf>
    <xf numFmtId="0" fontId="14" fillId="4" borderId="16" xfId="0" quotePrefix="1" applyFont="1" applyFill="1" applyBorder="1" applyAlignment="1" applyProtection="1">
      <alignment horizontal="center" vertical="center" wrapText="1"/>
      <protection locked="0" hidden="1"/>
    </xf>
    <xf numFmtId="0" fontId="18" fillId="4" borderId="16" xfId="0" applyFont="1" applyFill="1" applyBorder="1" applyAlignment="1" applyProtection="1">
      <alignment horizontal="left" vertical="center" wrapText="1"/>
      <protection locked="0" hidden="1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 applyProtection="1">
      <alignment horizontal="left" vertical="top" wrapText="1"/>
      <protection locked="0"/>
    </xf>
    <xf numFmtId="0" fontId="16" fillId="3" borderId="24" xfId="0" applyFont="1" applyFill="1" applyBorder="1" applyAlignment="1" applyProtection="1">
      <alignment horizontal="left" vertical="top" wrapText="1"/>
      <protection locked="0"/>
    </xf>
    <xf numFmtId="0" fontId="16" fillId="3" borderId="5" xfId="0" applyFont="1" applyFill="1" applyBorder="1" applyAlignment="1" applyProtection="1">
      <alignment horizontal="left" vertical="top" wrapText="1"/>
      <protection locked="0"/>
    </xf>
    <xf numFmtId="49" fontId="8" fillId="0" borderId="4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4" fontId="17" fillId="0" borderId="6" xfId="0" applyNumberFormat="1" applyFont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0" fontId="16" fillId="3" borderId="34" xfId="0" applyFont="1" applyFill="1" applyBorder="1" applyAlignment="1" applyProtection="1">
      <alignment horizontal="center" vertical="top" wrapText="1"/>
      <protection locked="0"/>
    </xf>
    <xf numFmtId="0" fontId="16" fillId="3" borderId="35" xfId="0" applyFont="1" applyFill="1" applyBorder="1" applyAlignment="1" applyProtection="1">
      <alignment horizontal="center" vertical="top" wrapText="1"/>
      <protection locked="0"/>
    </xf>
    <xf numFmtId="0" fontId="16" fillId="3" borderId="14" xfId="0" applyFont="1" applyFill="1" applyBorder="1" applyAlignment="1" applyProtection="1">
      <alignment horizontal="center" vertical="top" wrapText="1"/>
      <protection locked="0"/>
    </xf>
    <xf numFmtId="2" fontId="14" fillId="2" borderId="26" xfId="0" applyNumberFormat="1" applyFont="1" applyFill="1" applyBorder="1" applyAlignment="1" applyProtection="1">
      <alignment vertical="center" wrapText="1"/>
      <protection hidden="1"/>
    </xf>
    <xf numFmtId="2" fontId="14" fillId="2" borderId="27" xfId="0" applyNumberFormat="1" applyFont="1" applyFill="1" applyBorder="1" applyAlignment="1" applyProtection="1">
      <alignment vertical="center" wrapText="1"/>
      <protection hidden="1"/>
    </xf>
    <xf numFmtId="2" fontId="14" fillId="2" borderId="28" xfId="0" applyNumberFormat="1" applyFont="1" applyFill="1" applyBorder="1" applyAlignment="1" applyProtection="1">
      <alignment vertical="center" wrapText="1"/>
      <protection hidden="1"/>
    </xf>
    <xf numFmtId="2" fontId="16" fillId="3" borderId="26" xfId="0" applyNumberFormat="1" applyFont="1" applyFill="1" applyBorder="1" applyAlignment="1" applyProtection="1">
      <alignment horizontal="left" vertical="center" wrapText="1"/>
      <protection locked="0" hidden="1"/>
    </xf>
    <xf numFmtId="2" fontId="16" fillId="3" borderId="27" xfId="0" applyNumberFormat="1" applyFont="1" applyFill="1" applyBorder="1" applyAlignment="1" applyProtection="1">
      <alignment horizontal="left" vertical="center" wrapText="1"/>
      <protection locked="0" hidden="1"/>
    </xf>
    <xf numFmtId="2" fontId="16" fillId="3" borderId="28" xfId="0" applyNumberFormat="1" applyFont="1" applyFill="1" applyBorder="1" applyAlignment="1" applyProtection="1">
      <alignment horizontal="left" vertical="center" wrapText="1"/>
      <protection locked="0" hidden="1"/>
    </xf>
    <xf numFmtId="0" fontId="2" fillId="2" borderId="0" xfId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2" xfId="1" xr:uid="{1E8DD133-CB79-4A57-A5AE-8B2AE933BAE7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8,08,23%20&#1055;&#1091;&#1096;&#1082;&#1072;&#1088;&#1085;&#1099;&#1081;/&#1047;&#1072;&#1082;&#1072;&#1079;%20&#1055;&#1091;&#1096;&#1082;&#1072;&#1088;&#1085;&#1099;&#1081;%201%2008.08.23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9">
          <cell r="D9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ПУШКАРНЫЙ В.В., ИП, Краснодарский край, Краснодар г, Уральская ул, д. 116,</v>
          </cell>
          <cell r="C6" t="str">
            <v>592445_1</v>
          </cell>
          <cell r="D6" t="str">
            <v>1</v>
          </cell>
        </row>
        <row r="8">
          <cell r="B8" t="str">
            <v>350080Российская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9"/>
  <sheetViews>
    <sheetView tabSelected="1" topLeftCell="A209" workbookViewId="0">
      <selection activeCell="Z216" sqref="Z216"/>
    </sheetView>
  </sheetViews>
  <sheetFormatPr defaultColWidth="9.140625" defaultRowHeight="15" x14ac:dyDescent="0.25"/>
  <cols>
    <col min="1" max="1" width="9.140625" style="33"/>
    <col min="2" max="2" width="10.85546875" style="62" customWidth="1"/>
    <col min="3" max="3" width="12.5703125" style="62" customWidth="1"/>
    <col min="4" max="4" width="6.42578125" style="62" customWidth="1"/>
    <col min="5" max="5" width="6.85546875" style="62" customWidth="1"/>
    <col min="6" max="6" width="8.42578125" style="62" customWidth="1"/>
    <col min="7" max="7" width="9.42578125" style="62" customWidth="1"/>
    <col min="8" max="8" width="11.85546875" style="62" customWidth="1"/>
    <col min="9" max="9" width="9.42578125" style="62" customWidth="1"/>
    <col min="10" max="10" width="9.140625" style="63"/>
    <col min="11" max="11" width="9.42578125" style="63" customWidth="1"/>
    <col min="12" max="12" width="10.42578125" style="62" customWidth="1"/>
    <col min="13" max="13" width="7.42578125" style="64" customWidth="1"/>
    <col min="14" max="14" width="15.5703125" style="64" customWidth="1"/>
    <col min="15" max="15" width="8.140625" style="33" customWidth="1"/>
    <col min="16" max="16" width="6.140625" style="33" customWidth="1"/>
    <col min="17" max="17" width="10.85546875" style="65" customWidth="1"/>
    <col min="18" max="18" width="10.42578125" style="65" customWidth="1"/>
    <col min="19" max="19" width="9.42578125" style="65" customWidth="1"/>
    <col min="20" max="20" width="8.42578125" style="65" customWidth="1"/>
    <col min="21" max="21" width="10" style="33" customWidth="1"/>
    <col min="22" max="22" width="11" style="33" customWidth="1"/>
    <col min="23" max="23" width="10" style="33" customWidth="1"/>
    <col min="24" max="24" width="11.5703125" style="33" customWidth="1"/>
    <col min="25" max="25" width="10.42578125" style="33" customWidth="1"/>
    <col min="26" max="26" width="11.42578125" style="39" bestFit="1" customWidth="1"/>
    <col min="27" max="27" width="9.140625" style="39"/>
    <col min="28" max="28" width="8.85546875" style="39" customWidth="1"/>
    <col min="29" max="29" width="13.5703125" style="33" customWidth="1"/>
    <col min="30" max="16384" width="9.140625" style="33"/>
  </cols>
  <sheetData>
    <row r="1" spans="1:28" s="5" customFormat="1" ht="45" customHeight="1" x14ac:dyDescent="0.2">
      <c r="A1" s="1"/>
      <c r="B1" s="1"/>
      <c r="C1" s="1"/>
      <c r="D1" s="164" t="s">
        <v>0</v>
      </c>
      <c r="E1" s="164"/>
      <c r="F1" s="164"/>
      <c r="G1" s="2" t="s">
        <v>1</v>
      </c>
      <c r="H1" s="164" t="s">
        <v>2</v>
      </c>
      <c r="I1" s="164"/>
      <c r="J1" s="164"/>
      <c r="K1" s="164"/>
      <c r="L1" s="164"/>
      <c r="M1" s="164"/>
      <c r="N1" s="164"/>
      <c r="O1" s="165" t="s">
        <v>3</v>
      </c>
      <c r="P1" s="166"/>
      <c r="Q1" s="166"/>
      <c r="R1" s="3"/>
      <c r="S1" s="3"/>
      <c r="T1" s="3"/>
      <c r="U1" s="3"/>
      <c r="V1" s="3"/>
      <c r="W1" s="3"/>
      <c r="X1" s="3"/>
      <c r="Y1" s="4"/>
      <c r="Z1" s="4"/>
      <c r="AA1" s="4"/>
      <c r="AB1" s="4"/>
    </row>
    <row r="2" spans="1:28" s="5" customFormat="1" ht="16.5" customHeight="1" x14ac:dyDescent="0.2">
      <c r="A2" s="6" t="s">
        <v>4</v>
      </c>
      <c r="B2" s="7" t="s">
        <v>5</v>
      </c>
      <c r="C2" s="8"/>
      <c r="D2" s="8"/>
      <c r="E2" s="9"/>
      <c r="F2" s="9"/>
      <c r="G2" s="9"/>
      <c r="H2" s="9"/>
      <c r="I2" s="9"/>
      <c r="J2" s="9"/>
      <c r="K2" s="9"/>
      <c r="L2" s="9"/>
      <c r="M2" s="167" t="s">
        <v>6</v>
      </c>
      <c r="N2" s="167"/>
      <c r="O2" s="167"/>
      <c r="P2" s="167"/>
      <c r="Q2" s="167"/>
      <c r="R2" s="167"/>
      <c r="S2" s="167"/>
      <c r="T2" s="167"/>
      <c r="U2" s="10"/>
      <c r="V2" s="10"/>
      <c r="W2" s="10"/>
      <c r="X2" s="10"/>
      <c r="Y2" s="11"/>
      <c r="Z2" s="11"/>
      <c r="AA2" s="11"/>
    </row>
    <row r="3" spans="1:28" s="5" customFormat="1" ht="11.25" customHeight="1" x14ac:dyDescent="0.2">
      <c r="A3" s="12"/>
      <c r="B3" s="13" t="s">
        <v>7</v>
      </c>
      <c r="C3" s="14"/>
      <c r="D3" s="14"/>
      <c r="E3" s="15"/>
      <c r="F3" s="16" t="s">
        <v>8</v>
      </c>
      <c r="G3" s="9"/>
      <c r="H3" s="9"/>
      <c r="I3" s="9"/>
      <c r="J3" s="16"/>
      <c r="K3" s="9"/>
      <c r="L3" s="9"/>
      <c r="M3" s="167"/>
      <c r="N3" s="167"/>
      <c r="O3" s="167"/>
      <c r="P3" s="167"/>
      <c r="Q3" s="167"/>
      <c r="R3" s="167"/>
      <c r="S3" s="167"/>
      <c r="T3" s="167"/>
      <c r="U3" s="10"/>
      <c r="V3" s="10"/>
      <c r="W3" s="10"/>
      <c r="X3" s="10"/>
      <c r="Y3" s="11"/>
      <c r="Z3" s="11"/>
      <c r="AA3" s="11"/>
    </row>
    <row r="4" spans="1:28" s="5" customFormat="1" ht="9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O4" s="18"/>
      <c r="P4" s="18"/>
      <c r="Q4" s="18"/>
      <c r="R4" s="18"/>
      <c r="S4" s="19"/>
      <c r="T4" s="20"/>
      <c r="U4" s="20"/>
      <c r="V4" s="20"/>
      <c r="W4" s="20"/>
      <c r="X4" s="20"/>
      <c r="Y4" s="11"/>
      <c r="Z4" s="11"/>
      <c r="AA4" s="11"/>
    </row>
    <row r="5" spans="1:28" s="5" customFormat="1" ht="23.45" customHeight="1" x14ac:dyDescent="0.2">
      <c r="A5" s="75" t="s">
        <v>9</v>
      </c>
      <c r="B5" s="76"/>
      <c r="C5" s="77"/>
      <c r="D5" s="70"/>
      <c r="E5" s="72"/>
      <c r="F5" s="73" t="s">
        <v>10</v>
      </c>
      <c r="G5" s="74"/>
      <c r="H5" s="70"/>
      <c r="I5" s="71"/>
      <c r="J5" s="71"/>
      <c r="K5" s="72"/>
      <c r="M5" s="21" t="s">
        <v>11</v>
      </c>
      <c r="N5" s="81"/>
      <c r="O5" s="82"/>
      <c r="Q5" s="79" t="s">
        <v>12</v>
      </c>
      <c r="R5" s="80"/>
      <c r="S5" s="140"/>
      <c r="T5" s="141"/>
      <c r="Y5" s="11"/>
      <c r="Z5" s="11"/>
      <c r="AA5" s="11"/>
    </row>
    <row r="6" spans="1:28" s="5" customFormat="1" ht="24" customHeight="1" x14ac:dyDescent="0.2">
      <c r="A6" s="75" t="s">
        <v>13</v>
      </c>
      <c r="B6" s="76"/>
      <c r="C6" s="77"/>
      <c r="D6" s="142" t="s">
        <v>14</v>
      </c>
      <c r="E6" s="143"/>
      <c r="F6" s="143"/>
      <c r="G6" s="143"/>
      <c r="H6" s="143"/>
      <c r="I6" s="143"/>
      <c r="J6" s="143"/>
      <c r="K6" s="144"/>
      <c r="M6" s="21" t="s">
        <v>15</v>
      </c>
      <c r="N6" s="145" t="str">
        <f>IF(N5=0," ",CHOOSE(WEEKDAY(N5,2),"Понедельник","Вторник","Среда","Четверг","Пятница","Суббота","Воскресенье"))</f>
        <v xml:space="preserve"> </v>
      </c>
      <c r="O6" s="146"/>
      <c r="Q6" s="147" t="s">
        <v>16</v>
      </c>
      <c r="R6" s="148"/>
      <c r="S6" s="149" t="s">
        <v>17</v>
      </c>
      <c r="T6" s="150"/>
      <c r="Y6" s="11"/>
      <c r="Z6" s="11"/>
      <c r="AA6" s="11"/>
    </row>
    <row r="7" spans="1:28" s="5" customFormat="1" ht="21.75" hidden="1" customHeight="1" x14ac:dyDescent="0.2">
      <c r="A7" s="22"/>
      <c r="B7" s="22"/>
      <c r="C7" s="22"/>
      <c r="D7" s="155" t="str">
        <f>IFERROR(VLOOKUP(DeliveryAddress,Table,3,0),1)</f>
        <v>1</v>
      </c>
      <c r="E7" s="156"/>
      <c r="F7" s="156"/>
      <c r="G7" s="156"/>
      <c r="H7" s="156"/>
      <c r="I7" s="156"/>
      <c r="J7" s="156"/>
      <c r="K7" s="157"/>
      <c r="M7" s="21"/>
      <c r="N7" s="23"/>
      <c r="O7" s="23"/>
      <c r="Q7" s="147"/>
      <c r="R7" s="148"/>
      <c r="S7" s="151"/>
      <c r="T7" s="152"/>
      <c r="Y7" s="11"/>
      <c r="Z7" s="11"/>
      <c r="AA7" s="11"/>
    </row>
    <row r="8" spans="1:28" s="5" customFormat="1" ht="25.5" customHeight="1" x14ac:dyDescent="0.2">
      <c r="A8" s="158" t="s">
        <v>18</v>
      </c>
      <c r="B8" s="159"/>
      <c r="C8" s="160"/>
      <c r="D8" s="161" t="s">
        <v>19</v>
      </c>
      <c r="E8" s="162"/>
      <c r="F8" s="162"/>
      <c r="G8" s="162"/>
      <c r="H8" s="162"/>
      <c r="I8" s="162"/>
      <c r="J8" s="162"/>
      <c r="K8" s="163"/>
      <c r="M8" s="21" t="s">
        <v>20</v>
      </c>
      <c r="N8" s="125"/>
      <c r="O8" s="126"/>
      <c r="Q8" s="147"/>
      <c r="R8" s="148"/>
      <c r="S8" s="151"/>
      <c r="T8" s="152"/>
      <c r="Y8" s="11"/>
      <c r="Z8" s="11"/>
      <c r="AA8" s="11"/>
    </row>
    <row r="9" spans="1:28" s="5" customFormat="1" ht="39.950000000000003" customHeight="1" x14ac:dyDescent="0.2">
      <c r="A9" s="137" t="s">
        <v>6</v>
      </c>
      <c r="B9" s="137"/>
      <c r="C9" s="137"/>
      <c r="D9" s="138" t="s">
        <v>6</v>
      </c>
      <c r="E9" s="138"/>
      <c r="F9" s="137" t="s">
        <v>6</v>
      </c>
      <c r="G9" s="137"/>
      <c r="H9" s="139" t="s">
        <v>6</v>
      </c>
      <c r="I9" s="139"/>
      <c r="J9" s="139" t="s">
        <v>6</v>
      </c>
      <c r="K9" s="139"/>
      <c r="M9" s="24" t="s">
        <v>21</v>
      </c>
      <c r="N9" s="81"/>
      <c r="O9" s="82"/>
      <c r="Q9" s="147"/>
      <c r="R9" s="148"/>
      <c r="S9" s="153"/>
      <c r="T9" s="154"/>
      <c r="U9" s="25"/>
      <c r="V9" s="25"/>
      <c r="W9" s="25"/>
      <c r="X9" s="25"/>
      <c r="Y9" s="11"/>
      <c r="Z9" s="11"/>
      <c r="AA9" s="11"/>
    </row>
    <row r="10" spans="1:28" s="5" customFormat="1" ht="26.45" customHeight="1" x14ac:dyDescent="0.2">
      <c r="A10" s="132" t="s">
        <v>6</v>
      </c>
      <c r="B10" s="132"/>
      <c r="C10" s="132"/>
      <c r="D10" s="133"/>
      <c r="E10" s="133"/>
      <c r="F10" s="132" t="s">
        <v>6</v>
      </c>
      <c r="G10" s="132"/>
      <c r="H10" s="134" t="s">
        <v>6</v>
      </c>
      <c r="I10" s="134"/>
      <c r="J10" s="134"/>
      <c r="K10" s="134"/>
      <c r="M10" s="24" t="s">
        <v>22</v>
      </c>
      <c r="N10" s="125"/>
      <c r="O10" s="126"/>
      <c r="R10" s="21" t="s">
        <v>23</v>
      </c>
      <c r="S10" s="135" t="s">
        <v>24</v>
      </c>
      <c r="T10" s="136"/>
      <c r="U10" s="26"/>
      <c r="V10" s="26"/>
      <c r="W10" s="26"/>
      <c r="X10" s="26"/>
      <c r="Y10" s="11"/>
      <c r="Z10" s="11"/>
      <c r="AA10" s="11"/>
    </row>
    <row r="11" spans="1:28" s="5" customFormat="1" ht="15.95" customHeight="1" x14ac:dyDescent="0.2">
      <c r="A11" s="27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M11" s="24" t="s">
        <v>26</v>
      </c>
      <c r="N11" s="125"/>
      <c r="O11" s="126"/>
      <c r="R11" s="21" t="s">
        <v>27</v>
      </c>
      <c r="S11" s="127" t="s">
        <v>28</v>
      </c>
      <c r="T11" s="128"/>
      <c r="U11" s="29"/>
      <c r="V11" s="29"/>
      <c r="W11" s="29"/>
      <c r="X11" s="29"/>
      <c r="Y11" s="11"/>
      <c r="Z11" s="11"/>
      <c r="AA11" s="11"/>
    </row>
    <row r="12" spans="1:28" s="5" customFormat="1" ht="18.600000000000001" customHeight="1" x14ac:dyDescent="0.25">
      <c r="A12" s="116" t="s">
        <v>29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8"/>
      <c r="M12" s="21" t="s">
        <v>30</v>
      </c>
      <c r="N12" s="129"/>
      <c r="O12" s="130"/>
      <c r="P12" s="30"/>
      <c r="Q12"/>
      <c r="R12" s="21" t="s">
        <v>6</v>
      </c>
      <c r="S12" s="131"/>
      <c r="T12" s="131"/>
      <c r="U12"/>
      <c r="Y12" s="11"/>
      <c r="Z12" s="11"/>
      <c r="AA12" s="11"/>
    </row>
    <row r="13" spans="1:28" s="5" customFormat="1" ht="23.25" customHeight="1" x14ac:dyDescent="0.25">
      <c r="A13" s="116" t="s">
        <v>31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8"/>
      <c r="L13" s="24"/>
      <c r="M13" s="24" t="s">
        <v>32</v>
      </c>
      <c r="N13" s="127"/>
      <c r="O13" s="128"/>
      <c r="P13" s="30"/>
      <c r="Q13"/>
      <c r="R13"/>
      <c r="S13"/>
      <c r="T13"/>
      <c r="U13" s="31"/>
      <c r="V13" s="31"/>
      <c r="W13" s="31"/>
      <c r="X13" s="31"/>
      <c r="Y13" s="11"/>
      <c r="Z13" s="11"/>
      <c r="AA13" s="11"/>
    </row>
    <row r="14" spans="1:28" s="5" customFormat="1" ht="18.600000000000001" customHeight="1" x14ac:dyDescent="0.25">
      <c r="A14" s="116" t="s">
        <v>33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8"/>
      <c r="L14"/>
      <c r="M14"/>
      <c r="N14"/>
      <c r="O14"/>
      <c r="P14"/>
      <c r="Q14"/>
      <c r="R14"/>
      <c r="S14"/>
      <c r="T14"/>
      <c r="U14" s="32"/>
      <c r="V14" s="32"/>
      <c r="W14" s="32"/>
      <c r="X14" s="32"/>
      <c r="Y14" s="11"/>
      <c r="Z14" s="11"/>
      <c r="AA14" s="11"/>
    </row>
    <row r="15" spans="1:28" s="5" customFormat="1" ht="22.5" customHeight="1" x14ac:dyDescent="0.25">
      <c r="A15" s="119" t="s">
        <v>34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1"/>
      <c r="L15"/>
      <c r="M15" s="122" t="s">
        <v>35</v>
      </c>
      <c r="N15" s="122"/>
      <c r="O15" s="122"/>
      <c r="P15" s="122"/>
      <c r="Q15" s="122"/>
      <c r="R15"/>
      <c r="S15"/>
      <c r="T15"/>
      <c r="Y15" s="11"/>
      <c r="Z15" s="11"/>
      <c r="AA15" s="11"/>
    </row>
    <row r="16" spans="1:28" ht="18.75" customHeight="1" x14ac:dyDescent="0.25">
      <c r="B16" s="34"/>
      <c r="C16" s="34"/>
      <c r="D16" s="35"/>
      <c r="E16" s="35"/>
      <c r="F16" s="35"/>
      <c r="G16" s="35"/>
      <c r="H16" s="36"/>
      <c r="I16" s="36"/>
      <c r="J16" s="36"/>
      <c r="K16" s="36"/>
      <c r="L16" s="36"/>
      <c r="M16" s="123"/>
      <c r="N16" s="123"/>
      <c r="O16" s="123"/>
      <c r="P16" s="123"/>
      <c r="Q16" s="123"/>
      <c r="R16" s="36"/>
      <c r="S16" s="36"/>
      <c r="T16" s="37"/>
      <c r="U16" s="38"/>
      <c r="V16" s="38"/>
      <c r="W16" s="38"/>
      <c r="X16" s="38"/>
      <c r="Y16" s="38"/>
    </row>
    <row r="17" spans="1:29" ht="27.75" customHeight="1" x14ac:dyDescent="0.25">
      <c r="A17" s="109" t="s">
        <v>36</v>
      </c>
      <c r="B17" s="109" t="s">
        <v>37</v>
      </c>
      <c r="C17" s="124" t="s">
        <v>38</v>
      </c>
      <c r="D17" s="109" t="s">
        <v>39</v>
      </c>
      <c r="E17" s="109"/>
      <c r="F17" s="109" t="s">
        <v>40</v>
      </c>
      <c r="G17" s="109" t="s">
        <v>41</v>
      </c>
      <c r="H17" s="109" t="s">
        <v>42</v>
      </c>
      <c r="I17" s="109" t="s">
        <v>43</v>
      </c>
      <c r="J17" s="113" t="s">
        <v>44</v>
      </c>
      <c r="K17" s="113" t="s">
        <v>45</v>
      </c>
      <c r="L17" s="109" t="s">
        <v>46</v>
      </c>
      <c r="M17" s="109" t="s">
        <v>47</v>
      </c>
      <c r="N17" s="109"/>
      <c r="O17" s="109"/>
      <c r="P17" s="109"/>
      <c r="Q17" s="109"/>
      <c r="R17" s="115" t="s">
        <v>48</v>
      </c>
      <c r="S17" s="109"/>
      <c r="T17" s="109" t="s">
        <v>49</v>
      </c>
      <c r="U17" s="109" t="s">
        <v>50</v>
      </c>
      <c r="V17" s="110" t="s">
        <v>51</v>
      </c>
      <c r="W17" s="109" t="s">
        <v>52</v>
      </c>
      <c r="X17" s="112" t="s">
        <v>53</v>
      </c>
      <c r="Y17" s="112" t="s">
        <v>54</v>
      </c>
      <c r="Z17" s="102" t="s">
        <v>55</v>
      </c>
      <c r="AA17" s="103"/>
      <c r="AB17" s="104"/>
      <c r="AC17" s="108" t="s">
        <v>56</v>
      </c>
    </row>
    <row r="18" spans="1:29" ht="14.25" customHeight="1" x14ac:dyDescent="0.25">
      <c r="A18" s="109"/>
      <c r="B18" s="109"/>
      <c r="C18" s="124"/>
      <c r="D18" s="109"/>
      <c r="E18" s="109"/>
      <c r="F18" s="109" t="s">
        <v>57</v>
      </c>
      <c r="G18" s="109" t="s">
        <v>58</v>
      </c>
      <c r="H18" s="109" t="s">
        <v>59</v>
      </c>
      <c r="I18" s="109" t="s">
        <v>59</v>
      </c>
      <c r="J18" s="114"/>
      <c r="K18" s="114"/>
      <c r="L18" s="109"/>
      <c r="M18" s="109"/>
      <c r="N18" s="109"/>
      <c r="O18" s="109"/>
      <c r="P18" s="109"/>
      <c r="Q18" s="109"/>
      <c r="R18" s="40" t="s">
        <v>60</v>
      </c>
      <c r="S18" s="40" t="s">
        <v>61</v>
      </c>
      <c r="T18" s="109"/>
      <c r="U18" s="109"/>
      <c r="V18" s="111"/>
      <c r="W18" s="109"/>
      <c r="X18" s="112"/>
      <c r="Y18" s="112"/>
      <c r="Z18" s="105"/>
      <c r="AA18" s="106"/>
      <c r="AB18" s="107"/>
      <c r="AC18" s="108"/>
    </row>
    <row r="19" spans="1:29" ht="27.75" customHeight="1" x14ac:dyDescent="0.25">
      <c r="A19" s="101" t="s">
        <v>62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41"/>
      <c r="Y19" s="41"/>
    </row>
    <row r="20" spans="1:29" ht="16.5" customHeight="1" x14ac:dyDescent="0.25">
      <c r="A20" s="99" t="s">
        <v>62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42"/>
      <c r="Y20" s="42"/>
    </row>
    <row r="21" spans="1:29" ht="14.25" customHeight="1" x14ac:dyDescent="0.25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43"/>
      <c r="Y21" s="43"/>
    </row>
    <row r="22" spans="1:29" ht="27" customHeight="1" x14ac:dyDescent="0.25">
      <c r="A22" s="44" t="s">
        <v>64</v>
      </c>
      <c r="B22" s="44" t="s">
        <v>65</v>
      </c>
      <c r="C22" s="45">
        <v>4301031106</v>
      </c>
      <c r="D22" s="95">
        <v>4607091389258</v>
      </c>
      <c r="E22" s="95"/>
      <c r="F22" s="46">
        <v>0.3</v>
      </c>
      <c r="G22" s="47">
        <v>6</v>
      </c>
      <c r="H22" s="46">
        <v>1.8</v>
      </c>
      <c r="I22" s="46">
        <v>2</v>
      </c>
      <c r="J22" s="47">
        <v>156</v>
      </c>
      <c r="K22" s="48" t="s">
        <v>66</v>
      </c>
      <c r="L22" s="47">
        <v>35</v>
      </c>
      <c r="M22" s="96" t="s">
        <v>67</v>
      </c>
      <c r="N22" s="97"/>
      <c r="O22" s="97"/>
      <c r="P22" s="97"/>
      <c r="Q22" s="98"/>
      <c r="R22" s="49" t="s">
        <v>6</v>
      </c>
      <c r="S22" s="49" t="s">
        <v>6</v>
      </c>
      <c r="T22" s="50" t="s">
        <v>68</v>
      </c>
      <c r="U22" s="51">
        <v>0</v>
      </c>
      <c r="V22" s="52">
        <f>IFERROR(IF(U22="",0,CEILING((U22/$H22),1)*$H22),"")</f>
        <v>0</v>
      </c>
      <c r="W22" s="53" t="str">
        <f>IFERROR(IF(V22=0,"",ROUNDUP(V22/H22,0)*0.00753),"")</f>
        <v/>
      </c>
      <c r="X22" s="54" t="s">
        <v>6</v>
      </c>
      <c r="Y22" s="55" t="s">
        <v>6</v>
      </c>
      <c r="AC22" s="56" t="s">
        <v>1</v>
      </c>
    </row>
    <row r="23" spans="1:29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6"/>
      <c r="M23" s="87" t="s">
        <v>69</v>
      </c>
      <c r="N23" s="88"/>
      <c r="O23" s="88"/>
      <c r="P23" s="88"/>
      <c r="Q23" s="88"/>
      <c r="R23" s="88"/>
      <c r="S23" s="89"/>
      <c r="T23" s="57" t="s">
        <v>70</v>
      </c>
      <c r="U23" s="58">
        <f>IFERROR(U22/H22,"0")</f>
        <v>0</v>
      </c>
      <c r="V23" s="58">
        <f>IFERROR(V22/H22,"0")</f>
        <v>0</v>
      </c>
      <c r="W23" s="58">
        <f>IFERROR(IF(W22="",0,W22),"0")</f>
        <v>0</v>
      </c>
      <c r="X23" s="59"/>
      <c r="Y23" s="59"/>
    </row>
    <row r="24" spans="1:29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  <c r="M24" s="87" t="s">
        <v>69</v>
      </c>
      <c r="N24" s="88"/>
      <c r="O24" s="88"/>
      <c r="P24" s="88"/>
      <c r="Q24" s="88"/>
      <c r="R24" s="88"/>
      <c r="S24" s="89"/>
      <c r="T24" s="57" t="s">
        <v>68</v>
      </c>
      <c r="U24" s="58">
        <f>IFERROR(SUM(U22:U22),"0")</f>
        <v>0</v>
      </c>
      <c r="V24" s="58">
        <f>IFERROR(SUM(V22:V22),"0")</f>
        <v>0</v>
      </c>
      <c r="W24" s="57"/>
      <c r="X24" s="59"/>
      <c r="Y24" s="59"/>
    </row>
    <row r="25" spans="1:29" ht="14.25" customHeight="1" x14ac:dyDescent="0.25">
      <c r="A25" s="94" t="s">
        <v>71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43"/>
      <c r="Y25" s="43"/>
    </row>
    <row r="26" spans="1:29" ht="27" customHeight="1" x14ac:dyDescent="0.25">
      <c r="A26" s="44" t="s">
        <v>72</v>
      </c>
      <c r="B26" s="44" t="s">
        <v>73</v>
      </c>
      <c r="C26" s="45">
        <v>4301051176</v>
      </c>
      <c r="D26" s="95">
        <v>4607091383881</v>
      </c>
      <c r="E26" s="95"/>
      <c r="F26" s="46">
        <v>0.33</v>
      </c>
      <c r="G26" s="47">
        <v>6</v>
      </c>
      <c r="H26" s="46">
        <v>1.98</v>
      </c>
      <c r="I26" s="46">
        <v>2.246</v>
      </c>
      <c r="J26" s="47">
        <v>156</v>
      </c>
      <c r="K26" s="48" t="s">
        <v>66</v>
      </c>
      <c r="L26" s="47">
        <v>35</v>
      </c>
      <c r="M26" s="1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7"/>
      <c r="O26" s="97"/>
      <c r="P26" s="97"/>
      <c r="Q26" s="98"/>
      <c r="R26" s="49" t="s">
        <v>6</v>
      </c>
      <c r="S26" s="49" t="s">
        <v>6</v>
      </c>
      <c r="T26" s="50" t="s">
        <v>68</v>
      </c>
      <c r="U26" s="51">
        <v>0</v>
      </c>
      <c r="V26" s="52">
        <f t="shared" ref="V26:V31" si="0">IFERROR(IF(U26="",0,CEILING((U26/$H26),1)*$H26),"")</f>
        <v>0</v>
      </c>
      <c r="W26" s="53" t="str">
        <f t="shared" ref="W26:W31" si="1">IFERROR(IF(V26=0,"",ROUNDUP(V26/H26,0)*0.00753),"")</f>
        <v/>
      </c>
      <c r="X26" s="54" t="s">
        <v>6</v>
      </c>
      <c r="Y26" s="55" t="s">
        <v>6</v>
      </c>
      <c r="AC26" s="56" t="s">
        <v>1</v>
      </c>
    </row>
    <row r="27" spans="1:29" ht="27" customHeight="1" x14ac:dyDescent="0.25">
      <c r="A27" s="44" t="s">
        <v>74</v>
      </c>
      <c r="B27" s="44" t="s">
        <v>75</v>
      </c>
      <c r="C27" s="45">
        <v>4301051172</v>
      </c>
      <c r="D27" s="95">
        <v>4607091388237</v>
      </c>
      <c r="E27" s="95"/>
      <c r="F27" s="46">
        <v>0.42</v>
      </c>
      <c r="G27" s="47">
        <v>6</v>
      </c>
      <c r="H27" s="46">
        <v>2.52</v>
      </c>
      <c r="I27" s="46">
        <v>2.786</v>
      </c>
      <c r="J27" s="47">
        <v>156</v>
      </c>
      <c r="K27" s="48" t="s">
        <v>66</v>
      </c>
      <c r="L27" s="47">
        <v>35</v>
      </c>
      <c r="M27" s="10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7"/>
      <c r="O27" s="97"/>
      <c r="P27" s="97"/>
      <c r="Q27" s="98"/>
      <c r="R27" s="49" t="s">
        <v>6</v>
      </c>
      <c r="S27" s="49" t="s">
        <v>6</v>
      </c>
      <c r="T27" s="50" t="s">
        <v>68</v>
      </c>
      <c r="U27" s="51">
        <v>0</v>
      </c>
      <c r="V27" s="52">
        <f t="shared" si="0"/>
        <v>0</v>
      </c>
      <c r="W27" s="53" t="str">
        <f t="shared" si="1"/>
        <v/>
      </c>
      <c r="X27" s="54" t="s">
        <v>6</v>
      </c>
      <c r="Y27" s="55" t="s">
        <v>6</v>
      </c>
      <c r="AC27" s="56" t="s">
        <v>1</v>
      </c>
    </row>
    <row r="28" spans="1:29" ht="27" customHeight="1" x14ac:dyDescent="0.25">
      <c r="A28" s="44" t="s">
        <v>76</v>
      </c>
      <c r="B28" s="44" t="s">
        <v>77</v>
      </c>
      <c r="C28" s="45">
        <v>4301051180</v>
      </c>
      <c r="D28" s="95">
        <v>4607091383935</v>
      </c>
      <c r="E28" s="95"/>
      <c r="F28" s="46">
        <v>0.33</v>
      </c>
      <c r="G28" s="47">
        <v>6</v>
      </c>
      <c r="H28" s="46">
        <v>1.98</v>
      </c>
      <c r="I28" s="46">
        <v>2.246</v>
      </c>
      <c r="J28" s="47">
        <v>156</v>
      </c>
      <c r="K28" s="48" t="s">
        <v>66</v>
      </c>
      <c r="L28" s="47">
        <v>30</v>
      </c>
      <c r="M28" s="1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7"/>
      <c r="O28" s="97"/>
      <c r="P28" s="97"/>
      <c r="Q28" s="98"/>
      <c r="R28" s="49" t="s">
        <v>6</v>
      </c>
      <c r="S28" s="49" t="s">
        <v>6</v>
      </c>
      <c r="T28" s="50" t="s">
        <v>68</v>
      </c>
      <c r="U28" s="51">
        <v>0</v>
      </c>
      <c r="V28" s="52">
        <f t="shared" si="0"/>
        <v>0</v>
      </c>
      <c r="W28" s="53" t="str">
        <f t="shared" si="1"/>
        <v/>
      </c>
      <c r="X28" s="54" t="s">
        <v>6</v>
      </c>
      <c r="Y28" s="55" t="s">
        <v>6</v>
      </c>
      <c r="AC28" s="56" t="s">
        <v>1</v>
      </c>
    </row>
    <row r="29" spans="1:29" ht="27" customHeight="1" x14ac:dyDescent="0.25">
      <c r="A29" s="44" t="s">
        <v>78</v>
      </c>
      <c r="B29" s="44" t="s">
        <v>79</v>
      </c>
      <c r="C29" s="45">
        <v>4301051426</v>
      </c>
      <c r="D29" s="95">
        <v>4680115881853</v>
      </c>
      <c r="E29" s="95"/>
      <c r="F29" s="46">
        <v>0.33</v>
      </c>
      <c r="G29" s="47">
        <v>6</v>
      </c>
      <c r="H29" s="46">
        <v>1.98</v>
      </c>
      <c r="I29" s="46">
        <v>2.246</v>
      </c>
      <c r="J29" s="47">
        <v>156</v>
      </c>
      <c r="K29" s="48" t="s">
        <v>66</v>
      </c>
      <c r="L29" s="47">
        <v>30</v>
      </c>
      <c r="M29" s="96" t="s">
        <v>80</v>
      </c>
      <c r="N29" s="97"/>
      <c r="O29" s="97"/>
      <c r="P29" s="97"/>
      <c r="Q29" s="98"/>
      <c r="R29" s="49" t="s">
        <v>6</v>
      </c>
      <c r="S29" s="49" t="s">
        <v>6</v>
      </c>
      <c r="T29" s="50" t="s">
        <v>68</v>
      </c>
      <c r="U29" s="51">
        <v>0</v>
      </c>
      <c r="V29" s="52">
        <f t="shared" si="0"/>
        <v>0</v>
      </c>
      <c r="W29" s="53" t="str">
        <f t="shared" si="1"/>
        <v/>
      </c>
      <c r="X29" s="54" t="s">
        <v>6</v>
      </c>
      <c r="Y29" s="55" t="s">
        <v>6</v>
      </c>
      <c r="AC29" s="56" t="s">
        <v>1</v>
      </c>
    </row>
    <row r="30" spans="1:29" ht="27" customHeight="1" x14ac:dyDescent="0.25">
      <c r="A30" s="44" t="s">
        <v>81</v>
      </c>
      <c r="B30" s="44" t="s">
        <v>82</v>
      </c>
      <c r="C30" s="45">
        <v>4301051178</v>
      </c>
      <c r="D30" s="95">
        <v>4607091383911</v>
      </c>
      <c r="E30" s="95"/>
      <c r="F30" s="46">
        <v>0.33</v>
      </c>
      <c r="G30" s="47">
        <v>6</v>
      </c>
      <c r="H30" s="46">
        <v>1.98</v>
      </c>
      <c r="I30" s="46">
        <v>2.246</v>
      </c>
      <c r="J30" s="47">
        <v>156</v>
      </c>
      <c r="K30" s="48" t="s">
        <v>66</v>
      </c>
      <c r="L30" s="47">
        <v>35</v>
      </c>
      <c r="M30" s="1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7"/>
      <c r="O30" s="97"/>
      <c r="P30" s="97"/>
      <c r="Q30" s="98"/>
      <c r="R30" s="49" t="s">
        <v>6</v>
      </c>
      <c r="S30" s="49" t="s">
        <v>6</v>
      </c>
      <c r="T30" s="50" t="s">
        <v>68</v>
      </c>
      <c r="U30" s="51">
        <v>0</v>
      </c>
      <c r="V30" s="52">
        <f t="shared" si="0"/>
        <v>0</v>
      </c>
      <c r="W30" s="53" t="str">
        <f t="shared" si="1"/>
        <v/>
      </c>
      <c r="X30" s="54" t="s">
        <v>6</v>
      </c>
      <c r="Y30" s="55" t="s">
        <v>6</v>
      </c>
      <c r="AC30" s="56" t="s">
        <v>1</v>
      </c>
    </row>
    <row r="31" spans="1:29" ht="27" customHeight="1" x14ac:dyDescent="0.25">
      <c r="A31" s="44" t="s">
        <v>83</v>
      </c>
      <c r="B31" s="44" t="s">
        <v>84</v>
      </c>
      <c r="C31" s="45">
        <v>4301051174</v>
      </c>
      <c r="D31" s="95">
        <v>4607091388244</v>
      </c>
      <c r="E31" s="95"/>
      <c r="F31" s="46">
        <v>0.42</v>
      </c>
      <c r="G31" s="47">
        <v>6</v>
      </c>
      <c r="H31" s="46">
        <v>2.52</v>
      </c>
      <c r="I31" s="46">
        <v>2.786</v>
      </c>
      <c r="J31" s="47">
        <v>156</v>
      </c>
      <c r="K31" s="48" t="s">
        <v>66</v>
      </c>
      <c r="L31" s="47">
        <v>35</v>
      </c>
      <c r="M31" s="1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7"/>
      <c r="O31" s="97"/>
      <c r="P31" s="97"/>
      <c r="Q31" s="98"/>
      <c r="R31" s="49" t="s">
        <v>6</v>
      </c>
      <c r="S31" s="49" t="s">
        <v>6</v>
      </c>
      <c r="T31" s="50" t="s">
        <v>68</v>
      </c>
      <c r="U31" s="51">
        <v>0</v>
      </c>
      <c r="V31" s="52">
        <f t="shared" si="0"/>
        <v>0</v>
      </c>
      <c r="W31" s="53" t="str">
        <f t="shared" si="1"/>
        <v/>
      </c>
      <c r="X31" s="54" t="s">
        <v>6</v>
      </c>
      <c r="Y31" s="55" t="s">
        <v>6</v>
      </c>
      <c r="AC31" s="56" t="s">
        <v>1</v>
      </c>
    </row>
    <row r="32" spans="1:29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6"/>
      <c r="M32" s="87" t="s">
        <v>69</v>
      </c>
      <c r="N32" s="88"/>
      <c r="O32" s="88"/>
      <c r="P32" s="88"/>
      <c r="Q32" s="88"/>
      <c r="R32" s="88"/>
      <c r="S32" s="89"/>
      <c r="T32" s="57" t="s">
        <v>70</v>
      </c>
      <c r="U32" s="58">
        <f>IFERROR(U26/H26,"0")+IFERROR(U27/H27,"0")+IFERROR(U28/H28,"0")+IFERROR(U29/H29,"0")+IFERROR(U30/H30,"0")+IFERROR(U31/H31,"0")</f>
        <v>0</v>
      </c>
      <c r="V32" s="58">
        <f>IFERROR(V26/H26,"0")+IFERROR(V27/H27,"0")+IFERROR(V28/H28,"0")+IFERROR(V29/H29,"0")+IFERROR(V30/H30,"0")+IFERROR(V31/H31,"0")</f>
        <v>0</v>
      </c>
      <c r="W32" s="58">
        <f>IFERROR(IF(W26="",0,W26),"0")+IFERROR(IF(W27="",0,W27),"0")+IFERROR(IF(W28="",0,W28),"0")+IFERROR(IF(W29="",0,W29),"0")+IFERROR(IF(W30="",0,W30),"0")+IFERROR(IF(W31="",0,W31),"0")</f>
        <v>0</v>
      </c>
      <c r="X32" s="59"/>
      <c r="Y32" s="59"/>
    </row>
    <row r="33" spans="1:29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6"/>
      <c r="M33" s="87" t="s">
        <v>69</v>
      </c>
      <c r="N33" s="88"/>
      <c r="O33" s="88"/>
      <c r="P33" s="88"/>
      <c r="Q33" s="88"/>
      <c r="R33" s="88"/>
      <c r="S33" s="89"/>
      <c r="T33" s="57" t="s">
        <v>68</v>
      </c>
      <c r="U33" s="58">
        <f>IFERROR(SUM(U26:U31),"0")</f>
        <v>0</v>
      </c>
      <c r="V33" s="58">
        <f>IFERROR(SUM(V26:V31),"0")</f>
        <v>0</v>
      </c>
      <c r="W33" s="57"/>
      <c r="X33" s="59"/>
      <c r="Y33" s="59"/>
    </row>
    <row r="34" spans="1:29" ht="14.25" customHeight="1" x14ac:dyDescent="0.25">
      <c r="A34" s="94" t="s">
        <v>85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43"/>
      <c r="Y34" s="43"/>
    </row>
    <row r="35" spans="1:29" ht="27" customHeight="1" x14ac:dyDescent="0.25">
      <c r="A35" s="44" t="s">
        <v>86</v>
      </c>
      <c r="B35" s="44" t="s">
        <v>87</v>
      </c>
      <c r="C35" s="45">
        <v>4301032013</v>
      </c>
      <c r="D35" s="95">
        <v>4607091388503</v>
      </c>
      <c r="E35" s="95"/>
      <c r="F35" s="46">
        <v>0.05</v>
      </c>
      <c r="G35" s="47">
        <v>12</v>
      </c>
      <c r="H35" s="46">
        <v>0.6</v>
      </c>
      <c r="I35" s="46">
        <v>0.84199999999999997</v>
      </c>
      <c r="J35" s="47">
        <v>156</v>
      </c>
      <c r="K35" s="48" t="s">
        <v>88</v>
      </c>
      <c r="L35" s="47">
        <v>120</v>
      </c>
      <c r="M35" s="1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7"/>
      <c r="O35" s="97"/>
      <c r="P35" s="97"/>
      <c r="Q35" s="98"/>
      <c r="R35" s="49" t="s">
        <v>6</v>
      </c>
      <c r="S35" s="49" t="s">
        <v>6</v>
      </c>
      <c r="T35" s="50" t="s">
        <v>68</v>
      </c>
      <c r="U35" s="51">
        <v>0</v>
      </c>
      <c r="V35" s="52">
        <f>IFERROR(IF(U35="",0,CEILING((U35/$H35),1)*$H35),"")</f>
        <v>0</v>
      </c>
      <c r="W35" s="53" t="str">
        <f>IFERROR(IF(V35=0,"",ROUNDUP(V35/H35,0)*0.00753),"")</f>
        <v/>
      </c>
      <c r="X35" s="54" t="s">
        <v>6</v>
      </c>
      <c r="Y35" s="55" t="s">
        <v>6</v>
      </c>
      <c r="AC35" s="56" t="s">
        <v>89</v>
      </c>
    </row>
    <row r="36" spans="1:29" ht="27" customHeight="1" x14ac:dyDescent="0.25">
      <c r="A36" s="44" t="s">
        <v>90</v>
      </c>
      <c r="B36" s="44" t="s">
        <v>91</v>
      </c>
      <c r="C36" s="45">
        <v>4301032036</v>
      </c>
      <c r="D36" s="95">
        <v>4680115880139</v>
      </c>
      <c r="E36" s="95"/>
      <c r="F36" s="46">
        <v>2.5000000000000001E-2</v>
      </c>
      <c r="G36" s="47">
        <v>10</v>
      </c>
      <c r="H36" s="46">
        <v>0.25</v>
      </c>
      <c r="I36" s="46">
        <v>0.41</v>
      </c>
      <c r="J36" s="47">
        <v>234</v>
      </c>
      <c r="K36" s="48" t="s">
        <v>92</v>
      </c>
      <c r="L36" s="47">
        <v>120</v>
      </c>
      <c r="M36" s="1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7"/>
      <c r="O36" s="97"/>
      <c r="P36" s="97"/>
      <c r="Q36" s="98"/>
      <c r="R36" s="49" t="s">
        <v>6</v>
      </c>
      <c r="S36" s="49" t="s">
        <v>6</v>
      </c>
      <c r="T36" s="50" t="s">
        <v>68</v>
      </c>
      <c r="U36" s="51">
        <v>0</v>
      </c>
      <c r="V36" s="52">
        <f>IFERROR(IF(U36="",0,CEILING((U36/$H36),1)*$H36),"")</f>
        <v>0</v>
      </c>
      <c r="W36" s="53" t="str">
        <f>IFERROR(IF(V36=0,"",ROUNDUP(V36/H36,0)*0.00502),"")</f>
        <v/>
      </c>
      <c r="X36" s="54" t="s">
        <v>6</v>
      </c>
      <c r="Y36" s="55" t="s">
        <v>6</v>
      </c>
      <c r="AC36" s="56" t="s">
        <v>89</v>
      </c>
    </row>
    <row r="37" spans="1:29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6"/>
      <c r="M37" s="87" t="s">
        <v>69</v>
      </c>
      <c r="N37" s="88"/>
      <c r="O37" s="88"/>
      <c r="P37" s="88"/>
      <c r="Q37" s="88"/>
      <c r="R37" s="88"/>
      <c r="S37" s="89"/>
      <c r="T37" s="57" t="s">
        <v>70</v>
      </c>
      <c r="U37" s="58">
        <f>IFERROR(U35/H35,"0")+IFERROR(U36/H36,"0")</f>
        <v>0</v>
      </c>
      <c r="V37" s="58">
        <f>IFERROR(V35/H35,"0")+IFERROR(V36/H36,"0")</f>
        <v>0</v>
      </c>
      <c r="W37" s="58">
        <f>IFERROR(IF(W35="",0,W35),"0")+IFERROR(IF(W36="",0,W36),"0")</f>
        <v>0</v>
      </c>
      <c r="X37" s="59"/>
      <c r="Y37" s="59"/>
    </row>
    <row r="38" spans="1:29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6"/>
      <c r="M38" s="87" t="s">
        <v>69</v>
      </c>
      <c r="N38" s="88"/>
      <c r="O38" s="88"/>
      <c r="P38" s="88"/>
      <c r="Q38" s="88"/>
      <c r="R38" s="88"/>
      <c r="S38" s="89"/>
      <c r="T38" s="57" t="s">
        <v>68</v>
      </c>
      <c r="U38" s="58">
        <f>IFERROR(SUM(U35:U36),"0")</f>
        <v>0</v>
      </c>
      <c r="V38" s="58">
        <f>IFERROR(SUM(V35:V36),"0")</f>
        <v>0</v>
      </c>
      <c r="W38" s="57"/>
      <c r="X38" s="59"/>
      <c r="Y38" s="59"/>
    </row>
    <row r="39" spans="1:29" ht="14.25" customHeight="1" x14ac:dyDescent="0.25">
      <c r="A39" s="94" t="s">
        <v>93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43"/>
      <c r="Y39" s="43"/>
    </row>
    <row r="40" spans="1:29" ht="80.25" customHeight="1" x14ac:dyDescent="0.25">
      <c r="A40" s="44" t="s">
        <v>94</v>
      </c>
      <c r="B40" s="44" t="s">
        <v>95</v>
      </c>
      <c r="C40" s="45">
        <v>4301160001</v>
      </c>
      <c r="D40" s="95">
        <v>4607091388282</v>
      </c>
      <c r="E40" s="95"/>
      <c r="F40" s="46">
        <v>0.3</v>
      </c>
      <c r="G40" s="47">
        <v>6</v>
      </c>
      <c r="H40" s="46">
        <v>1.8</v>
      </c>
      <c r="I40" s="46">
        <v>2.0840000000000001</v>
      </c>
      <c r="J40" s="47">
        <v>156</v>
      </c>
      <c r="K40" s="48" t="s">
        <v>88</v>
      </c>
      <c r="L40" s="47">
        <v>30</v>
      </c>
      <c r="M40" s="1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7"/>
      <c r="O40" s="97"/>
      <c r="P40" s="97"/>
      <c r="Q40" s="98"/>
      <c r="R40" s="49" t="s">
        <v>6</v>
      </c>
      <c r="S40" s="49" t="s">
        <v>6</v>
      </c>
      <c r="T40" s="50" t="s">
        <v>68</v>
      </c>
      <c r="U40" s="51">
        <v>0</v>
      </c>
      <c r="V40" s="52">
        <f>IFERROR(IF(U40="",0,CEILING((U40/$H40),1)*$H40),"")</f>
        <v>0</v>
      </c>
      <c r="W40" s="53" t="str">
        <f>IFERROR(IF(V40=0,"",ROUNDUP(V40/H40,0)*0.00753),"")</f>
        <v/>
      </c>
      <c r="X40" s="54" t="s">
        <v>96</v>
      </c>
      <c r="Y40" s="55" t="s">
        <v>6</v>
      </c>
      <c r="AC40" s="56" t="s">
        <v>1</v>
      </c>
    </row>
    <row r="41" spans="1:29" x14ac:dyDescent="0.2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6"/>
      <c r="M41" s="87" t="s">
        <v>69</v>
      </c>
      <c r="N41" s="88"/>
      <c r="O41" s="88"/>
      <c r="P41" s="88"/>
      <c r="Q41" s="88"/>
      <c r="R41" s="88"/>
      <c r="S41" s="89"/>
      <c r="T41" s="57" t="s">
        <v>70</v>
      </c>
      <c r="U41" s="58">
        <f>IFERROR(U40/H40,"0")</f>
        <v>0</v>
      </c>
      <c r="V41" s="58">
        <f>IFERROR(V40/H40,"0")</f>
        <v>0</v>
      </c>
      <c r="W41" s="58">
        <f>IFERROR(IF(W40="",0,W40),"0")</f>
        <v>0</v>
      </c>
      <c r="X41" s="59"/>
      <c r="Y41" s="59"/>
    </row>
    <row r="42" spans="1:29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6"/>
      <c r="M42" s="87" t="s">
        <v>69</v>
      </c>
      <c r="N42" s="88"/>
      <c r="O42" s="88"/>
      <c r="P42" s="88"/>
      <c r="Q42" s="88"/>
      <c r="R42" s="88"/>
      <c r="S42" s="89"/>
      <c r="T42" s="57" t="s">
        <v>68</v>
      </c>
      <c r="U42" s="58">
        <f>IFERROR(SUM(U40:U40),"0")</f>
        <v>0</v>
      </c>
      <c r="V42" s="58">
        <f>IFERROR(SUM(V40:V40),"0")</f>
        <v>0</v>
      </c>
      <c r="W42" s="57"/>
      <c r="X42" s="59"/>
      <c r="Y42" s="59"/>
    </row>
    <row r="43" spans="1:29" ht="14.25" customHeight="1" x14ac:dyDescent="0.25">
      <c r="A43" s="94" t="s">
        <v>97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43"/>
      <c r="Y43" s="43"/>
    </row>
    <row r="44" spans="1:29" ht="27" customHeight="1" x14ac:dyDescent="0.25">
      <c r="A44" s="44" t="s">
        <v>98</v>
      </c>
      <c r="B44" s="44" t="s">
        <v>99</v>
      </c>
      <c r="C44" s="45">
        <v>4301170002</v>
      </c>
      <c r="D44" s="95">
        <v>4607091389111</v>
      </c>
      <c r="E44" s="95"/>
      <c r="F44" s="46">
        <v>2.5000000000000001E-2</v>
      </c>
      <c r="G44" s="47">
        <v>10</v>
      </c>
      <c r="H44" s="46">
        <v>0.25</v>
      </c>
      <c r="I44" s="46">
        <v>0.49199999999999999</v>
      </c>
      <c r="J44" s="47">
        <v>156</v>
      </c>
      <c r="K44" s="48" t="s">
        <v>88</v>
      </c>
      <c r="L44" s="47">
        <v>120</v>
      </c>
      <c r="M44" s="1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97"/>
      <c r="O44" s="97"/>
      <c r="P44" s="97"/>
      <c r="Q44" s="98"/>
      <c r="R44" s="49" t="s">
        <v>6</v>
      </c>
      <c r="S44" s="49" t="s">
        <v>6</v>
      </c>
      <c r="T44" s="50" t="s">
        <v>68</v>
      </c>
      <c r="U44" s="51">
        <v>0</v>
      </c>
      <c r="V44" s="52">
        <f>IFERROR(IF(U44="",0,CEILING((U44/$H44),1)*$H44),"")</f>
        <v>0</v>
      </c>
      <c r="W44" s="53" t="str">
        <f>IFERROR(IF(V44=0,"",ROUNDUP(V44/H44,0)*0.00753),"")</f>
        <v/>
      </c>
      <c r="X44" s="54" t="s">
        <v>6</v>
      </c>
      <c r="Y44" s="55" t="s">
        <v>6</v>
      </c>
      <c r="AC44" s="56" t="s">
        <v>89</v>
      </c>
    </row>
    <row r="45" spans="1:29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6"/>
      <c r="M45" s="87" t="s">
        <v>69</v>
      </c>
      <c r="N45" s="88"/>
      <c r="O45" s="88"/>
      <c r="P45" s="88"/>
      <c r="Q45" s="88"/>
      <c r="R45" s="88"/>
      <c r="S45" s="89"/>
      <c r="T45" s="57" t="s">
        <v>70</v>
      </c>
      <c r="U45" s="58">
        <f>IFERROR(U44/H44,"0")</f>
        <v>0</v>
      </c>
      <c r="V45" s="58">
        <f>IFERROR(V44/H44,"0")</f>
        <v>0</v>
      </c>
      <c r="W45" s="58">
        <f>IFERROR(IF(W44="",0,W44),"0")</f>
        <v>0</v>
      </c>
      <c r="X45" s="59"/>
      <c r="Y45" s="59"/>
    </row>
    <row r="46" spans="1:29" x14ac:dyDescent="0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6"/>
      <c r="M46" s="87" t="s">
        <v>69</v>
      </c>
      <c r="N46" s="88"/>
      <c r="O46" s="88"/>
      <c r="P46" s="88"/>
      <c r="Q46" s="88"/>
      <c r="R46" s="88"/>
      <c r="S46" s="89"/>
      <c r="T46" s="57" t="s">
        <v>68</v>
      </c>
      <c r="U46" s="58">
        <f>IFERROR(SUM(U44:U44),"0")</f>
        <v>0</v>
      </c>
      <c r="V46" s="58">
        <f>IFERROR(SUM(V44:V44),"0")</f>
        <v>0</v>
      </c>
      <c r="W46" s="57"/>
      <c r="X46" s="59"/>
      <c r="Y46" s="59"/>
    </row>
    <row r="47" spans="1:29" ht="27.75" customHeight="1" x14ac:dyDescent="0.25">
      <c r="A47" s="101" t="s">
        <v>100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41"/>
      <c r="Y47" s="41"/>
    </row>
    <row r="48" spans="1:29" ht="16.5" customHeight="1" x14ac:dyDescent="0.25">
      <c r="A48" s="99" t="s">
        <v>101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42"/>
      <c r="Y48" s="42"/>
    </row>
    <row r="49" spans="1:29" ht="14.25" customHeight="1" x14ac:dyDescent="0.25">
      <c r="A49" s="94" t="s">
        <v>102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43"/>
      <c r="Y49" s="43"/>
    </row>
    <row r="50" spans="1:29" ht="27" customHeight="1" x14ac:dyDescent="0.25">
      <c r="A50" s="44" t="s">
        <v>103</v>
      </c>
      <c r="B50" s="44" t="s">
        <v>104</v>
      </c>
      <c r="C50" s="45">
        <v>4301020234</v>
      </c>
      <c r="D50" s="95">
        <v>4680115881440</v>
      </c>
      <c r="E50" s="95"/>
      <c r="F50" s="46">
        <v>1.35</v>
      </c>
      <c r="G50" s="47">
        <v>8</v>
      </c>
      <c r="H50" s="46">
        <v>10.8</v>
      </c>
      <c r="I50" s="46">
        <v>11.28</v>
      </c>
      <c r="J50" s="47">
        <v>56</v>
      </c>
      <c r="K50" s="48" t="s">
        <v>105</v>
      </c>
      <c r="L50" s="47">
        <v>50</v>
      </c>
      <c r="M50" s="1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97"/>
      <c r="O50" s="97"/>
      <c r="P50" s="97"/>
      <c r="Q50" s="98"/>
      <c r="R50" s="49" t="s">
        <v>6</v>
      </c>
      <c r="S50" s="49" t="s">
        <v>6</v>
      </c>
      <c r="T50" s="50" t="s">
        <v>68</v>
      </c>
      <c r="U50" s="51">
        <v>0</v>
      </c>
      <c r="V50" s="52">
        <f>IFERROR(IF(U50="",0,CEILING((U50/$H50),1)*$H50),"")</f>
        <v>0</v>
      </c>
      <c r="W50" s="53" t="str">
        <f>IFERROR(IF(V50=0,"",ROUNDUP(V50/H50,0)*0.02175),"")</f>
        <v/>
      </c>
      <c r="X50" s="54" t="s">
        <v>6</v>
      </c>
      <c r="Y50" s="55" t="s">
        <v>6</v>
      </c>
      <c r="AC50" s="56" t="s">
        <v>1</v>
      </c>
    </row>
    <row r="51" spans="1:29" x14ac:dyDescent="0.2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6"/>
      <c r="M51" s="87" t="s">
        <v>69</v>
      </c>
      <c r="N51" s="88"/>
      <c r="O51" s="88"/>
      <c r="P51" s="88"/>
      <c r="Q51" s="88"/>
      <c r="R51" s="88"/>
      <c r="S51" s="89"/>
      <c r="T51" s="57" t="s">
        <v>70</v>
      </c>
      <c r="U51" s="58">
        <f>IFERROR(U50/H50,"0")</f>
        <v>0</v>
      </c>
      <c r="V51" s="58">
        <f>IFERROR(V50/H50,"0")</f>
        <v>0</v>
      </c>
      <c r="W51" s="58">
        <f>IFERROR(IF(W50="",0,W50),"0")</f>
        <v>0</v>
      </c>
      <c r="X51" s="59"/>
      <c r="Y51" s="59"/>
    </row>
    <row r="52" spans="1:29" x14ac:dyDescent="0.2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6"/>
      <c r="M52" s="87" t="s">
        <v>69</v>
      </c>
      <c r="N52" s="88"/>
      <c r="O52" s="88"/>
      <c r="P52" s="88"/>
      <c r="Q52" s="88"/>
      <c r="R52" s="88"/>
      <c r="S52" s="89"/>
      <c r="T52" s="57" t="s">
        <v>68</v>
      </c>
      <c r="U52" s="58">
        <f>IFERROR(SUM(U50:U50),"0")</f>
        <v>0</v>
      </c>
      <c r="V52" s="58">
        <f>IFERROR(SUM(V50:V50),"0")</f>
        <v>0</v>
      </c>
      <c r="W52" s="57"/>
      <c r="X52" s="59"/>
      <c r="Y52" s="59"/>
    </row>
    <row r="53" spans="1:29" ht="16.5" customHeight="1" x14ac:dyDescent="0.25">
      <c r="A53" s="99" t="s">
        <v>106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42"/>
      <c r="Y53" s="42"/>
    </row>
    <row r="54" spans="1:29" ht="14.25" customHeight="1" x14ac:dyDescent="0.25">
      <c r="A54" s="94" t="s">
        <v>107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43"/>
      <c r="Y54" s="43"/>
    </row>
    <row r="55" spans="1:29" ht="27" customHeight="1" x14ac:dyDescent="0.25">
      <c r="A55" s="44" t="s">
        <v>108</v>
      </c>
      <c r="B55" s="44" t="s">
        <v>109</v>
      </c>
      <c r="C55" s="45">
        <v>4301011452</v>
      </c>
      <c r="D55" s="95">
        <v>4680115881426</v>
      </c>
      <c r="E55" s="95"/>
      <c r="F55" s="46">
        <v>1.35</v>
      </c>
      <c r="G55" s="47">
        <v>8</v>
      </c>
      <c r="H55" s="46">
        <v>10.8</v>
      </c>
      <c r="I55" s="46">
        <v>11.28</v>
      </c>
      <c r="J55" s="47">
        <v>56</v>
      </c>
      <c r="K55" s="48" t="s">
        <v>105</v>
      </c>
      <c r="L55" s="47">
        <v>50</v>
      </c>
      <c r="M55" s="1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97"/>
      <c r="O55" s="97"/>
      <c r="P55" s="97"/>
      <c r="Q55" s="98"/>
      <c r="R55" s="49" t="s">
        <v>6</v>
      </c>
      <c r="S55" s="49" t="s">
        <v>6</v>
      </c>
      <c r="T55" s="50" t="s">
        <v>68</v>
      </c>
      <c r="U55" s="69">
        <v>150</v>
      </c>
      <c r="V55" s="52">
        <f>IFERROR(IF(U55="",0,CEILING((U55/$H55),1)*$H55),"")</f>
        <v>151.20000000000002</v>
      </c>
      <c r="W55" s="53">
        <f>IFERROR(IF(V55=0,"",ROUNDUP(V55/H55,0)*0.02175),"")</f>
        <v>0.30449999999999999</v>
      </c>
      <c r="X55" s="54" t="s">
        <v>6</v>
      </c>
      <c r="Y55" s="55" t="s">
        <v>6</v>
      </c>
      <c r="AC55" s="56" t="s">
        <v>1</v>
      </c>
    </row>
    <row r="56" spans="1:29" ht="27" customHeight="1" x14ac:dyDescent="0.25">
      <c r="A56" s="44" t="s">
        <v>110</v>
      </c>
      <c r="B56" s="44" t="s">
        <v>111</v>
      </c>
      <c r="C56" s="45">
        <v>4301011437</v>
      </c>
      <c r="D56" s="95">
        <v>4680115881419</v>
      </c>
      <c r="E56" s="95"/>
      <c r="F56" s="46">
        <v>0.45</v>
      </c>
      <c r="G56" s="47">
        <v>10</v>
      </c>
      <c r="H56" s="46">
        <v>4.5</v>
      </c>
      <c r="I56" s="46">
        <v>4.74</v>
      </c>
      <c r="J56" s="47">
        <v>120</v>
      </c>
      <c r="K56" s="48" t="s">
        <v>105</v>
      </c>
      <c r="L56" s="47">
        <v>50</v>
      </c>
      <c r="M56" s="1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97"/>
      <c r="O56" s="97"/>
      <c r="P56" s="97"/>
      <c r="Q56" s="98"/>
      <c r="R56" s="49" t="s">
        <v>6</v>
      </c>
      <c r="S56" s="49" t="s">
        <v>6</v>
      </c>
      <c r="T56" s="50" t="s">
        <v>68</v>
      </c>
      <c r="U56" s="51">
        <v>225</v>
      </c>
      <c r="V56" s="52">
        <f>IFERROR(IF(U56="",0,CEILING((U56/$H56),1)*$H56),"")</f>
        <v>225</v>
      </c>
      <c r="W56" s="53">
        <f>IFERROR(IF(V56=0,"",ROUNDUP(V56/H56,0)*0.00937),"")</f>
        <v>0.46849999999999997</v>
      </c>
      <c r="X56" s="54" t="s">
        <v>6</v>
      </c>
      <c r="Y56" s="55" t="s">
        <v>6</v>
      </c>
      <c r="AC56" s="56" t="s">
        <v>1</v>
      </c>
    </row>
    <row r="57" spans="1:29" ht="27" customHeight="1" x14ac:dyDescent="0.25">
      <c r="A57" s="44" t="s">
        <v>112</v>
      </c>
      <c r="B57" s="44" t="s">
        <v>113</v>
      </c>
      <c r="C57" s="45">
        <v>4301011458</v>
      </c>
      <c r="D57" s="95">
        <v>4680115881525</v>
      </c>
      <c r="E57" s="95"/>
      <c r="F57" s="46">
        <v>0.4</v>
      </c>
      <c r="G57" s="47">
        <v>10</v>
      </c>
      <c r="H57" s="46">
        <v>4</v>
      </c>
      <c r="I57" s="46">
        <v>4.24</v>
      </c>
      <c r="J57" s="47">
        <v>120</v>
      </c>
      <c r="K57" s="48" t="s">
        <v>105</v>
      </c>
      <c r="L57" s="47">
        <v>50</v>
      </c>
      <c r="M57" s="96" t="s">
        <v>114</v>
      </c>
      <c r="N57" s="97"/>
      <c r="O57" s="97"/>
      <c r="P57" s="97"/>
      <c r="Q57" s="98"/>
      <c r="R57" s="49" t="s">
        <v>6</v>
      </c>
      <c r="S57" s="49" t="s">
        <v>6</v>
      </c>
      <c r="T57" s="50" t="s">
        <v>68</v>
      </c>
      <c r="U57" s="51">
        <v>0</v>
      </c>
      <c r="V57" s="52">
        <f>IFERROR(IF(U57="",0,CEILING((U57/$H57),1)*$H57),"")</f>
        <v>0</v>
      </c>
      <c r="W57" s="53" t="str">
        <f>IFERROR(IF(V57=0,"",ROUNDUP(V57/H57,0)*0.00937),"")</f>
        <v/>
      </c>
      <c r="X57" s="54" t="s">
        <v>6</v>
      </c>
      <c r="Y57" s="55" t="s">
        <v>6</v>
      </c>
      <c r="AC57" s="56" t="s">
        <v>1</v>
      </c>
    </row>
    <row r="58" spans="1:29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6"/>
      <c r="M58" s="87" t="s">
        <v>69</v>
      </c>
      <c r="N58" s="88"/>
      <c r="O58" s="88"/>
      <c r="P58" s="88"/>
      <c r="Q58" s="88"/>
      <c r="R58" s="88"/>
      <c r="S58" s="89"/>
      <c r="T58" s="57" t="s">
        <v>70</v>
      </c>
      <c r="U58" s="58">
        <f>IFERROR(U55/H55,"0")+IFERROR(U56/H56,"0")+IFERROR(U57/H57,"0")</f>
        <v>63.888888888888886</v>
      </c>
      <c r="V58" s="58">
        <f>IFERROR(V55/H55,"0")+IFERROR(V56/H56,"0")+IFERROR(V57/H57,"0")</f>
        <v>64</v>
      </c>
      <c r="W58" s="58">
        <f>IFERROR(IF(W55="",0,W55),"0")+IFERROR(IF(W56="",0,W56),"0")+IFERROR(IF(W57="",0,W57),"0")</f>
        <v>0.77299999999999991</v>
      </c>
      <c r="X58" s="59"/>
      <c r="Y58" s="59"/>
    </row>
    <row r="59" spans="1:29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6"/>
      <c r="M59" s="87" t="s">
        <v>69</v>
      </c>
      <c r="N59" s="88"/>
      <c r="O59" s="88"/>
      <c r="P59" s="88"/>
      <c r="Q59" s="88"/>
      <c r="R59" s="88"/>
      <c r="S59" s="89"/>
      <c r="T59" s="57" t="s">
        <v>68</v>
      </c>
      <c r="U59" s="58">
        <f>IFERROR(SUM(U55:U57),"0")</f>
        <v>375</v>
      </c>
      <c r="V59" s="58">
        <f>IFERROR(SUM(V55:V57),"0")</f>
        <v>376.20000000000005</v>
      </c>
      <c r="W59" s="57"/>
      <c r="X59" s="59"/>
      <c r="Y59" s="59"/>
    </row>
    <row r="60" spans="1:29" ht="16.5" customHeight="1" x14ac:dyDescent="0.25">
      <c r="A60" s="99" t="s">
        <v>100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42"/>
      <c r="Y60" s="42"/>
    </row>
    <row r="61" spans="1:29" ht="14.25" customHeight="1" x14ac:dyDescent="0.25">
      <c r="A61" s="94" t="s">
        <v>107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43"/>
      <c r="Y61" s="43"/>
    </row>
    <row r="62" spans="1:29" ht="27" customHeight="1" x14ac:dyDescent="0.25">
      <c r="A62" s="44" t="s">
        <v>115</v>
      </c>
      <c r="B62" s="44" t="s">
        <v>116</v>
      </c>
      <c r="C62" s="45">
        <v>4301011191</v>
      </c>
      <c r="D62" s="95">
        <v>4607091382945</v>
      </c>
      <c r="E62" s="95"/>
      <c r="F62" s="46">
        <v>1.35</v>
      </c>
      <c r="G62" s="47">
        <v>8</v>
      </c>
      <c r="H62" s="46">
        <v>10.8</v>
      </c>
      <c r="I62" s="46">
        <v>11.28</v>
      </c>
      <c r="J62" s="47">
        <v>56</v>
      </c>
      <c r="K62" s="48" t="s">
        <v>105</v>
      </c>
      <c r="L62" s="47">
        <v>50</v>
      </c>
      <c r="M62" s="10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97"/>
      <c r="O62" s="97"/>
      <c r="P62" s="97"/>
      <c r="Q62" s="98"/>
      <c r="R62" s="49" t="s">
        <v>6</v>
      </c>
      <c r="S62" s="49" t="s">
        <v>6</v>
      </c>
      <c r="T62" s="50" t="s">
        <v>68</v>
      </c>
      <c r="U62" s="51">
        <v>0</v>
      </c>
      <c r="V62" s="52">
        <f t="shared" ref="V62:V76" si="2">IFERROR(IF(U62="",0,CEILING((U62/$H62),1)*$H62),"")</f>
        <v>0</v>
      </c>
      <c r="W62" s="53" t="str">
        <f>IFERROR(IF(V62=0,"",ROUNDUP(V62/H62,0)*0.02175),"")</f>
        <v/>
      </c>
      <c r="X62" s="54" t="s">
        <v>6</v>
      </c>
      <c r="Y62" s="55" t="s">
        <v>6</v>
      </c>
      <c r="AC62" s="56" t="s">
        <v>1</v>
      </c>
    </row>
    <row r="63" spans="1:29" ht="27" customHeight="1" x14ac:dyDescent="0.25">
      <c r="A63" s="44" t="s">
        <v>117</v>
      </c>
      <c r="B63" s="44" t="s">
        <v>118</v>
      </c>
      <c r="C63" s="45">
        <v>4301011380</v>
      </c>
      <c r="D63" s="95">
        <v>4607091385670</v>
      </c>
      <c r="E63" s="95"/>
      <c r="F63" s="46">
        <v>1.35</v>
      </c>
      <c r="G63" s="47">
        <v>8</v>
      </c>
      <c r="H63" s="46">
        <v>10.8</v>
      </c>
      <c r="I63" s="46">
        <v>11.28</v>
      </c>
      <c r="J63" s="47">
        <v>56</v>
      </c>
      <c r="K63" s="48" t="s">
        <v>105</v>
      </c>
      <c r="L63" s="47">
        <v>50</v>
      </c>
      <c r="M63" s="1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97"/>
      <c r="O63" s="97"/>
      <c r="P63" s="97"/>
      <c r="Q63" s="98"/>
      <c r="R63" s="49" t="s">
        <v>6</v>
      </c>
      <c r="S63" s="49" t="s">
        <v>6</v>
      </c>
      <c r="T63" s="50" t="s">
        <v>68</v>
      </c>
      <c r="U63" s="51">
        <v>21.6</v>
      </c>
      <c r="V63" s="52">
        <f t="shared" si="2"/>
        <v>21.6</v>
      </c>
      <c r="W63" s="53">
        <f>IFERROR(IF(V63=0,"",ROUNDUP(V63/H63,0)*0.02175),"")</f>
        <v>4.3499999999999997E-2</v>
      </c>
      <c r="X63" s="54" t="s">
        <v>6</v>
      </c>
      <c r="Y63" s="55" t="s">
        <v>6</v>
      </c>
      <c r="AC63" s="56" t="s">
        <v>1</v>
      </c>
    </row>
    <row r="64" spans="1:29" ht="27" customHeight="1" x14ac:dyDescent="0.25">
      <c r="A64" s="44" t="s">
        <v>119</v>
      </c>
      <c r="B64" s="44" t="s">
        <v>120</v>
      </c>
      <c r="C64" s="45">
        <v>4301011468</v>
      </c>
      <c r="D64" s="95">
        <v>4680115881327</v>
      </c>
      <c r="E64" s="95"/>
      <c r="F64" s="46">
        <v>1.35</v>
      </c>
      <c r="G64" s="47">
        <v>8</v>
      </c>
      <c r="H64" s="46">
        <v>10.8</v>
      </c>
      <c r="I64" s="46">
        <v>11.28</v>
      </c>
      <c r="J64" s="47">
        <v>56</v>
      </c>
      <c r="K64" s="48" t="s">
        <v>121</v>
      </c>
      <c r="L64" s="47">
        <v>50</v>
      </c>
      <c r="M64" s="1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97"/>
      <c r="O64" s="97"/>
      <c r="P64" s="97"/>
      <c r="Q64" s="98"/>
      <c r="R64" s="49" t="s">
        <v>6</v>
      </c>
      <c r="S64" s="49" t="s">
        <v>6</v>
      </c>
      <c r="T64" s="50" t="s">
        <v>68</v>
      </c>
      <c r="U64" s="51">
        <v>54</v>
      </c>
      <c r="V64" s="52">
        <f t="shared" si="2"/>
        <v>54</v>
      </c>
      <c r="W64" s="53">
        <f>IFERROR(IF(V64=0,"",ROUNDUP(V64/H64,0)*0.02175),"")</f>
        <v>0.10874999999999999</v>
      </c>
      <c r="X64" s="54" t="s">
        <v>6</v>
      </c>
      <c r="Y64" s="55" t="s">
        <v>6</v>
      </c>
      <c r="AC64" s="56" t="s">
        <v>1</v>
      </c>
    </row>
    <row r="65" spans="1:29" ht="16.5" customHeight="1" x14ac:dyDescent="0.25">
      <c r="A65" s="44" t="s">
        <v>122</v>
      </c>
      <c r="B65" s="44" t="s">
        <v>123</v>
      </c>
      <c r="C65" s="45">
        <v>4301011348</v>
      </c>
      <c r="D65" s="95">
        <v>4607091388312</v>
      </c>
      <c r="E65" s="95"/>
      <c r="F65" s="46">
        <v>1.35</v>
      </c>
      <c r="G65" s="47">
        <v>8</v>
      </c>
      <c r="H65" s="46">
        <v>10.8</v>
      </c>
      <c r="I65" s="46">
        <v>11.28</v>
      </c>
      <c r="J65" s="47">
        <v>56</v>
      </c>
      <c r="K65" s="48" t="s">
        <v>105</v>
      </c>
      <c r="L65" s="47">
        <v>45</v>
      </c>
      <c r="M65" s="10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97"/>
      <c r="O65" s="97"/>
      <c r="P65" s="97"/>
      <c r="Q65" s="98"/>
      <c r="R65" s="49" t="s">
        <v>6</v>
      </c>
      <c r="S65" s="49" t="s">
        <v>6</v>
      </c>
      <c r="T65" s="50" t="s">
        <v>68</v>
      </c>
      <c r="U65" s="51">
        <v>0</v>
      </c>
      <c r="V65" s="52">
        <f t="shared" si="2"/>
        <v>0</v>
      </c>
      <c r="W65" s="53" t="str">
        <f>IFERROR(IF(V65=0,"",ROUNDUP(V65/H65,0)*0.02175),"")</f>
        <v/>
      </c>
      <c r="X65" s="54" t="s">
        <v>6</v>
      </c>
      <c r="Y65" s="55" t="s">
        <v>6</v>
      </c>
      <c r="AC65" s="56" t="s">
        <v>1</v>
      </c>
    </row>
    <row r="66" spans="1:29" ht="16.5" customHeight="1" x14ac:dyDescent="0.25">
      <c r="A66" s="44" t="s">
        <v>124</v>
      </c>
      <c r="B66" s="44" t="s">
        <v>125</v>
      </c>
      <c r="C66" s="45">
        <v>4301011514</v>
      </c>
      <c r="D66" s="95">
        <v>4680115882133</v>
      </c>
      <c r="E66" s="95"/>
      <c r="F66" s="46">
        <v>1.35</v>
      </c>
      <c r="G66" s="47">
        <v>8</v>
      </c>
      <c r="H66" s="46">
        <v>10.8</v>
      </c>
      <c r="I66" s="46">
        <v>11.28</v>
      </c>
      <c r="J66" s="47">
        <v>56</v>
      </c>
      <c r="K66" s="48" t="s">
        <v>105</v>
      </c>
      <c r="L66" s="47">
        <v>50</v>
      </c>
      <c r="M66" s="96" t="s">
        <v>126</v>
      </c>
      <c r="N66" s="97"/>
      <c r="O66" s="97"/>
      <c r="P66" s="97"/>
      <c r="Q66" s="98"/>
      <c r="R66" s="49" t="s">
        <v>6</v>
      </c>
      <c r="S66" s="49" t="s">
        <v>6</v>
      </c>
      <c r="T66" s="50" t="s">
        <v>68</v>
      </c>
      <c r="U66" s="51">
        <v>0</v>
      </c>
      <c r="V66" s="52">
        <f t="shared" si="2"/>
        <v>0</v>
      </c>
      <c r="W66" s="53" t="str">
        <f>IFERROR(IF(V66=0,"",ROUNDUP(V66/H66,0)*0.02175),"")</f>
        <v/>
      </c>
      <c r="X66" s="54" t="s">
        <v>6</v>
      </c>
      <c r="Y66" s="55" t="s">
        <v>6</v>
      </c>
      <c r="AC66" s="56" t="s">
        <v>1</v>
      </c>
    </row>
    <row r="67" spans="1:29" ht="27" customHeight="1" x14ac:dyDescent="0.25">
      <c r="A67" s="44" t="s">
        <v>127</v>
      </c>
      <c r="B67" s="44" t="s">
        <v>128</v>
      </c>
      <c r="C67" s="45">
        <v>4301011192</v>
      </c>
      <c r="D67" s="95">
        <v>4607091382952</v>
      </c>
      <c r="E67" s="95"/>
      <c r="F67" s="46">
        <v>0.5</v>
      </c>
      <c r="G67" s="47">
        <v>6</v>
      </c>
      <c r="H67" s="46">
        <v>3</v>
      </c>
      <c r="I67" s="46">
        <v>3.2</v>
      </c>
      <c r="J67" s="47">
        <v>156</v>
      </c>
      <c r="K67" s="48" t="s">
        <v>105</v>
      </c>
      <c r="L67" s="47">
        <v>50</v>
      </c>
      <c r="M67" s="1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97"/>
      <c r="O67" s="97"/>
      <c r="P67" s="97"/>
      <c r="Q67" s="98"/>
      <c r="R67" s="49" t="s">
        <v>6</v>
      </c>
      <c r="S67" s="49" t="s">
        <v>6</v>
      </c>
      <c r="T67" s="50" t="s">
        <v>68</v>
      </c>
      <c r="U67" s="51">
        <v>30</v>
      </c>
      <c r="V67" s="52">
        <f t="shared" si="2"/>
        <v>30</v>
      </c>
      <c r="W67" s="53">
        <f>IFERROR(IF(V67=0,"",ROUNDUP(V67/H67,0)*0.00753),"")</f>
        <v>7.5300000000000006E-2</v>
      </c>
      <c r="X67" s="54" t="s">
        <v>6</v>
      </c>
      <c r="Y67" s="55" t="s">
        <v>6</v>
      </c>
      <c r="AC67" s="56" t="s">
        <v>1</v>
      </c>
    </row>
    <row r="68" spans="1:29" ht="27" customHeight="1" x14ac:dyDescent="0.25">
      <c r="A68" s="44" t="s">
        <v>129</v>
      </c>
      <c r="B68" s="44" t="s">
        <v>130</v>
      </c>
      <c r="C68" s="45">
        <v>4301011382</v>
      </c>
      <c r="D68" s="95">
        <v>4607091385687</v>
      </c>
      <c r="E68" s="95"/>
      <c r="F68" s="46">
        <v>0.4</v>
      </c>
      <c r="G68" s="47">
        <v>10</v>
      </c>
      <c r="H68" s="46">
        <v>4</v>
      </c>
      <c r="I68" s="46">
        <v>4.24</v>
      </c>
      <c r="J68" s="47">
        <v>120</v>
      </c>
      <c r="K68" s="48" t="s">
        <v>131</v>
      </c>
      <c r="L68" s="47">
        <v>50</v>
      </c>
      <c r="M68" s="1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97"/>
      <c r="O68" s="97"/>
      <c r="P68" s="97"/>
      <c r="Q68" s="98"/>
      <c r="R68" s="49" t="s">
        <v>6</v>
      </c>
      <c r="S68" s="49" t="s">
        <v>6</v>
      </c>
      <c r="T68" s="50" t="s">
        <v>68</v>
      </c>
      <c r="U68" s="51">
        <v>92</v>
      </c>
      <c r="V68" s="52">
        <f t="shared" si="2"/>
        <v>92</v>
      </c>
      <c r="W68" s="53">
        <f>IFERROR(IF(V68=0,"",ROUNDUP(V68/H68,0)*0.00937),"")</f>
        <v>0.21551000000000001</v>
      </c>
      <c r="X68" s="54" t="s">
        <v>6</v>
      </c>
      <c r="Y68" s="55" t="s">
        <v>6</v>
      </c>
      <c r="AC68" s="56" t="s">
        <v>1</v>
      </c>
    </row>
    <row r="69" spans="1:29" ht="27" customHeight="1" x14ac:dyDescent="0.25">
      <c r="A69" s="44" t="s">
        <v>132</v>
      </c>
      <c r="B69" s="44" t="s">
        <v>133</v>
      </c>
      <c r="C69" s="45">
        <v>4301011565</v>
      </c>
      <c r="D69" s="95">
        <v>4680115882539</v>
      </c>
      <c r="E69" s="95"/>
      <c r="F69" s="46">
        <v>0.37</v>
      </c>
      <c r="G69" s="47">
        <v>10</v>
      </c>
      <c r="H69" s="46">
        <v>3.7</v>
      </c>
      <c r="I69" s="46">
        <v>3.94</v>
      </c>
      <c r="J69" s="47">
        <v>120</v>
      </c>
      <c r="K69" s="48" t="s">
        <v>131</v>
      </c>
      <c r="L69" s="47">
        <v>50</v>
      </c>
      <c r="M69" s="96" t="s">
        <v>134</v>
      </c>
      <c r="N69" s="97"/>
      <c r="O69" s="97"/>
      <c r="P69" s="97"/>
      <c r="Q69" s="98"/>
      <c r="R69" s="49" t="s">
        <v>6</v>
      </c>
      <c r="S69" s="49" t="s">
        <v>6</v>
      </c>
      <c r="T69" s="50" t="s">
        <v>68</v>
      </c>
      <c r="U69" s="51">
        <v>0</v>
      </c>
      <c r="V69" s="52">
        <f t="shared" si="2"/>
        <v>0</v>
      </c>
      <c r="W69" s="53" t="str">
        <f>IFERROR(IF(V69=0,"",ROUNDUP(V69/H69,0)*0.00937),"")</f>
        <v/>
      </c>
      <c r="X69" s="54" t="s">
        <v>6</v>
      </c>
      <c r="Y69" s="55" t="s">
        <v>6</v>
      </c>
      <c r="AC69" s="56" t="s">
        <v>1</v>
      </c>
    </row>
    <row r="70" spans="1:29" ht="27" customHeight="1" x14ac:dyDescent="0.25">
      <c r="A70" s="44" t="s">
        <v>135</v>
      </c>
      <c r="B70" s="44" t="s">
        <v>136</v>
      </c>
      <c r="C70" s="45">
        <v>4301011344</v>
      </c>
      <c r="D70" s="95">
        <v>4607091384604</v>
      </c>
      <c r="E70" s="95"/>
      <c r="F70" s="46">
        <v>0.4</v>
      </c>
      <c r="G70" s="47">
        <v>10</v>
      </c>
      <c r="H70" s="46">
        <v>4</v>
      </c>
      <c r="I70" s="46">
        <v>4.24</v>
      </c>
      <c r="J70" s="47">
        <v>120</v>
      </c>
      <c r="K70" s="48" t="s">
        <v>105</v>
      </c>
      <c r="L70" s="47">
        <v>50</v>
      </c>
      <c r="M70" s="1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97"/>
      <c r="O70" s="97"/>
      <c r="P70" s="97"/>
      <c r="Q70" s="98"/>
      <c r="R70" s="49" t="s">
        <v>6</v>
      </c>
      <c r="S70" s="49" t="s">
        <v>6</v>
      </c>
      <c r="T70" s="50" t="s">
        <v>68</v>
      </c>
      <c r="U70" s="51">
        <v>0</v>
      </c>
      <c r="V70" s="52">
        <f t="shared" si="2"/>
        <v>0</v>
      </c>
      <c r="W70" s="53" t="str">
        <f>IFERROR(IF(V70=0,"",ROUNDUP(V70/H70,0)*0.00937),"")</f>
        <v/>
      </c>
      <c r="X70" s="54" t="s">
        <v>6</v>
      </c>
      <c r="Y70" s="55" t="s">
        <v>6</v>
      </c>
      <c r="AC70" s="56" t="s">
        <v>1</v>
      </c>
    </row>
    <row r="71" spans="1:29" ht="27" customHeight="1" x14ac:dyDescent="0.25">
      <c r="A71" s="44" t="s">
        <v>137</v>
      </c>
      <c r="B71" s="44" t="s">
        <v>138</v>
      </c>
      <c r="C71" s="45">
        <v>4301011386</v>
      </c>
      <c r="D71" s="95">
        <v>4680115880283</v>
      </c>
      <c r="E71" s="95"/>
      <c r="F71" s="46">
        <v>0.6</v>
      </c>
      <c r="G71" s="47">
        <v>8</v>
      </c>
      <c r="H71" s="46">
        <v>4.8</v>
      </c>
      <c r="I71" s="46">
        <v>5.04</v>
      </c>
      <c r="J71" s="47">
        <v>120</v>
      </c>
      <c r="K71" s="48" t="s">
        <v>105</v>
      </c>
      <c r="L71" s="47">
        <v>45</v>
      </c>
      <c r="M71" s="1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97"/>
      <c r="O71" s="97"/>
      <c r="P71" s="97"/>
      <c r="Q71" s="98"/>
      <c r="R71" s="49" t="s">
        <v>6</v>
      </c>
      <c r="S71" s="49" t="s">
        <v>6</v>
      </c>
      <c r="T71" s="50" t="s">
        <v>68</v>
      </c>
      <c r="U71" s="51">
        <v>0</v>
      </c>
      <c r="V71" s="52">
        <f t="shared" si="2"/>
        <v>0</v>
      </c>
      <c r="W71" s="53" t="str">
        <f>IFERROR(IF(V71=0,"",ROUNDUP(V71/H71,0)*0.00937),"")</f>
        <v/>
      </c>
      <c r="X71" s="54" t="s">
        <v>6</v>
      </c>
      <c r="Y71" s="55" t="s">
        <v>6</v>
      </c>
      <c r="AC71" s="56" t="s">
        <v>1</v>
      </c>
    </row>
    <row r="72" spans="1:29" ht="27" customHeight="1" x14ac:dyDescent="0.25">
      <c r="A72" s="44" t="s">
        <v>139</v>
      </c>
      <c r="B72" s="44" t="s">
        <v>140</v>
      </c>
      <c r="C72" s="45">
        <v>4301011414</v>
      </c>
      <c r="D72" s="95">
        <v>4607091381986</v>
      </c>
      <c r="E72" s="95"/>
      <c r="F72" s="46">
        <v>0.5</v>
      </c>
      <c r="G72" s="47">
        <v>10</v>
      </c>
      <c r="H72" s="46">
        <v>5</v>
      </c>
      <c r="I72" s="46">
        <v>5.24</v>
      </c>
      <c r="J72" s="47">
        <v>120</v>
      </c>
      <c r="K72" s="48" t="s">
        <v>105</v>
      </c>
      <c r="L72" s="47">
        <v>45</v>
      </c>
      <c r="M72" s="10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2" s="97"/>
      <c r="O72" s="97"/>
      <c r="P72" s="97"/>
      <c r="Q72" s="98"/>
      <c r="R72" s="49" t="s">
        <v>6</v>
      </c>
      <c r="S72" s="49" t="s">
        <v>6</v>
      </c>
      <c r="T72" s="50" t="s">
        <v>68</v>
      </c>
      <c r="U72" s="51">
        <v>100</v>
      </c>
      <c r="V72" s="52">
        <f t="shared" si="2"/>
        <v>100</v>
      </c>
      <c r="W72" s="53">
        <f>IFERROR(IF(V72=0,"",ROUNDUP(V72/H72,0)*0.00937),"")</f>
        <v>0.18740000000000001</v>
      </c>
      <c r="X72" s="54" t="s">
        <v>6</v>
      </c>
      <c r="Y72" s="55" t="s">
        <v>6</v>
      </c>
      <c r="AC72" s="56" t="s">
        <v>1</v>
      </c>
    </row>
    <row r="73" spans="1:29" ht="27" customHeight="1" x14ac:dyDescent="0.25">
      <c r="A73" s="44" t="s">
        <v>141</v>
      </c>
      <c r="B73" s="44" t="s">
        <v>142</v>
      </c>
      <c r="C73" s="45">
        <v>4301011352</v>
      </c>
      <c r="D73" s="95">
        <v>4607091388466</v>
      </c>
      <c r="E73" s="95"/>
      <c r="F73" s="46">
        <v>0.45</v>
      </c>
      <c r="G73" s="47">
        <v>6</v>
      </c>
      <c r="H73" s="46">
        <v>2.7</v>
      </c>
      <c r="I73" s="46">
        <v>2.9</v>
      </c>
      <c r="J73" s="47">
        <v>156</v>
      </c>
      <c r="K73" s="48" t="s">
        <v>131</v>
      </c>
      <c r="L73" s="47">
        <v>45</v>
      </c>
      <c r="M73" s="1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3" s="97"/>
      <c r="O73" s="97"/>
      <c r="P73" s="97"/>
      <c r="Q73" s="98"/>
      <c r="R73" s="49" t="s">
        <v>6</v>
      </c>
      <c r="S73" s="49" t="s">
        <v>6</v>
      </c>
      <c r="T73" s="50" t="s">
        <v>68</v>
      </c>
      <c r="U73" s="51">
        <v>0</v>
      </c>
      <c r="V73" s="52">
        <f t="shared" si="2"/>
        <v>0</v>
      </c>
      <c r="W73" s="53" t="str">
        <f>IFERROR(IF(V73=0,"",ROUNDUP(V73/H73,0)*0.00753),"")</f>
        <v/>
      </c>
      <c r="X73" s="54" t="s">
        <v>6</v>
      </c>
      <c r="Y73" s="55" t="s">
        <v>6</v>
      </c>
      <c r="AC73" s="56" t="s">
        <v>1</v>
      </c>
    </row>
    <row r="74" spans="1:29" ht="27" customHeight="1" x14ac:dyDescent="0.25">
      <c r="A74" s="44" t="s">
        <v>143</v>
      </c>
      <c r="B74" s="44" t="s">
        <v>144</v>
      </c>
      <c r="C74" s="45">
        <v>4301011417</v>
      </c>
      <c r="D74" s="95">
        <v>4680115880269</v>
      </c>
      <c r="E74" s="95"/>
      <c r="F74" s="46">
        <v>0.375</v>
      </c>
      <c r="G74" s="47">
        <v>10</v>
      </c>
      <c r="H74" s="46">
        <v>3.75</v>
      </c>
      <c r="I74" s="46">
        <v>3.99</v>
      </c>
      <c r="J74" s="47">
        <v>120</v>
      </c>
      <c r="K74" s="48" t="s">
        <v>131</v>
      </c>
      <c r="L74" s="47">
        <v>50</v>
      </c>
      <c r="M74" s="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4" s="97"/>
      <c r="O74" s="97"/>
      <c r="P74" s="97"/>
      <c r="Q74" s="98"/>
      <c r="R74" s="49" t="s">
        <v>6</v>
      </c>
      <c r="S74" s="49" t="s">
        <v>6</v>
      </c>
      <c r="T74" s="50" t="s">
        <v>68</v>
      </c>
      <c r="U74" s="51">
        <v>0</v>
      </c>
      <c r="V74" s="52">
        <f t="shared" si="2"/>
        <v>0</v>
      </c>
      <c r="W74" s="53" t="str">
        <f>IFERROR(IF(V74=0,"",ROUNDUP(V74/H74,0)*0.00937),"")</f>
        <v/>
      </c>
      <c r="X74" s="54" t="s">
        <v>6</v>
      </c>
      <c r="Y74" s="55" t="s">
        <v>6</v>
      </c>
      <c r="AC74" s="56" t="s">
        <v>1</v>
      </c>
    </row>
    <row r="75" spans="1:29" ht="16.5" customHeight="1" x14ac:dyDescent="0.25">
      <c r="A75" s="44" t="s">
        <v>145</v>
      </c>
      <c r="B75" s="44" t="s">
        <v>146</v>
      </c>
      <c r="C75" s="45">
        <v>4301011415</v>
      </c>
      <c r="D75" s="95">
        <v>4680115880429</v>
      </c>
      <c r="E75" s="95"/>
      <c r="F75" s="46">
        <v>0.45</v>
      </c>
      <c r="G75" s="47">
        <v>10</v>
      </c>
      <c r="H75" s="46">
        <v>4.5</v>
      </c>
      <c r="I75" s="46">
        <v>4.74</v>
      </c>
      <c r="J75" s="47">
        <v>120</v>
      </c>
      <c r="K75" s="48" t="s">
        <v>131</v>
      </c>
      <c r="L75" s="47">
        <v>50</v>
      </c>
      <c r="M75" s="1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5" s="97"/>
      <c r="O75" s="97"/>
      <c r="P75" s="97"/>
      <c r="Q75" s="98"/>
      <c r="R75" s="49" t="s">
        <v>6</v>
      </c>
      <c r="S75" s="49" t="s">
        <v>6</v>
      </c>
      <c r="T75" s="50" t="s">
        <v>68</v>
      </c>
      <c r="U75" s="51">
        <v>117</v>
      </c>
      <c r="V75" s="52">
        <f t="shared" si="2"/>
        <v>117</v>
      </c>
      <c r="W75" s="53">
        <f>IFERROR(IF(V75=0,"",ROUNDUP(V75/H75,0)*0.00937),"")</f>
        <v>0.24362</v>
      </c>
      <c r="X75" s="54" t="s">
        <v>6</v>
      </c>
      <c r="Y75" s="55" t="s">
        <v>6</v>
      </c>
      <c r="AC75" s="56" t="s">
        <v>1</v>
      </c>
    </row>
    <row r="76" spans="1:29" ht="16.5" customHeight="1" x14ac:dyDescent="0.25">
      <c r="A76" s="44" t="s">
        <v>147</v>
      </c>
      <c r="B76" s="44" t="s">
        <v>148</v>
      </c>
      <c r="C76" s="45">
        <v>4301011462</v>
      </c>
      <c r="D76" s="95">
        <v>4680115881457</v>
      </c>
      <c r="E76" s="95"/>
      <c r="F76" s="46">
        <v>0.75</v>
      </c>
      <c r="G76" s="47">
        <v>6</v>
      </c>
      <c r="H76" s="46">
        <v>4.5</v>
      </c>
      <c r="I76" s="46">
        <v>4.74</v>
      </c>
      <c r="J76" s="47">
        <v>120</v>
      </c>
      <c r="K76" s="48" t="s">
        <v>131</v>
      </c>
      <c r="L76" s="47">
        <v>50</v>
      </c>
      <c r="M76" s="1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6" s="97"/>
      <c r="O76" s="97"/>
      <c r="P76" s="97"/>
      <c r="Q76" s="98"/>
      <c r="R76" s="49" t="s">
        <v>6</v>
      </c>
      <c r="S76" s="49" t="s">
        <v>6</v>
      </c>
      <c r="T76" s="50" t="s">
        <v>68</v>
      </c>
      <c r="U76" s="51">
        <v>0</v>
      </c>
      <c r="V76" s="52">
        <f t="shared" si="2"/>
        <v>0</v>
      </c>
      <c r="W76" s="53" t="str">
        <f>IFERROR(IF(V76=0,"",ROUNDUP(V76/H76,0)*0.00937),"")</f>
        <v/>
      </c>
      <c r="X76" s="54" t="s">
        <v>6</v>
      </c>
      <c r="Y76" s="55" t="s">
        <v>6</v>
      </c>
      <c r="AC76" s="56" t="s">
        <v>1</v>
      </c>
    </row>
    <row r="77" spans="1:29" x14ac:dyDescent="0.25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6"/>
      <c r="M77" s="87" t="s">
        <v>69</v>
      </c>
      <c r="N77" s="88"/>
      <c r="O77" s="88"/>
      <c r="P77" s="88"/>
      <c r="Q77" s="88"/>
      <c r="R77" s="88"/>
      <c r="S77" s="89"/>
      <c r="T77" s="57" t="s">
        <v>70</v>
      </c>
      <c r="U77" s="58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</f>
        <v>86</v>
      </c>
      <c r="V77" s="5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86</v>
      </c>
      <c r="W77" s="58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</f>
        <v>0.87407999999999997</v>
      </c>
      <c r="X77" s="59"/>
      <c r="Y77" s="59"/>
    </row>
    <row r="78" spans="1:29" x14ac:dyDescent="0.25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6"/>
      <c r="M78" s="87" t="s">
        <v>69</v>
      </c>
      <c r="N78" s="88"/>
      <c r="O78" s="88"/>
      <c r="P78" s="88"/>
      <c r="Q78" s="88"/>
      <c r="R78" s="88"/>
      <c r="S78" s="89"/>
      <c r="T78" s="57" t="s">
        <v>68</v>
      </c>
      <c r="U78" s="58">
        <f>IFERROR(SUM(U62:U76),"0")</f>
        <v>414.6</v>
      </c>
      <c r="V78" s="58">
        <f>IFERROR(SUM(V62:V76),"0")</f>
        <v>414.6</v>
      </c>
      <c r="W78" s="57"/>
      <c r="X78" s="59"/>
      <c r="Y78" s="59"/>
    </row>
    <row r="79" spans="1:29" ht="14.25" customHeight="1" x14ac:dyDescent="0.25">
      <c r="A79" s="94" t="s">
        <v>102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43"/>
      <c r="Y79" s="43"/>
    </row>
    <row r="80" spans="1:29" ht="16.5" customHeight="1" x14ac:dyDescent="0.25">
      <c r="A80" s="44" t="s">
        <v>149</v>
      </c>
      <c r="B80" s="44" t="s">
        <v>150</v>
      </c>
      <c r="C80" s="45">
        <v>4301020204</v>
      </c>
      <c r="D80" s="95">
        <v>4607091388442</v>
      </c>
      <c r="E80" s="95"/>
      <c r="F80" s="46">
        <v>1.35</v>
      </c>
      <c r="G80" s="47">
        <v>8</v>
      </c>
      <c r="H80" s="46">
        <v>10.8</v>
      </c>
      <c r="I80" s="46">
        <v>11.28</v>
      </c>
      <c r="J80" s="47">
        <v>56</v>
      </c>
      <c r="K80" s="48" t="s">
        <v>105</v>
      </c>
      <c r="L80" s="47">
        <v>45</v>
      </c>
      <c r="M80" s="1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0" s="97"/>
      <c r="O80" s="97"/>
      <c r="P80" s="97"/>
      <c r="Q80" s="98"/>
      <c r="R80" s="49" t="s">
        <v>6</v>
      </c>
      <c r="S80" s="49" t="s">
        <v>6</v>
      </c>
      <c r="T80" s="50" t="s">
        <v>68</v>
      </c>
      <c r="U80" s="51">
        <v>0</v>
      </c>
      <c r="V80" s="52">
        <f t="shared" ref="V80:V85" si="3">IFERROR(IF(U80="",0,CEILING((U80/$H80),1)*$H80),"")</f>
        <v>0</v>
      </c>
      <c r="W80" s="53" t="str">
        <f>IFERROR(IF(V80=0,"",ROUNDUP(V80/H80,0)*0.02175),"")</f>
        <v/>
      </c>
      <c r="X80" s="54" t="s">
        <v>6</v>
      </c>
      <c r="Y80" s="55" t="s">
        <v>6</v>
      </c>
      <c r="AC80" s="56" t="s">
        <v>1</v>
      </c>
    </row>
    <row r="81" spans="1:29" ht="27" customHeight="1" x14ac:dyDescent="0.25">
      <c r="A81" s="44" t="s">
        <v>151</v>
      </c>
      <c r="B81" s="44" t="s">
        <v>152</v>
      </c>
      <c r="C81" s="45">
        <v>4301020189</v>
      </c>
      <c r="D81" s="95">
        <v>4607091384789</v>
      </c>
      <c r="E81" s="95"/>
      <c r="F81" s="46">
        <v>1</v>
      </c>
      <c r="G81" s="47">
        <v>6</v>
      </c>
      <c r="H81" s="46">
        <v>6</v>
      </c>
      <c r="I81" s="46">
        <v>6.36</v>
      </c>
      <c r="J81" s="47">
        <v>104</v>
      </c>
      <c r="K81" s="48" t="s">
        <v>105</v>
      </c>
      <c r="L81" s="47">
        <v>45</v>
      </c>
      <c r="M81" s="96" t="s">
        <v>153</v>
      </c>
      <c r="N81" s="97"/>
      <c r="O81" s="97"/>
      <c r="P81" s="97"/>
      <c r="Q81" s="98"/>
      <c r="R81" s="49" t="s">
        <v>6</v>
      </c>
      <c r="S81" s="49" t="s">
        <v>6</v>
      </c>
      <c r="T81" s="50" t="s">
        <v>68</v>
      </c>
      <c r="U81" s="51">
        <v>0</v>
      </c>
      <c r="V81" s="52">
        <f t="shared" si="3"/>
        <v>0</v>
      </c>
      <c r="W81" s="53" t="str">
        <f>IFERROR(IF(V81=0,"",ROUNDUP(V81/H81,0)*0.01196),"")</f>
        <v/>
      </c>
      <c r="X81" s="54" t="s">
        <v>6</v>
      </c>
      <c r="Y81" s="55" t="s">
        <v>6</v>
      </c>
      <c r="AC81" s="56" t="s">
        <v>1</v>
      </c>
    </row>
    <row r="82" spans="1:29" ht="16.5" customHeight="1" x14ac:dyDescent="0.25">
      <c r="A82" s="44" t="s">
        <v>154</v>
      </c>
      <c r="B82" s="44" t="s">
        <v>155</v>
      </c>
      <c r="C82" s="45">
        <v>4301020235</v>
      </c>
      <c r="D82" s="95">
        <v>4680115881488</v>
      </c>
      <c r="E82" s="95"/>
      <c r="F82" s="46">
        <v>1.35</v>
      </c>
      <c r="G82" s="47">
        <v>8</v>
      </c>
      <c r="H82" s="46">
        <v>10.8</v>
      </c>
      <c r="I82" s="46">
        <v>11.28</v>
      </c>
      <c r="J82" s="47">
        <v>48</v>
      </c>
      <c r="K82" s="48" t="s">
        <v>105</v>
      </c>
      <c r="L82" s="47">
        <v>50</v>
      </c>
      <c r="M82" s="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97"/>
      <c r="O82" s="97"/>
      <c r="P82" s="97"/>
      <c r="Q82" s="98"/>
      <c r="R82" s="49" t="s">
        <v>6</v>
      </c>
      <c r="S82" s="49" t="s">
        <v>6</v>
      </c>
      <c r="T82" s="50" t="s">
        <v>68</v>
      </c>
      <c r="U82" s="51">
        <v>0</v>
      </c>
      <c r="V82" s="52">
        <f t="shared" si="3"/>
        <v>0</v>
      </c>
      <c r="W82" s="53" t="str">
        <f>IFERROR(IF(V82=0,"",ROUNDUP(V82/H82,0)*0.02175),"")</f>
        <v/>
      </c>
      <c r="X82" s="54" t="s">
        <v>6</v>
      </c>
      <c r="Y82" s="55" t="s">
        <v>6</v>
      </c>
      <c r="AC82" s="56" t="s">
        <v>1</v>
      </c>
    </row>
    <row r="83" spans="1:29" ht="27" customHeight="1" x14ac:dyDescent="0.25">
      <c r="A83" s="44" t="s">
        <v>156</v>
      </c>
      <c r="B83" s="44" t="s">
        <v>157</v>
      </c>
      <c r="C83" s="45">
        <v>4301020183</v>
      </c>
      <c r="D83" s="95">
        <v>4607091384765</v>
      </c>
      <c r="E83" s="95"/>
      <c r="F83" s="46">
        <v>0.42</v>
      </c>
      <c r="G83" s="47">
        <v>6</v>
      </c>
      <c r="H83" s="46">
        <v>2.52</v>
      </c>
      <c r="I83" s="46">
        <v>2.72</v>
      </c>
      <c r="J83" s="47">
        <v>156</v>
      </c>
      <c r="K83" s="48" t="s">
        <v>105</v>
      </c>
      <c r="L83" s="47">
        <v>45</v>
      </c>
      <c r="M83" s="96" t="s">
        <v>158</v>
      </c>
      <c r="N83" s="97"/>
      <c r="O83" s="97"/>
      <c r="P83" s="97"/>
      <c r="Q83" s="98"/>
      <c r="R83" s="49" t="s">
        <v>6</v>
      </c>
      <c r="S83" s="49" t="s">
        <v>6</v>
      </c>
      <c r="T83" s="50" t="s">
        <v>68</v>
      </c>
      <c r="U83" s="51">
        <v>0</v>
      </c>
      <c r="V83" s="52">
        <f t="shared" si="3"/>
        <v>0</v>
      </c>
      <c r="W83" s="53" t="str">
        <f>IFERROR(IF(V83=0,"",ROUNDUP(V83/H83,0)*0.00753),"")</f>
        <v/>
      </c>
      <c r="X83" s="54" t="s">
        <v>6</v>
      </c>
      <c r="Y83" s="55" t="s">
        <v>6</v>
      </c>
      <c r="AC83" s="56" t="s">
        <v>1</v>
      </c>
    </row>
    <row r="84" spans="1:29" ht="27" customHeight="1" x14ac:dyDescent="0.25">
      <c r="A84" s="44" t="s">
        <v>159</v>
      </c>
      <c r="B84" s="44" t="s">
        <v>160</v>
      </c>
      <c r="C84" s="45">
        <v>4301020217</v>
      </c>
      <c r="D84" s="95">
        <v>4680115880658</v>
      </c>
      <c r="E84" s="95"/>
      <c r="F84" s="46">
        <v>0.4</v>
      </c>
      <c r="G84" s="47">
        <v>6</v>
      </c>
      <c r="H84" s="46">
        <v>2.4</v>
      </c>
      <c r="I84" s="46">
        <v>2.6</v>
      </c>
      <c r="J84" s="47">
        <v>156</v>
      </c>
      <c r="K84" s="48" t="s">
        <v>105</v>
      </c>
      <c r="L84" s="47">
        <v>50</v>
      </c>
      <c r="M84" s="1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4" s="97"/>
      <c r="O84" s="97"/>
      <c r="P84" s="97"/>
      <c r="Q84" s="98"/>
      <c r="R84" s="49" t="s">
        <v>6</v>
      </c>
      <c r="S84" s="49" t="s">
        <v>6</v>
      </c>
      <c r="T84" s="50" t="s">
        <v>68</v>
      </c>
      <c r="U84" s="51">
        <v>0</v>
      </c>
      <c r="V84" s="52">
        <f t="shared" si="3"/>
        <v>0</v>
      </c>
      <c r="W84" s="53" t="str">
        <f>IFERROR(IF(V84=0,"",ROUNDUP(V84/H84,0)*0.00753),"")</f>
        <v/>
      </c>
      <c r="X84" s="54" t="s">
        <v>6</v>
      </c>
      <c r="Y84" s="55" t="s">
        <v>6</v>
      </c>
      <c r="AC84" s="56" t="s">
        <v>1</v>
      </c>
    </row>
    <row r="85" spans="1:29" ht="27" customHeight="1" x14ac:dyDescent="0.25">
      <c r="A85" s="44" t="s">
        <v>161</v>
      </c>
      <c r="B85" s="44" t="s">
        <v>162</v>
      </c>
      <c r="C85" s="45">
        <v>4301020223</v>
      </c>
      <c r="D85" s="95">
        <v>4607091381962</v>
      </c>
      <c r="E85" s="95"/>
      <c r="F85" s="46">
        <v>0.5</v>
      </c>
      <c r="G85" s="47">
        <v>6</v>
      </c>
      <c r="H85" s="46">
        <v>3</v>
      </c>
      <c r="I85" s="46">
        <v>3.2</v>
      </c>
      <c r="J85" s="47">
        <v>156</v>
      </c>
      <c r="K85" s="48" t="s">
        <v>105</v>
      </c>
      <c r="L85" s="47">
        <v>50</v>
      </c>
      <c r="M85" s="10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5" s="97"/>
      <c r="O85" s="97"/>
      <c r="P85" s="97"/>
      <c r="Q85" s="98"/>
      <c r="R85" s="49" t="s">
        <v>6</v>
      </c>
      <c r="S85" s="49" t="s">
        <v>6</v>
      </c>
      <c r="T85" s="50" t="s">
        <v>68</v>
      </c>
      <c r="U85" s="51">
        <v>15</v>
      </c>
      <c r="V85" s="52">
        <f t="shared" si="3"/>
        <v>15</v>
      </c>
      <c r="W85" s="53">
        <f>IFERROR(IF(V85=0,"",ROUNDUP(V85/H85,0)*0.00753),"")</f>
        <v>3.7650000000000003E-2</v>
      </c>
      <c r="X85" s="54" t="s">
        <v>6</v>
      </c>
      <c r="Y85" s="55" t="s">
        <v>6</v>
      </c>
      <c r="AC85" s="56" t="s">
        <v>1</v>
      </c>
    </row>
    <row r="86" spans="1:29" x14ac:dyDescent="0.2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6"/>
      <c r="M86" s="87" t="s">
        <v>69</v>
      </c>
      <c r="N86" s="88"/>
      <c r="O86" s="88"/>
      <c r="P86" s="88"/>
      <c r="Q86" s="88"/>
      <c r="R86" s="88"/>
      <c r="S86" s="89"/>
      <c r="T86" s="57" t="s">
        <v>70</v>
      </c>
      <c r="U86" s="58">
        <f>IFERROR(U80/H80,"0")+IFERROR(U81/H81,"0")+IFERROR(U82/H82,"0")+IFERROR(U83/H83,"0")+IFERROR(U84/H84,"0")+IFERROR(U85/H85,"0")</f>
        <v>5</v>
      </c>
      <c r="V86" s="58">
        <f>IFERROR(V80/H80,"0")+IFERROR(V81/H81,"0")+IFERROR(V82/H82,"0")+IFERROR(V83/H83,"0")+IFERROR(V84/H84,"0")+IFERROR(V85/H85,"0")</f>
        <v>5</v>
      </c>
      <c r="W86" s="58">
        <f>IFERROR(IF(W80="",0,W80),"0")+IFERROR(IF(W81="",0,W81),"0")+IFERROR(IF(W82="",0,W82),"0")+IFERROR(IF(W83="",0,W83),"0")+IFERROR(IF(W84="",0,W84),"0")+IFERROR(IF(W85="",0,W85),"0")</f>
        <v>3.7650000000000003E-2</v>
      </c>
      <c r="X86" s="59"/>
      <c r="Y86" s="59"/>
    </row>
    <row r="87" spans="1:29" x14ac:dyDescent="0.2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6"/>
      <c r="M87" s="87" t="s">
        <v>69</v>
      </c>
      <c r="N87" s="88"/>
      <c r="O87" s="88"/>
      <c r="P87" s="88"/>
      <c r="Q87" s="88"/>
      <c r="R87" s="88"/>
      <c r="S87" s="89"/>
      <c r="T87" s="57" t="s">
        <v>68</v>
      </c>
      <c r="U87" s="58">
        <f>IFERROR(SUM(U80:U85),"0")</f>
        <v>15</v>
      </c>
      <c r="V87" s="58">
        <f>IFERROR(SUM(V80:V85),"0")</f>
        <v>15</v>
      </c>
      <c r="W87" s="57"/>
      <c r="X87" s="59"/>
      <c r="Y87" s="59"/>
    </row>
    <row r="88" spans="1:29" ht="14.25" customHeight="1" x14ac:dyDescent="0.25">
      <c r="A88" s="94" t="s">
        <v>63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43"/>
      <c r="Y88" s="43"/>
    </row>
    <row r="89" spans="1:29" ht="16.5" customHeight="1" x14ac:dyDescent="0.25">
      <c r="A89" s="44" t="s">
        <v>163</v>
      </c>
      <c r="B89" s="44" t="s">
        <v>164</v>
      </c>
      <c r="C89" s="45">
        <v>4301030895</v>
      </c>
      <c r="D89" s="95">
        <v>4607091387667</v>
      </c>
      <c r="E89" s="95"/>
      <c r="F89" s="46">
        <v>0.9</v>
      </c>
      <c r="G89" s="47">
        <v>10</v>
      </c>
      <c r="H89" s="46">
        <v>9</v>
      </c>
      <c r="I89" s="46">
        <v>9.6300000000000008</v>
      </c>
      <c r="J89" s="47">
        <v>56</v>
      </c>
      <c r="K89" s="48" t="s">
        <v>105</v>
      </c>
      <c r="L89" s="47">
        <v>40</v>
      </c>
      <c r="M89" s="1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9" s="97"/>
      <c r="O89" s="97"/>
      <c r="P89" s="97"/>
      <c r="Q89" s="98"/>
      <c r="R89" s="49" t="s">
        <v>6</v>
      </c>
      <c r="S89" s="49" t="s">
        <v>6</v>
      </c>
      <c r="T89" s="50" t="s">
        <v>68</v>
      </c>
      <c r="U89" s="51">
        <v>0</v>
      </c>
      <c r="V89" s="52">
        <f t="shared" ref="V89:V97" si="4">IFERROR(IF(U89="",0,CEILING((U89/$H89),1)*$H89),"")</f>
        <v>0</v>
      </c>
      <c r="W89" s="53" t="str">
        <f>IFERROR(IF(V89=0,"",ROUNDUP(V89/H89,0)*0.02175),"")</f>
        <v/>
      </c>
      <c r="X89" s="54" t="s">
        <v>6</v>
      </c>
      <c r="Y89" s="55" t="s">
        <v>6</v>
      </c>
      <c r="AC89" s="56" t="s">
        <v>1</v>
      </c>
    </row>
    <row r="90" spans="1:29" ht="27" customHeight="1" x14ac:dyDescent="0.25">
      <c r="A90" s="44" t="s">
        <v>165</v>
      </c>
      <c r="B90" s="44" t="s">
        <v>166</v>
      </c>
      <c r="C90" s="45">
        <v>4301030961</v>
      </c>
      <c r="D90" s="95">
        <v>4607091387636</v>
      </c>
      <c r="E90" s="95"/>
      <c r="F90" s="46">
        <v>0.7</v>
      </c>
      <c r="G90" s="47">
        <v>6</v>
      </c>
      <c r="H90" s="46">
        <v>4.2</v>
      </c>
      <c r="I90" s="46">
        <v>4.5</v>
      </c>
      <c r="J90" s="47">
        <v>120</v>
      </c>
      <c r="K90" s="48" t="s">
        <v>66</v>
      </c>
      <c r="L90" s="47">
        <v>40</v>
      </c>
      <c r="M90" s="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0" s="97"/>
      <c r="O90" s="97"/>
      <c r="P90" s="97"/>
      <c r="Q90" s="98"/>
      <c r="R90" s="49" t="s">
        <v>6</v>
      </c>
      <c r="S90" s="49" t="s">
        <v>6</v>
      </c>
      <c r="T90" s="50" t="s">
        <v>68</v>
      </c>
      <c r="U90" s="51">
        <v>16</v>
      </c>
      <c r="V90" s="52">
        <f t="shared" si="4"/>
        <v>16.8</v>
      </c>
      <c r="W90" s="53">
        <f>IFERROR(IF(V90=0,"",ROUNDUP(V90/H90,0)*0.00937),"")</f>
        <v>3.7479999999999999E-2</v>
      </c>
      <c r="X90" s="54" t="s">
        <v>6</v>
      </c>
      <c r="Y90" s="55" t="s">
        <v>6</v>
      </c>
      <c r="AC90" s="56" t="s">
        <v>1</v>
      </c>
    </row>
    <row r="91" spans="1:29" ht="27" customHeight="1" x14ac:dyDescent="0.25">
      <c r="A91" s="44" t="s">
        <v>167</v>
      </c>
      <c r="B91" s="44" t="s">
        <v>168</v>
      </c>
      <c r="C91" s="45">
        <v>4301031078</v>
      </c>
      <c r="D91" s="95">
        <v>4607091384727</v>
      </c>
      <c r="E91" s="95"/>
      <c r="F91" s="46">
        <v>0.8</v>
      </c>
      <c r="G91" s="47">
        <v>6</v>
      </c>
      <c r="H91" s="46">
        <v>4.8</v>
      </c>
      <c r="I91" s="46">
        <v>5.16</v>
      </c>
      <c r="J91" s="47">
        <v>104</v>
      </c>
      <c r="K91" s="48" t="s">
        <v>66</v>
      </c>
      <c r="L91" s="47">
        <v>45</v>
      </c>
      <c r="M91" s="10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1" s="97"/>
      <c r="O91" s="97"/>
      <c r="P91" s="97"/>
      <c r="Q91" s="98"/>
      <c r="R91" s="49" t="s">
        <v>6</v>
      </c>
      <c r="S91" s="49" t="s">
        <v>6</v>
      </c>
      <c r="T91" s="50" t="s">
        <v>68</v>
      </c>
      <c r="U91" s="51">
        <v>0</v>
      </c>
      <c r="V91" s="52">
        <f t="shared" si="4"/>
        <v>0</v>
      </c>
      <c r="W91" s="53" t="str">
        <f>IFERROR(IF(V91=0,"",ROUNDUP(V91/H91,0)*0.01196),"")</f>
        <v/>
      </c>
      <c r="X91" s="54" t="s">
        <v>6</v>
      </c>
      <c r="Y91" s="55" t="s">
        <v>6</v>
      </c>
      <c r="AC91" s="56" t="s">
        <v>1</v>
      </c>
    </row>
    <row r="92" spans="1:29" ht="27" customHeight="1" x14ac:dyDescent="0.25">
      <c r="A92" s="44" t="s">
        <v>169</v>
      </c>
      <c r="B92" s="44" t="s">
        <v>170</v>
      </c>
      <c r="C92" s="45">
        <v>4301031080</v>
      </c>
      <c r="D92" s="95">
        <v>4607091386745</v>
      </c>
      <c r="E92" s="95"/>
      <c r="F92" s="46">
        <v>0.8</v>
      </c>
      <c r="G92" s="47">
        <v>6</v>
      </c>
      <c r="H92" s="46">
        <v>4.8</v>
      </c>
      <c r="I92" s="46">
        <v>5.16</v>
      </c>
      <c r="J92" s="47">
        <v>104</v>
      </c>
      <c r="K92" s="48" t="s">
        <v>66</v>
      </c>
      <c r="L92" s="47">
        <v>45</v>
      </c>
      <c r="M92" s="1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2" s="97"/>
      <c r="O92" s="97"/>
      <c r="P92" s="97"/>
      <c r="Q92" s="98"/>
      <c r="R92" s="49" t="s">
        <v>6</v>
      </c>
      <c r="S92" s="49" t="s">
        <v>6</v>
      </c>
      <c r="T92" s="50" t="s">
        <v>68</v>
      </c>
      <c r="U92" s="51">
        <v>0</v>
      </c>
      <c r="V92" s="52">
        <f t="shared" si="4"/>
        <v>0</v>
      </c>
      <c r="W92" s="53" t="str">
        <f>IFERROR(IF(V92=0,"",ROUNDUP(V92/H92,0)*0.01196),"")</f>
        <v/>
      </c>
      <c r="X92" s="54" t="s">
        <v>6</v>
      </c>
      <c r="Y92" s="55" t="s">
        <v>6</v>
      </c>
      <c r="AC92" s="56" t="s">
        <v>1</v>
      </c>
    </row>
    <row r="93" spans="1:29" ht="16.5" customHeight="1" x14ac:dyDescent="0.25">
      <c r="A93" s="44" t="s">
        <v>171</v>
      </c>
      <c r="B93" s="44" t="s">
        <v>172</v>
      </c>
      <c r="C93" s="45">
        <v>4301030963</v>
      </c>
      <c r="D93" s="95">
        <v>4607091382426</v>
      </c>
      <c r="E93" s="95"/>
      <c r="F93" s="46">
        <v>0.9</v>
      </c>
      <c r="G93" s="47">
        <v>10</v>
      </c>
      <c r="H93" s="46">
        <v>9</v>
      </c>
      <c r="I93" s="46">
        <v>9.6300000000000008</v>
      </c>
      <c r="J93" s="47">
        <v>56</v>
      </c>
      <c r="K93" s="48" t="s">
        <v>66</v>
      </c>
      <c r="L93" s="47">
        <v>40</v>
      </c>
      <c r="M93" s="1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3" s="97"/>
      <c r="O93" s="97"/>
      <c r="P93" s="97"/>
      <c r="Q93" s="98"/>
      <c r="R93" s="49" t="s">
        <v>6</v>
      </c>
      <c r="S93" s="49" t="s">
        <v>6</v>
      </c>
      <c r="T93" s="50" t="s">
        <v>68</v>
      </c>
      <c r="U93" s="51">
        <v>0</v>
      </c>
      <c r="V93" s="52">
        <f t="shared" si="4"/>
        <v>0</v>
      </c>
      <c r="W93" s="53" t="str">
        <f>IFERROR(IF(V93=0,"",ROUNDUP(V93/H93,0)*0.02175),"")</f>
        <v/>
      </c>
      <c r="X93" s="54" t="s">
        <v>6</v>
      </c>
      <c r="Y93" s="55" t="s">
        <v>6</v>
      </c>
      <c r="AC93" s="56" t="s">
        <v>1</v>
      </c>
    </row>
    <row r="94" spans="1:29" ht="27" customHeight="1" x14ac:dyDescent="0.25">
      <c r="A94" s="44" t="s">
        <v>173</v>
      </c>
      <c r="B94" s="44" t="s">
        <v>174</v>
      </c>
      <c r="C94" s="45">
        <v>4301030962</v>
      </c>
      <c r="D94" s="95">
        <v>4607091386547</v>
      </c>
      <c r="E94" s="95"/>
      <c r="F94" s="46">
        <v>0.35</v>
      </c>
      <c r="G94" s="47">
        <v>8</v>
      </c>
      <c r="H94" s="46">
        <v>2.8</v>
      </c>
      <c r="I94" s="46">
        <v>2.94</v>
      </c>
      <c r="J94" s="47">
        <v>234</v>
      </c>
      <c r="K94" s="48" t="s">
        <v>66</v>
      </c>
      <c r="L94" s="47">
        <v>40</v>
      </c>
      <c r="M94" s="1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4" s="97"/>
      <c r="O94" s="97"/>
      <c r="P94" s="97"/>
      <c r="Q94" s="98"/>
      <c r="R94" s="49" t="s">
        <v>6</v>
      </c>
      <c r="S94" s="49" t="s">
        <v>6</v>
      </c>
      <c r="T94" s="50" t="s">
        <v>68</v>
      </c>
      <c r="U94" s="51">
        <v>0</v>
      </c>
      <c r="V94" s="52">
        <f t="shared" si="4"/>
        <v>0</v>
      </c>
      <c r="W94" s="53" t="str">
        <f>IFERROR(IF(V94=0,"",ROUNDUP(V94/H94,0)*0.00502),"")</f>
        <v/>
      </c>
      <c r="X94" s="54" t="s">
        <v>6</v>
      </c>
      <c r="Y94" s="55" t="s">
        <v>6</v>
      </c>
      <c r="AC94" s="56" t="s">
        <v>1</v>
      </c>
    </row>
    <row r="95" spans="1:29" ht="27" customHeight="1" x14ac:dyDescent="0.25">
      <c r="A95" s="44" t="s">
        <v>175</v>
      </c>
      <c r="B95" s="44" t="s">
        <v>176</v>
      </c>
      <c r="C95" s="45">
        <v>4301031077</v>
      </c>
      <c r="D95" s="95">
        <v>4607091384703</v>
      </c>
      <c r="E95" s="95"/>
      <c r="F95" s="46">
        <v>0.35</v>
      </c>
      <c r="G95" s="47">
        <v>6</v>
      </c>
      <c r="H95" s="46">
        <v>2.1</v>
      </c>
      <c r="I95" s="46">
        <v>2.2000000000000002</v>
      </c>
      <c r="J95" s="47">
        <v>234</v>
      </c>
      <c r="K95" s="48" t="s">
        <v>66</v>
      </c>
      <c r="L95" s="47">
        <v>45</v>
      </c>
      <c r="M95" s="10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5" s="97"/>
      <c r="O95" s="97"/>
      <c r="P95" s="97"/>
      <c r="Q95" s="98"/>
      <c r="R95" s="49" t="s">
        <v>6</v>
      </c>
      <c r="S95" s="49" t="s">
        <v>6</v>
      </c>
      <c r="T95" s="50" t="s">
        <v>68</v>
      </c>
      <c r="U95" s="51">
        <v>0</v>
      </c>
      <c r="V95" s="52">
        <f t="shared" si="4"/>
        <v>0</v>
      </c>
      <c r="W95" s="53" t="str">
        <f>IFERROR(IF(V95=0,"",ROUNDUP(V95/H95,0)*0.00502),"")</f>
        <v/>
      </c>
      <c r="X95" s="54" t="s">
        <v>6</v>
      </c>
      <c r="Y95" s="55" t="s">
        <v>6</v>
      </c>
      <c r="AC95" s="56" t="s">
        <v>1</v>
      </c>
    </row>
    <row r="96" spans="1:29" ht="27" customHeight="1" x14ac:dyDescent="0.25">
      <c r="A96" s="44" t="s">
        <v>177</v>
      </c>
      <c r="B96" s="44" t="s">
        <v>178</v>
      </c>
      <c r="C96" s="45">
        <v>4301031079</v>
      </c>
      <c r="D96" s="95">
        <v>4607091384734</v>
      </c>
      <c r="E96" s="95"/>
      <c r="F96" s="46">
        <v>0.35</v>
      </c>
      <c r="G96" s="47">
        <v>6</v>
      </c>
      <c r="H96" s="46">
        <v>2.1</v>
      </c>
      <c r="I96" s="46">
        <v>2.2000000000000002</v>
      </c>
      <c r="J96" s="47">
        <v>234</v>
      </c>
      <c r="K96" s="48" t="s">
        <v>66</v>
      </c>
      <c r="L96" s="47">
        <v>45</v>
      </c>
      <c r="M96" s="1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6" s="97"/>
      <c r="O96" s="97"/>
      <c r="P96" s="97"/>
      <c r="Q96" s="98"/>
      <c r="R96" s="49" t="s">
        <v>6</v>
      </c>
      <c r="S96" s="49" t="s">
        <v>6</v>
      </c>
      <c r="T96" s="50" t="s">
        <v>68</v>
      </c>
      <c r="U96" s="51">
        <v>0</v>
      </c>
      <c r="V96" s="52">
        <f t="shared" si="4"/>
        <v>0</v>
      </c>
      <c r="W96" s="53" t="str">
        <f>IFERROR(IF(V96=0,"",ROUNDUP(V96/H96,0)*0.00502),"")</f>
        <v/>
      </c>
      <c r="X96" s="54" t="s">
        <v>6</v>
      </c>
      <c r="Y96" s="55" t="s">
        <v>6</v>
      </c>
      <c r="AC96" s="56" t="s">
        <v>1</v>
      </c>
    </row>
    <row r="97" spans="1:29" ht="27" customHeight="1" x14ac:dyDescent="0.25">
      <c r="A97" s="44" t="s">
        <v>179</v>
      </c>
      <c r="B97" s="44" t="s">
        <v>180</v>
      </c>
      <c r="C97" s="45">
        <v>4301030964</v>
      </c>
      <c r="D97" s="95">
        <v>4607091382464</v>
      </c>
      <c r="E97" s="95"/>
      <c r="F97" s="46">
        <v>0.35</v>
      </c>
      <c r="G97" s="47">
        <v>8</v>
      </c>
      <c r="H97" s="46">
        <v>2.8</v>
      </c>
      <c r="I97" s="46">
        <v>2.964</v>
      </c>
      <c r="J97" s="47">
        <v>234</v>
      </c>
      <c r="K97" s="48" t="s">
        <v>66</v>
      </c>
      <c r="L97" s="47">
        <v>40</v>
      </c>
      <c r="M97" s="1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7" s="97"/>
      <c r="O97" s="97"/>
      <c r="P97" s="97"/>
      <c r="Q97" s="98"/>
      <c r="R97" s="49" t="s">
        <v>6</v>
      </c>
      <c r="S97" s="49" t="s">
        <v>6</v>
      </c>
      <c r="T97" s="50" t="s">
        <v>68</v>
      </c>
      <c r="U97" s="51">
        <v>0</v>
      </c>
      <c r="V97" s="52">
        <f t="shared" si="4"/>
        <v>0</v>
      </c>
      <c r="W97" s="53" t="str">
        <f>IFERROR(IF(V97=0,"",ROUNDUP(V97/H97,0)*0.00502),"")</f>
        <v/>
      </c>
      <c r="X97" s="54" t="s">
        <v>6</v>
      </c>
      <c r="Y97" s="55" t="s">
        <v>6</v>
      </c>
      <c r="AC97" s="56" t="s">
        <v>1</v>
      </c>
    </row>
    <row r="98" spans="1:29" x14ac:dyDescent="0.2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6"/>
      <c r="M98" s="87" t="s">
        <v>69</v>
      </c>
      <c r="N98" s="88"/>
      <c r="O98" s="88"/>
      <c r="P98" s="88"/>
      <c r="Q98" s="88"/>
      <c r="R98" s="88"/>
      <c r="S98" s="89"/>
      <c r="T98" s="57" t="s">
        <v>70</v>
      </c>
      <c r="U98" s="58">
        <f>IFERROR(U89/H89,"0")+IFERROR(U90/H90,"0")+IFERROR(U91/H91,"0")+IFERROR(U92/H92,"0")+IFERROR(U93/H93,"0")+IFERROR(U94/H94,"0")+IFERROR(U95/H95,"0")+IFERROR(U96/H96,"0")+IFERROR(U97/H97,"0")</f>
        <v>3.8095238095238093</v>
      </c>
      <c r="V98" s="58">
        <f>IFERROR(V89/H89,"0")+IFERROR(V90/H90,"0")+IFERROR(V91/H91,"0")+IFERROR(V92/H92,"0")+IFERROR(V93/H93,"0")+IFERROR(V94/H94,"0")+IFERROR(V95/H95,"0")+IFERROR(V96/H96,"0")+IFERROR(V97/H97,"0")</f>
        <v>4</v>
      </c>
      <c r="W98" s="58">
        <f>IFERROR(IF(W89="",0,W89),"0")+IFERROR(IF(W90="",0,W90),"0")+IFERROR(IF(W91="",0,W91),"0")+IFERROR(IF(W92="",0,W92),"0")+IFERROR(IF(W93="",0,W93),"0")+IFERROR(IF(W94="",0,W94),"0")+IFERROR(IF(W95="",0,W95),"0")+IFERROR(IF(W96="",0,W96),"0")+IFERROR(IF(W97="",0,W97),"0")</f>
        <v>3.7479999999999999E-2</v>
      </c>
      <c r="X98" s="59"/>
      <c r="Y98" s="59"/>
    </row>
    <row r="99" spans="1:29" x14ac:dyDescent="0.25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6"/>
      <c r="M99" s="87" t="s">
        <v>69</v>
      </c>
      <c r="N99" s="88"/>
      <c r="O99" s="88"/>
      <c r="P99" s="88"/>
      <c r="Q99" s="88"/>
      <c r="R99" s="88"/>
      <c r="S99" s="89"/>
      <c r="T99" s="57" t="s">
        <v>68</v>
      </c>
      <c r="U99" s="58">
        <f>IFERROR(SUM(U89:U97),"0")</f>
        <v>16</v>
      </c>
      <c r="V99" s="58">
        <f>IFERROR(SUM(V89:V97),"0")</f>
        <v>16.8</v>
      </c>
      <c r="W99" s="57"/>
      <c r="X99" s="59"/>
      <c r="Y99" s="59"/>
    </row>
    <row r="100" spans="1:29" ht="14.25" customHeight="1" x14ac:dyDescent="0.25">
      <c r="A100" s="94" t="s">
        <v>71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43"/>
      <c r="Y100" s="43"/>
    </row>
    <row r="101" spans="1:29" ht="27" customHeight="1" x14ac:dyDescent="0.25">
      <c r="A101" s="44" t="s">
        <v>181</v>
      </c>
      <c r="B101" s="44" t="s">
        <v>182</v>
      </c>
      <c r="C101" s="45">
        <v>4301051437</v>
      </c>
      <c r="D101" s="95">
        <v>4607091386967</v>
      </c>
      <c r="E101" s="95"/>
      <c r="F101" s="46">
        <v>1.35</v>
      </c>
      <c r="G101" s="47">
        <v>6</v>
      </c>
      <c r="H101" s="46">
        <v>8.1</v>
      </c>
      <c r="I101" s="46">
        <v>8.6639999999999997</v>
      </c>
      <c r="J101" s="47">
        <v>56</v>
      </c>
      <c r="K101" s="48" t="s">
        <v>131</v>
      </c>
      <c r="L101" s="47">
        <v>45</v>
      </c>
      <c r="M101" s="96" t="s">
        <v>183</v>
      </c>
      <c r="N101" s="97"/>
      <c r="O101" s="97"/>
      <c r="P101" s="97"/>
      <c r="Q101" s="98"/>
      <c r="R101" s="49" t="s">
        <v>6</v>
      </c>
      <c r="S101" s="49" t="s">
        <v>6</v>
      </c>
      <c r="T101" s="50" t="s">
        <v>68</v>
      </c>
      <c r="U101" s="69">
        <v>24</v>
      </c>
      <c r="V101" s="52">
        <f t="shared" ref="V101:V107" si="5">IFERROR(IF(U101="",0,CEILING((U101/$H101),1)*$H101),"")</f>
        <v>24.299999999999997</v>
      </c>
      <c r="W101" s="53">
        <f>IFERROR(IF(V101=0,"",ROUNDUP(V101/H101,0)*0.02175),"")</f>
        <v>6.5250000000000002E-2</v>
      </c>
      <c r="X101" s="54" t="s">
        <v>6</v>
      </c>
      <c r="Y101" s="55" t="s">
        <v>6</v>
      </c>
      <c r="AC101" s="56" t="s">
        <v>1</v>
      </c>
    </row>
    <row r="102" spans="1:29" ht="16.5" customHeight="1" x14ac:dyDescent="0.25">
      <c r="A102" s="44" t="s">
        <v>184</v>
      </c>
      <c r="B102" s="44" t="s">
        <v>185</v>
      </c>
      <c r="C102" s="45">
        <v>4301051311</v>
      </c>
      <c r="D102" s="95">
        <v>4607091385304</v>
      </c>
      <c r="E102" s="95"/>
      <c r="F102" s="46">
        <v>1.35</v>
      </c>
      <c r="G102" s="47">
        <v>6</v>
      </c>
      <c r="H102" s="46">
        <v>8.1</v>
      </c>
      <c r="I102" s="46">
        <v>8.6639999999999997</v>
      </c>
      <c r="J102" s="47">
        <v>56</v>
      </c>
      <c r="K102" s="48" t="s">
        <v>66</v>
      </c>
      <c r="L102" s="47">
        <v>40</v>
      </c>
      <c r="M102" s="10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97"/>
      <c r="O102" s="97"/>
      <c r="P102" s="97"/>
      <c r="Q102" s="98"/>
      <c r="R102" s="49" t="s">
        <v>6</v>
      </c>
      <c r="S102" s="49" t="s">
        <v>6</v>
      </c>
      <c r="T102" s="50" t="s">
        <v>68</v>
      </c>
      <c r="U102" s="51">
        <v>0</v>
      </c>
      <c r="V102" s="52">
        <f t="shared" si="5"/>
        <v>0</v>
      </c>
      <c r="W102" s="53" t="str">
        <f>IFERROR(IF(V102=0,"",ROUNDUP(V102/H102,0)*0.02175),"")</f>
        <v/>
      </c>
      <c r="X102" s="54" t="s">
        <v>6</v>
      </c>
      <c r="Y102" s="55" t="s">
        <v>6</v>
      </c>
      <c r="AC102" s="56" t="s">
        <v>1</v>
      </c>
    </row>
    <row r="103" spans="1:29" ht="16.5" customHeight="1" x14ac:dyDescent="0.25">
      <c r="A103" s="44" t="s">
        <v>186</v>
      </c>
      <c r="B103" s="44" t="s">
        <v>187</v>
      </c>
      <c r="C103" s="45">
        <v>4301051306</v>
      </c>
      <c r="D103" s="95">
        <v>4607091386264</v>
      </c>
      <c r="E103" s="95"/>
      <c r="F103" s="46">
        <v>0.5</v>
      </c>
      <c r="G103" s="47">
        <v>6</v>
      </c>
      <c r="H103" s="46">
        <v>3</v>
      </c>
      <c r="I103" s="46">
        <v>3.278</v>
      </c>
      <c r="J103" s="47">
        <v>156</v>
      </c>
      <c r="K103" s="48" t="s">
        <v>66</v>
      </c>
      <c r="L103" s="47">
        <v>31</v>
      </c>
      <c r="M103" s="1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97"/>
      <c r="O103" s="97"/>
      <c r="P103" s="97"/>
      <c r="Q103" s="98"/>
      <c r="R103" s="49" t="s">
        <v>6</v>
      </c>
      <c r="S103" s="49" t="s">
        <v>6</v>
      </c>
      <c r="T103" s="50" t="s">
        <v>68</v>
      </c>
      <c r="U103" s="51">
        <v>0</v>
      </c>
      <c r="V103" s="52">
        <f t="shared" si="5"/>
        <v>0</v>
      </c>
      <c r="W103" s="53" t="str">
        <f>IFERROR(IF(V103=0,"",ROUNDUP(V103/H103,0)*0.00753),"")</f>
        <v/>
      </c>
      <c r="X103" s="54" t="s">
        <v>6</v>
      </c>
      <c r="Y103" s="55" t="s">
        <v>6</v>
      </c>
      <c r="AC103" s="56" t="s">
        <v>1</v>
      </c>
    </row>
    <row r="104" spans="1:29" ht="27" customHeight="1" x14ac:dyDescent="0.25">
      <c r="A104" s="44" t="s">
        <v>188</v>
      </c>
      <c r="B104" s="44" t="s">
        <v>189</v>
      </c>
      <c r="C104" s="45">
        <v>4301051436</v>
      </c>
      <c r="D104" s="95">
        <v>4607091385731</v>
      </c>
      <c r="E104" s="95"/>
      <c r="F104" s="46">
        <v>0.45</v>
      </c>
      <c r="G104" s="47">
        <v>6</v>
      </c>
      <c r="H104" s="46">
        <v>2.7</v>
      </c>
      <c r="I104" s="46">
        <v>2.972</v>
      </c>
      <c r="J104" s="47">
        <v>156</v>
      </c>
      <c r="K104" s="48" t="s">
        <v>131</v>
      </c>
      <c r="L104" s="47">
        <v>45</v>
      </c>
      <c r="M104" s="96" t="s">
        <v>190</v>
      </c>
      <c r="N104" s="97"/>
      <c r="O104" s="97"/>
      <c r="P104" s="97"/>
      <c r="Q104" s="98"/>
      <c r="R104" s="49" t="s">
        <v>6</v>
      </c>
      <c r="S104" s="49" t="s">
        <v>6</v>
      </c>
      <c r="T104" s="50" t="s">
        <v>68</v>
      </c>
      <c r="U104" s="51">
        <v>32</v>
      </c>
      <c r="V104" s="52">
        <f t="shared" si="5"/>
        <v>32.400000000000006</v>
      </c>
      <c r="W104" s="53">
        <f>IFERROR(IF(V104=0,"",ROUNDUP(V104/H104,0)*0.00753),"")</f>
        <v>9.0359999999999996E-2</v>
      </c>
      <c r="X104" s="54" t="s">
        <v>6</v>
      </c>
      <c r="Y104" s="55" t="s">
        <v>6</v>
      </c>
      <c r="AC104" s="56" t="s">
        <v>1</v>
      </c>
    </row>
    <row r="105" spans="1:29" ht="27" customHeight="1" x14ac:dyDescent="0.25">
      <c r="A105" s="44" t="s">
        <v>191</v>
      </c>
      <c r="B105" s="44" t="s">
        <v>192</v>
      </c>
      <c r="C105" s="45">
        <v>4301051439</v>
      </c>
      <c r="D105" s="95">
        <v>4680115880214</v>
      </c>
      <c r="E105" s="95"/>
      <c r="F105" s="46">
        <v>0.45</v>
      </c>
      <c r="G105" s="47">
        <v>6</v>
      </c>
      <c r="H105" s="46">
        <v>2.7</v>
      </c>
      <c r="I105" s="46">
        <v>2.988</v>
      </c>
      <c r="J105" s="47">
        <v>120</v>
      </c>
      <c r="K105" s="48" t="s">
        <v>131</v>
      </c>
      <c r="L105" s="47">
        <v>45</v>
      </c>
      <c r="M105" s="96" t="s">
        <v>193</v>
      </c>
      <c r="N105" s="97"/>
      <c r="O105" s="97"/>
      <c r="P105" s="97"/>
      <c r="Q105" s="98"/>
      <c r="R105" s="49" t="s">
        <v>6</v>
      </c>
      <c r="S105" s="49" t="s">
        <v>6</v>
      </c>
      <c r="T105" s="50" t="s">
        <v>68</v>
      </c>
      <c r="U105" s="51">
        <v>0</v>
      </c>
      <c r="V105" s="52">
        <f t="shared" si="5"/>
        <v>0</v>
      </c>
      <c r="W105" s="53" t="str">
        <f>IFERROR(IF(V105=0,"",ROUNDUP(V105/H105,0)*0.00937),"")</f>
        <v/>
      </c>
      <c r="X105" s="54" t="s">
        <v>6</v>
      </c>
      <c r="Y105" s="55" t="s">
        <v>6</v>
      </c>
      <c r="AC105" s="56" t="s">
        <v>1</v>
      </c>
    </row>
    <row r="106" spans="1:29" ht="27" customHeight="1" x14ac:dyDescent="0.25">
      <c r="A106" s="44" t="s">
        <v>194</v>
      </c>
      <c r="B106" s="44" t="s">
        <v>195</v>
      </c>
      <c r="C106" s="45">
        <v>4301051438</v>
      </c>
      <c r="D106" s="95">
        <v>4680115880894</v>
      </c>
      <c r="E106" s="95"/>
      <c r="F106" s="46">
        <v>0.33</v>
      </c>
      <c r="G106" s="47">
        <v>6</v>
      </c>
      <c r="H106" s="46">
        <v>1.98</v>
      </c>
      <c r="I106" s="46">
        <v>2.258</v>
      </c>
      <c r="J106" s="47">
        <v>156</v>
      </c>
      <c r="K106" s="48" t="s">
        <v>131</v>
      </c>
      <c r="L106" s="47">
        <v>45</v>
      </c>
      <c r="M106" s="96" t="s">
        <v>196</v>
      </c>
      <c r="N106" s="97"/>
      <c r="O106" s="97"/>
      <c r="P106" s="97"/>
      <c r="Q106" s="98"/>
      <c r="R106" s="49" t="s">
        <v>6</v>
      </c>
      <c r="S106" s="49" t="s">
        <v>6</v>
      </c>
      <c r="T106" s="50" t="s">
        <v>68</v>
      </c>
      <c r="U106" s="51">
        <v>0</v>
      </c>
      <c r="V106" s="52">
        <f t="shared" si="5"/>
        <v>0</v>
      </c>
      <c r="W106" s="53" t="str">
        <f>IFERROR(IF(V106=0,"",ROUNDUP(V106/H106,0)*0.00753),"")</f>
        <v/>
      </c>
      <c r="X106" s="54" t="s">
        <v>6</v>
      </c>
      <c r="Y106" s="55" t="s">
        <v>6</v>
      </c>
      <c r="AC106" s="56" t="s">
        <v>1</v>
      </c>
    </row>
    <row r="107" spans="1:29" ht="27" customHeight="1" x14ac:dyDescent="0.25">
      <c r="A107" s="44" t="s">
        <v>197</v>
      </c>
      <c r="B107" s="44" t="s">
        <v>198</v>
      </c>
      <c r="C107" s="45">
        <v>4301051313</v>
      </c>
      <c r="D107" s="95">
        <v>4607091385427</v>
      </c>
      <c r="E107" s="95"/>
      <c r="F107" s="46">
        <v>0.5</v>
      </c>
      <c r="G107" s="47">
        <v>6</v>
      </c>
      <c r="H107" s="46">
        <v>3</v>
      </c>
      <c r="I107" s="46">
        <v>3.2719999999999998</v>
      </c>
      <c r="J107" s="47">
        <v>156</v>
      </c>
      <c r="K107" s="48" t="s">
        <v>66</v>
      </c>
      <c r="L107" s="47">
        <v>40</v>
      </c>
      <c r="M107" s="1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97"/>
      <c r="O107" s="97"/>
      <c r="P107" s="97"/>
      <c r="Q107" s="98"/>
      <c r="R107" s="49" t="s">
        <v>6</v>
      </c>
      <c r="S107" s="49" t="s">
        <v>6</v>
      </c>
      <c r="T107" s="50" t="s">
        <v>68</v>
      </c>
      <c r="U107" s="51">
        <v>0</v>
      </c>
      <c r="V107" s="52">
        <f t="shared" si="5"/>
        <v>0</v>
      </c>
      <c r="W107" s="53" t="str">
        <f>IFERROR(IF(V107=0,"",ROUNDUP(V107/H107,0)*0.00753),"")</f>
        <v/>
      </c>
      <c r="X107" s="54" t="s">
        <v>6</v>
      </c>
      <c r="Y107" s="55" t="s">
        <v>6</v>
      </c>
      <c r="AC107" s="56" t="s">
        <v>1</v>
      </c>
    </row>
    <row r="108" spans="1:29" x14ac:dyDescent="0.25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6"/>
      <c r="M108" s="87" t="s">
        <v>69</v>
      </c>
      <c r="N108" s="88"/>
      <c r="O108" s="88"/>
      <c r="P108" s="88"/>
      <c r="Q108" s="88"/>
      <c r="R108" s="88"/>
      <c r="S108" s="89"/>
      <c r="T108" s="57" t="s">
        <v>70</v>
      </c>
      <c r="U108" s="58">
        <f>IFERROR(U101/H101,"0")+IFERROR(U102/H102,"0")+IFERROR(U103/H103,"0")+IFERROR(U104/H104,"0")+IFERROR(U105/H105,"0")+IFERROR(U106/H106,"0")+IFERROR(U107/H107,"0")</f>
        <v>14.814814814814815</v>
      </c>
      <c r="V108" s="58">
        <f>IFERROR(V101/H101,"0")+IFERROR(V102/H102,"0")+IFERROR(V103/H103,"0")+IFERROR(V104/H104,"0")+IFERROR(V105/H105,"0")+IFERROR(V106/H106,"0")+IFERROR(V107/H107,"0")</f>
        <v>15.000000000000002</v>
      </c>
      <c r="W108" s="58">
        <f>IFERROR(IF(W101="",0,W101),"0")+IFERROR(IF(W102="",0,W102),"0")+IFERROR(IF(W103="",0,W103),"0")+IFERROR(IF(W104="",0,W104),"0")+IFERROR(IF(W105="",0,W105),"0")+IFERROR(IF(W106="",0,W106),"0")+IFERROR(IF(W107="",0,W107),"0")</f>
        <v>0.15561</v>
      </c>
      <c r="X108" s="59"/>
      <c r="Y108" s="59"/>
    </row>
    <row r="109" spans="1:29" x14ac:dyDescent="0.25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6"/>
      <c r="M109" s="87" t="s">
        <v>69</v>
      </c>
      <c r="N109" s="88"/>
      <c r="O109" s="88"/>
      <c r="P109" s="88"/>
      <c r="Q109" s="88"/>
      <c r="R109" s="88"/>
      <c r="S109" s="89"/>
      <c r="T109" s="57" t="s">
        <v>68</v>
      </c>
      <c r="U109" s="58">
        <f>IFERROR(SUM(U101:U107),"0")</f>
        <v>56</v>
      </c>
      <c r="V109" s="58">
        <f>IFERROR(SUM(V101:V107),"0")</f>
        <v>56.7</v>
      </c>
      <c r="W109" s="57"/>
      <c r="X109" s="59"/>
      <c r="Y109" s="59"/>
    </row>
    <row r="110" spans="1:29" ht="14.25" customHeight="1" x14ac:dyDescent="0.25">
      <c r="A110" s="94" t="s">
        <v>199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43"/>
      <c r="Y110" s="43"/>
    </row>
    <row r="111" spans="1:29" ht="27" customHeight="1" x14ac:dyDescent="0.25">
      <c r="A111" s="44" t="s">
        <v>200</v>
      </c>
      <c r="B111" s="44" t="s">
        <v>201</v>
      </c>
      <c r="C111" s="45">
        <v>4301060296</v>
      </c>
      <c r="D111" s="95">
        <v>4607091383065</v>
      </c>
      <c r="E111" s="95"/>
      <c r="F111" s="46">
        <v>0.83</v>
      </c>
      <c r="G111" s="47">
        <v>4</v>
      </c>
      <c r="H111" s="46">
        <v>3.32</v>
      </c>
      <c r="I111" s="46">
        <v>3.5819999999999999</v>
      </c>
      <c r="J111" s="47">
        <v>120</v>
      </c>
      <c r="K111" s="48" t="s">
        <v>66</v>
      </c>
      <c r="L111" s="47">
        <v>30</v>
      </c>
      <c r="M111" s="1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97"/>
      <c r="O111" s="97"/>
      <c r="P111" s="97"/>
      <c r="Q111" s="98"/>
      <c r="R111" s="49" t="s">
        <v>6</v>
      </c>
      <c r="S111" s="49" t="s">
        <v>6</v>
      </c>
      <c r="T111" s="50" t="s">
        <v>68</v>
      </c>
      <c r="U111" s="51">
        <v>0</v>
      </c>
      <c r="V111" s="52">
        <f>IFERROR(IF(U111="",0,CEILING((U111/$H111),1)*$H111),"")</f>
        <v>0</v>
      </c>
      <c r="W111" s="53" t="str">
        <f>IFERROR(IF(V111=0,"",ROUNDUP(V111/H111,0)*0.00937),"")</f>
        <v/>
      </c>
      <c r="X111" s="54" t="s">
        <v>6</v>
      </c>
      <c r="Y111" s="55" t="s">
        <v>6</v>
      </c>
      <c r="AC111" s="56" t="s">
        <v>1</v>
      </c>
    </row>
    <row r="112" spans="1:29" ht="27" customHeight="1" x14ac:dyDescent="0.25">
      <c r="A112" s="44" t="s">
        <v>202</v>
      </c>
      <c r="B112" s="44" t="s">
        <v>203</v>
      </c>
      <c r="C112" s="45">
        <v>4301060282</v>
      </c>
      <c r="D112" s="95">
        <v>4607091380699</v>
      </c>
      <c r="E112" s="95"/>
      <c r="F112" s="46">
        <v>1.3</v>
      </c>
      <c r="G112" s="47">
        <v>6</v>
      </c>
      <c r="H112" s="46">
        <v>7.8</v>
      </c>
      <c r="I112" s="46">
        <v>8.3640000000000008</v>
      </c>
      <c r="J112" s="47">
        <v>56</v>
      </c>
      <c r="K112" s="48" t="s">
        <v>66</v>
      </c>
      <c r="L112" s="47">
        <v>30</v>
      </c>
      <c r="M112" s="100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2" s="97"/>
      <c r="O112" s="97"/>
      <c r="P112" s="97"/>
      <c r="Q112" s="98"/>
      <c r="R112" s="49" t="s">
        <v>6</v>
      </c>
      <c r="S112" s="49" t="s">
        <v>6</v>
      </c>
      <c r="T112" s="50" t="s">
        <v>68</v>
      </c>
      <c r="U112" s="51">
        <v>23</v>
      </c>
      <c r="V112" s="52">
        <f>IFERROR(IF(U112="",0,CEILING((U112/$H112),1)*$H112),"")</f>
        <v>23.4</v>
      </c>
      <c r="W112" s="53">
        <f>IFERROR(IF(V112=0,"",ROUNDUP(V112/H112,0)*0.02175),"")</f>
        <v>6.5250000000000002E-2</v>
      </c>
      <c r="X112" s="54" t="s">
        <v>6</v>
      </c>
      <c r="Y112" s="55" t="s">
        <v>6</v>
      </c>
      <c r="AC112" s="56" t="s">
        <v>1</v>
      </c>
    </row>
    <row r="113" spans="1:29" ht="16.5" customHeight="1" x14ac:dyDescent="0.25">
      <c r="A113" s="44" t="s">
        <v>204</v>
      </c>
      <c r="B113" s="44" t="s">
        <v>205</v>
      </c>
      <c r="C113" s="45">
        <v>4301060309</v>
      </c>
      <c r="D113" s="95">
        <v>4680115880238</v>
      </c>
      <c r="E113" s="95"/>
      <c r="F113" s="46">
        <v>0.33</v>
      </c>
      <c r="G113" s="47">
        <v>6</v>
      </c>
      <c r="H113" s="46">
        <v>1.98</v>
      </c>
      <c r="I113" s="46">
        <v>2.258</v>
      </c>
      <c r="J113" s="47">
        <v>156</v>
      </c>
      <c r="K113" s="48" t="s">
        <v>66</v>
      </c>
      <c r="L113" s="47">
        <v>40</v>
      </c>
      <c r="M113" s="96" t="s">
        <v>206</v>
      </c>
      <c r="N113" s="97"/>
      <c r="O113" s="97"/>
      <c r="P113" s="97"/>
      <c r="Q113" s="98"/>
      <c r="R113" s="49" t="s">
        <v>6</v>
      </c>
      <c r="S113" s="49" t="s">
        <v>6</v>
      </c>
      <c r="T113" s="50" t="s">
        <v>68</v>
      </c>
      <c r="U113" s="51">
        <v>0</v>
      </c>
      <c r="V113" s="52">
        <f>IFERROR(IF(U113="",0,CEILING((U113/$H113),1)*$H113),"")</f>
        <v>0</v>
      </c>
      <c r="W113" s="53" t="str">
        <f>IFERROR(IF(V113=0,"",ROUNDUP(V113/H113,0)*0.00753),"")</f>
        <v/>
      </c>
      <c r="X113" s="54" t="s">
        <v>6</v>
      </c>
      <c r="Y113" s="55" t="s">
        <v>6</v>
      </c>
      <c r="AC113" s="56" t="s">
        <v>1</v>
      </c>
    </row>
    <row r="114" spans="1:29" ht="27" customHeight="1" x14ac:dyDescent="0.25">
      <c r="A114" s="44" t="s">
        <v>207</v>
      </c>
      <c r="B114" s="44" t="s">
        <v>208</v>
      </c>
      <c r="C114" s="45">
        <v>4301060351</v>
      </c>
      <c r="D114" s="95">
        <v>4680115881464</v>
      </c>
      <c r="E114" s="95"/>
      <c r="F114" s="46">
        <v>0.4</v>
      </c>
      <c r="G114" s="47">
        <v>6</v>
      </c>
      <c r="H114" s="46">
        <v>2.4</v>
      </c>
      <c r="I114" s="46">
        <v>2.6</v>
      </c>
      <c r="J114" s="47">
        <v>156</v>
      </c>
      <c r="K114" s="48" t="s">
        <v>131</v>
      </c>
      <c r="L114" s="47">
        <v>30</v>
      </c>
      <c r="M114" s="96" t="s">
        <v>209</v>
      </c>
      <c r="N114" s="97"/>
      <c r="O114" s="97"/>
      <c r="P114" s="97"/>
      <c r="Q114" s="98"/>
      <c r="R114" s="49" t="s">
        <v>6</v>
      </c>
      <c r="S114" s="49" t="s">
        <v>6</v>
      </c>
      <c r="T114" s="50" t="s">
        <v>68</v>
      </c>
      <c r="U114" s="51">
        <v>0</v>
      </c>
      <c r="V114" s="52">
        <f>IFERROR(IF(U114="",0,CEILING((U114/$H114),1)*$H114),"")</f>
        <v>0</v>
      </c>
      <c r="W114" s="53" t="str">
        <f>IFERROR(IF(V114=0,"",ROUNDUP(V114/H114,0)*0.00753),"")</f>
        <v/>
      </c>
      <c r="X114" s="54" t="s">
        <v>6</v>
      </c>
      <c r="Y114" s="55" t="s">
        <v>6</v>
      </c>
      <c r="AC114" s="56" t="s">
        <v>1</v>
      </c>
    </row>
    <row r="115" spans="1:29" x14ac:dyDescent="0.2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6"/>
      <c r="M115" s="87" t="s">
        <v>69</v>
      </c>
      <c r="N115" s="88"/>
      <c r="O115" s="88"/>
      <c r="P115" s="88"/>
      <c r="Q115" s="88"/>
      <c r="R115" s="88"/>
      <c r="S115" s="89"/>
      <c r="T115" s="57" t="s">
        <v>70</v>
      </c>
      <c r="U115" s="58">
        <f>IFERROR(U111/H111,"0")+IFERROR(U112/H112,"0")+IFERROR(U113/H113,"0")+IFERROR(U114/H114,"0")</f>
        <v>2.9487179487179489</v>
      </c>
      <c r="V115" s="58">
        <f>IFERROR(V111/H111,"0")+IFERROR(V112/H112,"0")+IFERROR(V113/H113,"0")+IFERROR(V114/H114,"0")</f>
        <v>3</v>
      </c>
      <c r="W115" s="58">
        <f>IFERROR(IF(W111="",0,W111),"0")+IFERROR(IF(W112="",0,W112),"0")+IFERROR(IF(W113="",0,W113),"0")+IFERROR(IF(W114="",0,W114),"0")</f>
        <v>6.5250000000000002E-2</v>
      </c>
      <c r="X115" s="59"/>
      <c r="Y115" s="59"/>
    </row>
    <row r="116" spans="1:29" x14ac:dyDescent="0.25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6"/>
      <c r="M116" s="87" t="s">
        <v>69</v>
      </c>
      <c r="N116" s="88"/>
      <c r="O116" s="88"/>
      <c r="P116" s="88"/>
      <c r="Q116" s="88"/>
      <c r="R116" s="88"/>
      <c r="S116" s="89"/>
      <c r="T116" s="57" t="s">
        <v>68</v>
      </c>
      <c r="U116" s="58">
        <f>IFERROR(SUM(U111:U114),"0")</f>
        <v>23</v>
      </c>
      <c r="V116" s="58">
        <f>IFERROR(SUM(V111:V114),"0")</f>
        <v>23.4</v>
      </c>
      <c r="W116" s="57"/>
      <c r="X116" s="59"/>
      <c r="Y116" s="59"/>
    </row>
    <row r="117" spans="1:29" ht="16.5" customHeight="1" x14ac:dyDescent="0.25">
      <c r="A117" s="99" t="s">
        <v>210</v>
      </c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42"/>
      <c r="Y117" s="42"/>
    </row>
    <row r="118" spans="1:29" ht="14.25" customHeight="1" x14ac:dyDescent="0.25">
      <c r="A118" s="94" t="s">
        <v>71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43"/>
      <c r="Y118" s="43"/>
    </row>
    <row r="119" spans="1:29" ht="27" customHeight="1" x14ac:dyDescent="0.25">
      <c r="A119" s="44" t="s">
        <v>211</v>
      </c>
      <c r="B119" s="44" t="s">
        <v>212</v>
      </c>
      <c r="C119" s="45">
        <v>4301051360</v>
      </c>
      <c r="D119" s="95">
        <v>4607091385168</v>
      </c>
      <c r="E119" s="95"/>
      <c r="F119" s="46">
        <v>1.35</v>
      </c>
      <c r="G119" s="47">
        <v>6</v>
      </c>
      <c r="H119" s="46">
        <v>8.1</v>
      </c>
      <c r="I119" s="46">
        <v>8.6579999999999995</v>
      </c>
      <c r="J119" s="47">
        <v>56</v>
      </c>
      <c r="K119" s="48" t="s">
        <v>131</v>
      </c>
      <c r="L119" s="47">
        <v>45</v>
      </c>
      <c r="M119" s="1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97"/>
      <c r="O119" s="97"/>
      <c r="P119" s="97"/>
      <c r="Q119" s="98"/>
      <c r="R119" s="49" t="s">
        <v>6</v>
      </c>
      <c r="S119" s="49" t="s">
        <v>6</v>
      </c>
      <c r="T119" s="50" t="s">
        <v>68</v>
      </c>
      <c r="U119" s="51">
        <v>64</v>
      </c>
      <c r="V119" s="52">
        <f>IFERROR(IF(U119="",0,CEILING((U119/$H119),1)*$H119),"")</f>
        <v>64.8</v>
      </c>
      <c r="W119" s="53">
        <f>IFERROR(IF(V119=0,"",ROUNDUP(V119/H119,0)*0.02175),"")</f>
        <v>0.17399999999999999</v>
      </c>
      <c r="X119" s="54" t="s">
        <v>6</v>
      </c>
      <c r="Y119" s="55" t="s">
        <v>6</v>
      </c>
      <c r="AC119" s="56" t="s">
        <v>1</v>
      </c>
    </row>
    <row r="120" spans="1:29" ht="16.5" customHeight="1" x14ac:dyDescent="0.25">
      <c r="A120" s="44" t="s">
        <v>213</v>
      </c>
      <c r="B120" s="44" t="s">
        <v>214</v>
      </c>
      <c r="C120" s="45">
        <v>4301051362</v>
      </c>
      <c r="D120" s="95">
        <v>4607091383256</v>
      </c>
      <c r="E120" s="95"/>
      <c r="F120" s="46">
        <v>0.33</v>
      </c>
      <c r="G120" s="47">
        <v>6</v>
      </c>
      <c r="H120" s="46">
        <v>1.98</v>
      </c>
      <c r="I120" s="46">
        <v>2.246</v>
      </c>
      <c r="J120" s="47">
        <v>156</v>
      </c>
      <c r="K120" s="48" t="s">
        <v>131</v>
      </c>
      <c r="L120" s="47">
        <v>45</v>
      </c>
      <c r="M120" s="1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97"/>
      <c r="O120" s="97"/>
      <c r="P120" s="97"/>
      <c r="Q120" s="98"/>
      <c r="R120" s="49" t="s">
        <v>6</v>
      </c>
      <c r="S120" s="49" t="s">
        <v>6</v>
      </c>
      <c r="T120" s="50" t="s">
        <v>68</v>
      </c>
      <c r="U120" s="51">
        <v>67</v>
      </c>
      <c r="V120" s="52">
        <f>IFERROR(IF(U120="",0,CEILING((U120/$H120),1)*$H120),"")</f>
        <v>67.319999999999993</v>
      </c>
      <c r="W120" s="53">
        <f>IFERROR(IF(V120=0,"",ROUNDUP(V120/H120,0)*0.00753),"")</f>
        <v>0.25602000000000003</v>
      </c>
      <c r="X120" s="54" t="s">
        <v>6</v>
      </c>
      <c r="Y120" s="55" t="s">
        <v>6</v>
      </c>
      <c r="AC120" s="56" t="s">
        <v>1</v>
      </c>
    </row>
    <row r="121" spans="1:29" ht="16.5" customHeight="1" x14ac:dyDescent="0.25">
      <c r="A121" s="44" t="s">
        <v>215</v>
      </c>
      <c r="B121" s="44" t="s">
        <v>216</v>
      </c>
      <c r="C121" s="45">
        <v>4301051358</v>
      </c>
      <c r="D121" s="95">
        <v>4607091385748</v>
      </c>
      <c r="E121" s="95"/>
      <c r="F121" s="46">
        <v>0.45</v>
      </c>
      <c r="G121" s="47">
        <v>6</v>
      </c>
      <c r="H121" s="46">
        <v>2.7</v>
      </c>
      <c r="I121" s="46">
        <v>2.972</v>
      </c>
      <c r="J121" s="47">
        <v>156</v>
      </c>
      <c r="K121" s="48" t="s">
        <v>131</v>
      </c>
      <c r="L121" s="47">
        <v>45</v>
      </c>
      <c r="M121" s="1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97"/>
      <c r="O121" s="97"/>
      <c r="P121" s="97"/>
      <c r="Q121" s="98"/>
      <c r="R121" s="49" t="s">
        <v>6</v>
      </c>
      <c r="S121" s="49" t="s">
        <v>6</v>
      </c>
      <c r="T121" s="50" t="s">
        <v>68</v>
      </c>
      <c r="U121" s="51">
        <v>10</v>
      </c>
      <c r="V121" s="52">
        <f>IFERROR(IF(U121="",0,CEILING((U121/$H121),1)*$H121),"")</f>
        <v>10.8</v>
      </c>
      <c r="W121" s="53">
        <f>IFERROR(IF(V121=0,"",ROUNDUP(V121/H121,0)*0.00753),"")</f>
        <v>3.0120000000000001E-2</v>
      </c>
      <c r="X121" s="54" t="s">
        <v>6</v>
      </c>
      <c r="Y121" s="55" t="s">
        <v>6</v>
      </c>
      <c r="AC121" s="56" t="s">
        <v>1</v>
      </c>
    </row>
    <row r="122" spans="1:29" ht="16.5" customHeight="1" x14ac:dyDescent="0.25">
      <c r="A122" s="44" t="s">
        <v>217</v>
      </c>
      <c r="B122" s="44" t="s">
        <v>218</v>
      </c>
      <c r="C122" s="45">
        <v>4301051364</v>
      </c>
      <c r="D122" s="95">
        <v>4607091384581</v>
      </c>
      <c r="E122" s="95"/>
      <c r="F122" s="46">
        <v>0.67</v>
      </c>
      <c r="G122" s="47">
        <v>4</v>
      </c>
      <c r="H122" s="46">
        <v>2.68</v>
      </c>
      <c r="I122" s="46">
        <v>2.9420000000000002</v>
      </c>
      <c r="J122" s="47">
        <v>120</v>
      </c>
      <c r="K122" s="48" t="s">
        <v>131</v>
      </c>
      <c r="L122" s="47">
        <v>45</v>
      </c>
      <c r="M122" s="10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97"/>
      <c r="O122" s="97"/>
      <c r="P122" s="97"/>
      <c r="Q122" s="98"/>
      <c r="R122" s="49" t="s">
        <v>6</v>
      </c>
      <c r="S122" s="49" t="s">
        <v>6</v>
      </c>
      <c r="T122" s="50" t="s">
        <v>68</v>
      </c>
      <c r="U122" s="51">
        <v>0</v>
      </c>
      <c r="V122" s="52">
        <f>IFERROR(IF(U122="",0,CEILING((U122/$H122),1)*$H122),"")</f>
        <v>0</v>
      </c>
      <c r="W122" s="53" t="str">
        <f>IFERROR(IF(V122=0,"",ROUNDUP(V122/H122,0)*0.00937),"")</f>
        <v/>
      </c>
      <c r="X122" s="54" t="s">
        <v>6</v>
      </c>
      <c r="Y122" s="55" t="s">
        <v>6</v>
      </c>
      <c r="AC122" s="56" t="s">
        <v>1</v>
      </c>
    </row>
    <row r="123" spans="1:29" x14ac:dyDescent="0.25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6"/>
      <c r="M123" s="87" t="s">
        <v>69</v>
      </c>
      <c r="N123" s="88"/>
      <c r="O123" s="88"/>
      <c r="P123" s="88"/>
      <c r="Q123" s="88"/>
      <c r="R123" s="88"/>
      <c r="S123" s="89"/>
      <c r="T123" s="57" t="s">
        <v>70</v>
      </c>
      <c r="U123" s="58">
        <f>IFERROR(U119/H119,"0")+IFERROR(U120/H120,"0")+IFERROR(U121/H121,"0")+IFERROR(U122/H122,"0")</f>
        <v>45.443322109988777</v>
      </c>
      <c r="V123" s="58">
        <f>IFERROR(V119/H119,"0")+IFERROR(V120/H120,"0")+IFERROR(V121/H121,"0")+IFERROR(V122/H122,"0")</f>
        <v>46</v>
      </c>
      <c r="W123" s="58">
        <f>IFERROR(IF(W119="",0,W119),"0")+IFERROR(IF(W120="",0,W120),"0")+IFERROR(IF(W121="",0,W121),"0")+IFERROR(IF(W122="",0,W122),"0")</f>
        <v>0.46013999999999999</v>
      </c>
      <c r="X123" s="59"/>
      <c r="Y123" s="59"/>
    </row>
    <row r="124" spans="1:29" x14ac:dyDescent="0.25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6"/>
      <c r="M124" s="87" t="s">
        <v>69</v>
      </c>
      <c r="N124" s="88"/>
      <c r="O124" s="88"/>
      <c r="P124" s="88"/>
      <c r="Q124" s="88"/>
      <c r="R124" s="88"/>
      <c r="S124" s="89"/>
      <c r="T124" s="57" t="s">
        <v>68</v>
      </c>
      <c r="U124" s="58">
        <f>IFERROR(SUM(U119:U122),"0")</f>
        <v>141</v>
      </c>
      <c r="V124" s="58">
        <f>IFERROR(SUM(V119:V122),"0")</f>
        <v>142.92000000000002</v>
      </c>
      <c r="W124" s="57"/>
      <c r="X124" s="59"/>
      <c r="Y124" s="59"/>
    </row>
    <row r="125" spans="1:29" ht="27.75" customHeight="1" x14ac:dyDescent="0.25">
      <c r="A125" s="101" t="s">
        <v>219</v>
      </c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41"/>
      <c r="Y125" s="41"/>
    </row>
    <row r="126" spans="1:29" ht="16.5" customHeight="1" x14ac:dyDescent="0.25">
      <c r="A126" s="99" t="s">
        <v>220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42"/>
      <c r="Y126" s="42"/>
    </row>
    <row r="127" spans="1:29" ht="14.25" customHeight="1" x14ac:dyDescent="0.25">
      <c r="A127" s="94" t="s">
        <v>107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43"/>
      <c r="Y127" s="43"/>
    </row>
    <row r="128" spans="1:29" ht="27" customHeight="1" x14ac:dyDescent="0.25">
      <c r="A128" s="44" t="s">
        <v>221</v>
      </c>
      <c r="B128" s="44" t="s">
        <v>222</v>
      </c>
      <c r="C128" s="45">
        <v>4301011223</v>
      </c>
      <c r="D128" s="95">
        <v>4607091383423</v>
      </c>
      <c r="E128" s="95"/>
      <c r="F128" s="46">
        <v>1.35</v>
      </c>
      <c r="G128" s="47">
        <v>8</v>
      </c>
      <c r="H128" s="46">
        <v>10.8</v>
      </c>
      <c r="I128" s="46">
        <v>11.375999999999999</v>
      </c>
      <c r="J128" s="47">
        <v>56</v>
      </c>
      <c r="K128" s="48" t="s">
        <v>131</v>
      </c>
      <c r="L128" s="47">
        <v>35</v>
      </c>
      <c r="M128" s="1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97"/>
      <c r="O128" s="97"/>
      <c r="P128" s="97"/>
      <c r="Q128" s="98"/>
      <c r="R128" s="49" t="s">
        <v>6</v>
      </c>
      <c r="S128" s="49" t="s">
        <v>6</v>
      </c>
      <c r="T128" s="50" t="s">
        <v>68</v>
      </c>
      <c r="U128" s="51">
        <v>0</v>
      </c>
      <c r="V128" s="52">
        <f>IFERROR(IF(U128="",0,CEILING((U128/$H128),1)*$H128),"")</f>
        <v>0</v>
      </c>
      <c r="W128" s="53" t="str">
        <f>IFERROR(IF(V128=0,"",ROUNDUP(V128/H128,0)*0.02175),"")</f>
        <v/>
      </c>
      <c r="X128" s="54" t="s">
        <v>6</v>
      </c>
      <c r="Y128" s="55" t="s">
        <v>6</v>
      </c>
      <c r="AC128" s="56" t="s">
        <v>1</v>
      </c>
    </row>
    <row r="129" spans="1:29" ht="27" customHeight="1" x14ac:dyDescent="0.25">
      <c r="A129" s="44" t="s">
        <v>223</v>
      </c>
      <c r="B129" s="44" t="s">
        <v>224</v>
      </c>
      <c r="C129" s="45">
        <v>4301011338</v>
      </c>
      <c r="D129" s="95">
        <v>4607091381405</v>
      </c>
      <c r="E129" s="95"/>
      <c r="F129" s="46">
        <v>1.35</v>
      </c>
      <c r="G129" s="47">
        <v>8</v>
      </c>
      <c r="H129" s="46">
        <v>10.8</v>
      </c>
      <c r="I129" s="46">
        <v>11.375999999999999</v>
      </c>
      <c r="J129" s="47">
        <v>56</v>
      </c>
      <c r="K129" s="48" t="s">
        <v>66</v>
      </c>
      <c r="L129" s="47">
        <v>35</v>
      </c>
      <c r="M129" s="1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97"/>
      <c r="O129" s="97"/>
      <c r="P129" s="97"/>
      <c r="Q129" s="98"/>
      <c r="R129" s="49" t="s">
        <v>6</v>
      </c>
      <c r="S129" s="49" t="s">
        <v>6</v>
      </c>
      <c r="T129" s="50" t="s">
        <v>68</v>
      </c>
      <c r="U129" s="51">
        <v>0</v>
      </c>
      <c r="V129" s="52">
        <f>IFERROR(IF(U129="",0,CEILING((U129/$H129),1)*$H129),"")</f>
        <v>0</v>
      </c>
      <c r="W129" s="53" t="str">
        <f>IFERROR(IF(V129=0,"",ROUNDUP(V129/H129,0)*0.02175),"")</f>
        <v/>
      </c>
      <c r="X129" s="54" t="s">
        <v>6</v>
      </c>
      <c r="Y129" s="55" t="s">
        <v>6</v>
      </c>
      <c r="AC129" s="56" t="s">
        <v>1</v>
      </c>
    </row>
    <row r="130" spans="1:29" ht="27" customHeight="1" x14ac:dyDescent="0.25">
      <c r="A130" s="44" t="s">
        <v>225</v>
      </c>
      <c r="B130" s="44" t="s">
        <v>226</v>
      </c>
      <c r="C130" s="45">
        <v>4301011333</v>
      </c>
      <c r="D130" s="95">
        <v>4607091386516</v>
      </c>
      <c r="E130" s="95"/>
      <c r="F130" s="46">
        <v>1.4</v>
      </c>
      <c r="G130" s="47">
        <v>8</v>
      </c>
      <c r="H130" s="46">
        <v>11.2</v>
      </c>
      <c r="I130" s="46">
        <v>11.776</v>
      </c>
      <c r="J130" s="47">
        <v>56</v>
      </c>
      <c r="K130" s="48" t="s">
        <v>66</v>
      </c>
      <c r="L130" s="47">
        <v>30</v>
      </c>
      <c r="M130" s="1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97"/>
      <c r="O130" s="97"/>
      <c r="P130" s="97"/>
      <c r="Q130" s="98"/>
      <c r="R130" s="49" t="s">
        <v>6</v>
      </c>
      <c r="S130" s="49" t="s">
        <v>6</v>
      </c>
      <c r="T130" s="50" t="s">
        <v>68</v>
      </c>
      <c r="U130" s="51">
        <v>0</v>
      </c>
      <c r="V130" s="52">
        <f>IFERROR(IF(U130="",0,CEILING((U130/$H130),1)*$H130),"")</f>
        <v>0</v>
      </c>
      <c r="W130" s="53" t="str">
        <f>IFERROR(IF(V130=0,"",ROUNDUP(V130/H130,0)*0.02175),"")</f>
        <v/>
      </c>
      <c r="X130" s="54" t="s">
        <v>6</v>
      </c>
      <c r="Y130" s="55" t="s">
        <v>6</v>
      </c>
      <c r="AC130" s="56" t="s">
        <v>1</v>
      </c>
    </row>
    <row r="131" spans="1:29" x14ac:dyDescent="0.2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6"/>
      <c r="M131" s="87" t="s">
        <v>69</v>
      </c>
      <c r="N131" s="88"/>
      <c r="O131" s="88"/>
      <c r="P131" s="88"/>
      <c r="Q131" s="88"/>
      <c r="R131" s="88"/>
      <c r="S131" s="89"/>
      <c r="T131" s="57" t="s">
        <v>70</v>
      </c>
      <c r="U131" s="58">
        <f>IFERROR(U128/H128,"0")+IFERROR(U129/H129,"0")+IFERROR(U130/H130,"0")</f>
        <v>0</v>
      </c>
      <c r="V131" s="58">
        <f>IFERROR(V128/H128,"0")+IFERROR(V129/H129,"0")+IFERROR(V130/H130,"0")</f>
        <v>0</v>
      </c>
      <c r="W131" s="58">
        <f>IFERROR(IF(W128="",0,W128),"0")+IFERROR(IF(W129="",0,W129),"0")+IFERROR(IF(W130="",0,W130),"0")</f>
        <v>0</v>
      </c>
      <c r="X131" s="59"/>
      <c r="Y131" s="59"/>
    </row>
    <row r="132" spans="1:29" x14ac:dyDescent="0.2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6"/>
      <c r="M132" s="87" t="s">
        <v>69</v>
      </c>
      <c r="N132" s="88"/>
      <c r="O132" s="88"/>
      <c r="P132" s="88"/>
      <c r="Q132" s="88"/>
      <c r="R132" s="88"/>
      <c r="S132" s="89"/>
      <c r="T132" s="57" t="s">
        <v>68</v>
      </c>
      <c r="U132" s="58">
        <f>IFERROR(SUM(U128:U130),"0")</f>
        <v>0</v>
      </c>
      <c r="V132" s="58">
        <f>IFERROR(SUM(V128:V130),"0")</f>
        <v>0</v>
      </c>
      <c r="W132" s="57"/>
      <c r="X132" s="59"/>
      <c r="Y132" s="59"/>
    </row>
    <row r="133" spans="1:29" ht="16.5" customHeight="1" x14ac:dyDescent="0.25">
      <c r="A133" s="99" t="s">
        <v>227</v>
      </c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42"/>
      <c r="Y133" s="42"/>
    </row>
    <row r="134" spans="1:29" ht="14.25" customHeight="1" x14ac:dyDescent="0.25">
      <c r="A134" s="94" t="s">
        <v>107</v>
      </c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43"/>
      <c r="Y134" s="43"/>
    </row>
    <row r="135" spans="1:29" ht="27" customHeight="1" x14ac:dyDescent="0.25">
      <c r="A135" s="44" t="s">
        <v>228</v>
      </c>
      <c r="B135" s="44" t="s">
        <v>229</v>
      </c>
      <c r="C135" s="45">
        <v>4301011346</v>
      </c>
      <c r="D135" s="95">
        <v>4607091387445</v>
      </c>
      <c r="E135" s="95"/>
      <c r="F135" s="46">
        <v>0.9</v>
      </c>
      <c r="G135" s="47">
        <v>10</v>
      </c>
      <c r="H135" s="46">
        <v>9</v>
      </c>
      <c r="I135" s="46">
        <v>9.6300000000000008</v>
      </c>
      <c r="J135" s="47">
        <v>56</v>
      </c>
      <c r="K135" s="48" t="s">
        <v>105</v>
      </c>
      <c r="L135" s="47">
        <v>31</v>
      </c>
      <c r="M135" s="1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97"/>
      <c r="O135" s="97"/>
      <c r="P135" s="97"/>
      <c r="Q135" s="98"/>
      <c r="R135" s="49" t="s">
        <v>6</v>
      </c>
      <c r="S135" s="49" t="s">
        <v>6</v>
      </c>
      <c r="T135" s="50" t="s">
        <v>68</v>
      </c>
      <c r="U135" s="51">
        <v>0</v>
      </c>
      <c r="V135" s="52">
        <f t="shared" ref="V135:V150" si="6">IFERROR(IF(U135="",0,CEILING((U135/$H135),1)*$H135),"")</f>
        <v>0</v>
      </c>
      <c r="W135" s="53" t="str">
        <f>IFERROR(IF(V135=0,"",ROUNDUP(V135/H135,0)*0.02175),"")</f>
        <v/>
      </c>
      <c r="X135" s="54" t="s">
        <v>6</v>
      </c>
      <c r="Y135" s="55" t="s">
        <v>6</v>
      </c>
      <c r="AC135" s="56" t="s">
        <v>1</v>
      </c>
    </row>
    <row r="136" spans="1:29" ht="27" customHeight="1" x14ac:dyDescent="0.25">
      <c r="A136" s="44" t="s">
        <v>230</v>
      </c>
      <c r="B136" s="44" t="s">
        <v>231</v>
      </c>
      <c r="C136" s="45">
        <v>4301011362</v>
      </c>
      <c r="D136" s="95">
        <v>4607091386004</v>
      </c>
      <c r="E136" s="95"/>
      <c r="F136" s="46">
        <v>1.35</v>
      </c>
      <c r="G136" s="47">
        <v>8</v>
      </c>
      <c r="H136" s="46">
        <v>10.8</v>
      </c>
      <c r="I136" s="46">
        <v>11.28</v>
      </c>
      <c r="J136" s="47">
        <v>48</v>
      </c>
      <c r="K136" s="48" t="s">
        <v>232</v>
      </c>
      <c r="L136" s="47">
        <v>55</v>
      </c>
      <c r="M136" s="1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97"/>
      <c r="O136" s="97"/>
      <c r="P136" s="97"/>
      <c r="Q136" s="98"/>
      <c r="R136" s="49" t="s">
        <v>6</v>
      </c>
      <c r="S136" s="49" t="s">
        <v>6</v>
      </c>
      <c r="T136" s="50" t="s">
        <v>68</v>
      </c>
      <c r="U136" s="51">
        <v>0</v>
      </c>
      <c r="V136" s="52">
        <f t="shared" si="6"/>
        <v>0</v>
      </c>
      <c r="W136" s="53" t="str">
        <f>IFERROR(IF(V136=0,"",ROUNDUP(V136/H136,0)*0.02039),"")</f>
        <v/>
      </c>
      <c r="X136" s="54" t="s">
        <v>6</v>
      </c>
      <c r="Y136" s="55" t="s">
        <v>6</v>
      </c>
      <c r="AC136" s="56" t="s">
        <v>1</v>
      </c>
    </row>
    <row r="137" spans="1:29" ht="27" customHeight="1" x14ac:dyDescent="0.25">
      <c r="A137" s="44" t="s">
        <v>230</v>
      </c>
      <c r="B137" s="44" t="s">
        <v>233</v>
      </c>
      <c r="C137" s="45">
        <v>4301011308</v>
      </c>
      <c r="D137" s="95">
        <v>4607091386004</v>
      </c>
      <c r="E137" s="95"/>
      <c r="F137" s="46">
        <v>1.35</v>
      </c>
      <c r="G137" s="47">
        <v>8</v>
      </c>
      <c r="H137" s="46">
        <v>10.8</v>
      </c>
      <c r="I137" s="46">
        <v>11.28</v>
      </c>
      <c r="J137" s="47">
        <v>56</v>
      </c>
      <c r="K137" s="48" t="s">
        <v>105</v>
      </c>
      <c r="L137" s="47">
        <v>55</v>
      </c>
      <c r="M137" s="10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97"/>
      <c r="O137" s="97"/>
      <c r="P137" s="97"/>
      <c r="Q137" s="98"/>
      <c r="R137" s="49" t="s">
        <v>6</v>
      </c>
      <c r="S137" s="49" t="s">
        <v>6</v>
      </c>
      <c r="T137" s="50" t="s">
        <v>68</v>
      </c>
      <c r="U137" s="51">
        <v>0</v>
      </c>
      <c r="V137" s="52">
        <f t="shared" si="6"/>
        <v>0</v>
      </c>
      <c r="W137" s="53" t="str">
        <f>IFERROR(IF(V137=0,"",ROUNDUP(V137/H137,0)*0.02175),"")</f>
        <v/>
      </c>
      <c r="X137" s="54" t="s">
        <v>6</v>
      </c>
      <c r="Y137" s="55" t="s">
        <v>6</v>
      </c>
      <c r="AC137" s="56" t="s">
        <v>1</v>
      </c>
    </row>
    <row r="138" spans="1:29" ht="27" customHeight="1" x14ac:dyDescent="0.25">
      <c r="A138" s="44" t="s">
        <v>234</v>
      </c>
      <c r="B138" s="44" t="s">
        <v>235</v>
      </c>
      <c r="C138" s="45">
        <v>4301011347</v>
      </c>
      <c r="D138" s="95">
        <v>4607091386073</v>
      </c>
      <c r="E138" s="95"/>
      <c r="F138" s="46">
        <v>0.9</v>
      </c>
      <c r="G138" s="47">
        <v>10</v>
      </c>
      <c r="H138" s="46">
        <v>9</v>
      </c>
      <c r="I138" s="46">
        <v>9.6300000000000008</v>
      </c>
      <c r="J138" s="47">
        <v>56</v>
      </c>
      <c r="K138" s="48" t="s">
        <v>105</v>
      </c>
      <c r="L138" s="47">
        <v>31</v>
      </c>
      <c r="M138" s="1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97"/>
      <c r="O138" s="97"/>
      <c r="P138" s="97"/>
      <c r="Q138" s="98"/>
      <c r="R138" s="49" t="s">
        <v>6</v>
      </c>
      <c r="S138" s="49" t="s">
        <v>6</v>
      </c>
      <c r="T138" s="50" t="s">
        <v>68</v>
      </c>
      <c r="U138" s="51">
        <v>0</v>
      </c>
      <c r="V138" s="52">
        <f t="shared" si="6"/>
        <v>0</v>
      </c>
      <c r="W138" s="53" t="str">
        <f>IFERROR(IF(V138=0,"",ROUNDUP(V138/H138,0)*0.02175),"")</f>
        <v/>
      </c>
      <c r="X138" s="54" t="s">
        <v>6</v>
      </c>
      <c r="Y138" s="55" t="s">
        <v>6</v>
      </c>
      <c r="AC138" s="56" t="s">
        <v>1</v>
      </c>
    </row>
    <row r="139" spans="1:29" ht="27" customHeight="1" x14ac:dyDescent="0.25">
      <c r="A139" s="44" t="s">
        <v>236</v>
      </c>
      <c r="B139" s="44" t="s">
        <v>237</v>
      </c>
      <c r="C139" s="45">
        <v>4301011395</v>
      </c>
      <c r="D139" s="95">
        <v>4607091387322</v>
      </c>
      <c r="E139" s="95"/>
      <c r="F139" s="46">
        <v>1.35</v>
      </c>
      <c r="G139" s="47">
        <v>8</v>
      </c>
      <c r="H139" s="46">
        <v>10.8</v>
      </c>
      <c r="I139" s="46">
        <v>11.28</v>
      </c>
      <c r="J139" s="47">
        <v>48</v>
      </c>
      <c r="K139" s="48" t="s">
        <v>232</v>
      </c>
      <c r="L139" s="47">
        <v>55</v>
      </c>
      <c r="M139" s="1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97"/>
      <c r="O139" s="97"/>
      <c r="P139" s="97"/>
      <c r="Q139" s="98"/>
      <c r="R139" s="49" t="s">
        <v>6</v>
      </c>
      <c r="S139" s="49" t="s">
        <v>6</v>
      </c>
      <c r="T139" s="50" t="s">
        <v>68</v>
      </c>
      <c r="U139" s="51">
        <v>0</v>
      </c>
      <c r="V139" s="52">
        <f t="shared" si="6"/>
        <v>0</v>
      </c>
      <c r="W139" s="53" t="str">
        <f>IFERROR(IF(V139=0,"",ROUNDUP(V139/H139,0)*0.02039),"")</f>
        <v/>
      </c>
      <c r="X139" s="54" t="s">
        <v>6</v>
      </c>
      <c r="Y139" s="55" t="s">
        <v>6</v>
      </c>
      <c r="AC139" s="56" t="s">
        <v>1</v>
      </c>
    </row>
    <row r="140" spans="1:29" ht="27" customHeight="1" x14ac:dyDescent="0.25">
      <c r="A140" s="44" t="s">
        <v>236</v>
      </c>
      <c r="B140" s="44" t="s">
        <v>238</v>
      </c>
      <c r="C140" s="45">
        <v>4301010928</v>
      </c>
      <c r="D140" s="95">
        <v>4607091387322</v>
      </c>
      <c r="E140" s="95"/>
      <c r="F140" s="46">
        <v>1.35</v>
      </c>
      <c r="G140" s="47">
        <v>8</v>
      </c>
      <c r="H140" s="46">
        <v>10.8</v>
      </c>
      <c r="I140" s="46">
        <v>11.28</v>
      </c>
      <c r="J140" s="47">
        <v>56</v>
      </c>
      <c r="K140" s="48" t="s">
        <v>105</v>
      </c>
      <c r="L140" s="47">
        <v>55</v>
      </c>
      <c r="M140" s="1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97"/>
      <c r="O140" s="97"/>
      <c r="P140" s="97"/>
      <c r="Q140" s="98"/>
      <c r="R140" s="49" t="s">
        <v>6</v>
      </c>
      <c r="S140" s="49" t="s">
        <v>6</v>
      </c>
      <c r="T140" s="50" t="s">
        <v>68</v>
      </c>
      <c r="U140" s="51">
        <v>0</v>
      </c>
      <c r="V140" s="52">
        <f t="shared" si="6"/>
        <v>0</v>
      </c>
      <c r="W140" s="53" t="str">
        <f>IFERROR(IF(V140=0,"",ROUNDUP(V140/H140,0)*0.02175),"")</f>
        <v/>
      </c>
      <c r="X140" s="54" t="s">
        <v>6</v>
      </c>
      <c r="Y140" s="55" t="s">
        <v>6</v>
      </c>
      <c r="AC140" s="56" t="s">
        <v>1</v>
      </c>
    </row>
    <row r="141" spans="1:29" ht="27" customHeight="1" x14ac:dyDescent="0.25">
      <c r="A141" s="44" t="s">
        <v>239</v>
      </c>
      <c r="B141" s="44" t="s">
        <v>240</v>
      </c>
      <c r="C141" s="45">
        <v>4301011311</v>
      </c>
      <c r="D141" s="95">
        <v>4607091387377</v>
      </c>
      <c r="E141" s="95"/>
      <c r="F141" s="46">
        <v>1.35</v>
      </c>
      <c r="G141" s="47">
        <v>8</v>
      </c>
      <c r="H141" s="46">
        <v>10.8</v>
      </c>
      <c r="I141" s="46">
        <v>11.28</v>
      </c>
      <c r="J141" s="47">
        <v>56</v>
      </c>
      <c r="K141" s="48" t="s">
        <v>105</v>
      </c>
      <c r="L141" s="47">
        <v>55</v>
      </c>
      <c r="M141" s="1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97"/>
      <c r="O141" s="97"/>
      <c r="P141" s="97"/>
      <c r="Q141" s="98"/>
      <c r="R141" s="49" t="s">
        <v>6</v>
      </c>
      <c r="S141" s="49" t="s">
        <v>6</v>
      </c>
      <c r="T141" s="50" t="s">
        <v>68</v>
      </c>
      <c r="U141" s="51">
        <v>0</v>
      </c>
      <c r="V141" s="52">
        <f t="shared" si="6"/>
        <v>0</v>
      </c>
      <c r="W141" s="53" t="str">
        <f>IFERROR(IF(V141=0,"",ROUNDUP(V141/H141,0)*0.02175),"")</f>
        <v/>
      </c>
      <c r="X141" s="54" t="s">
        <v>6</v>
      </c>
      <c r="Y141" s="55" t="s">
        <v>6</v>
      </c>
      <c r="AC141" s="56" t="s">
        <v>1</v>
      </c>
    </row>
    <row r="142" spans="1:29" ht="16.5" customHeight="1" x14ac:dyDescent="0.25">
      <c r="A142" s="44" t="s">
        <v>241</v>
      </c>
      <c r="B142" s="44" t="s">
        <v>242</v>
      </c>
      <c r="C142" s="45">
        <v>4301011450</v>
      </c>
      <c r="D142" s="95">
        <v>4680115881402</v>
      </c>
      <c r="E142" s="95"/>
      <c r="F142" s="46">
        <v>1.35</v>
      </c>
      <c r="G142" s="47">
        <v>8</v>
      </c>
      <c r="H142" s="46">
        <v>10.8</v>
      </c>
      <c r="I142" s="46">
        <v>11.28</v>
      </c>
      <c r="J142" s="47">
        <v>56</v>
      </c>
      <c r="K142" s="48" t="s">
        <v>105</v>
      </c>
      <c r="L142" s="47">
        <v>55</v>
      </c>
      <c r="M142" s="96" t="s">
        <v>243</v>
      </c>
      <c r="N142" s="97"/>
      <c r="O142" s="97"/>
      <c r="P142" s="97"/>
      <c r="Q142" s="98"/>
      <c r="R142" s="49" t="s">
        <v>6</v>
      </c>
      <c r="S142" s="49" t="s">
        <v>6</v>
      </c>
      <c r="T142" s="50" t="s">
        <v>68</v>
      </c>
      <c r="U142" s="51">
        <v>0</v>
      </c>
      <c r="V142" s="52">
        <f t="shared" si="6"/>
        <v>0</v>
      </c>
      <c r="W142" s="53" t="str">
        <f>IFERROR(IF(V142=0,"",ROUNDUP(V142/H142,0)*0.02175),"")</f>
        <v/>
      </c>
      <c r="X142" s="54" t="s">
        <v>6</v>
      </c>
      <c r="Y142" s="55" t="s">
        <v>6</v>
      </c>
      <c r="AC142" s="56" t="s">
        <v>1</v>
      </c>
    </row>
    <row r="143" spans="1:29" ht="27" customHeight="1" x14ac:dyDescent="0.25">
      <c r="A143" s="44" t="s">
        <v>244</v>
      </c>
      <c r="B143" s="44" t="s">
        <v>245</v>
      </c>
      <c r="C143" s="45">
        <v>4301010945</v>
      </c>
      <c r="D143" s="95">
        <v>4607091387353</v>
      </c>
      <c r="E143" s="95"/>
      <c r="F143" s="46">
        <v>1.35</v>
      </c>
      <c r="G143" s="47">
        <v>8</v>
      </c>
      <c r="H143" s="46">
        <v>10.8</v>
      </c>
      <c r="I143" s="46">
        <v>11.28</v>
      </c>
      <c r="J143" s="47">
        <v>56</v>
      </c>
      <c r="K143" s="48" t="s">
        <v>105</v>
      </c>
      <c r="L143" s="47">
        <v>55</v>
      </c>
      <c r="M143" s="1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3" s="97"/>
      <c r="O143" s="97"/>
      <c r="P143" s="97"/>
      <c r="Q143" s="98"/>
      <c r="R143" s="49" t="s">
        <v>6</v>
      </c>
      <c r="S143" s="49" t="s">
        <v>6</v>
      </c>
      <c r="T143" s="50" t="s">
        <v>68</v>
      </c>
      <c r="U143" s="51">
        <v>0</v>
      </c>
      <c r="V143" s="52">
        <f t="shared" si="6"/>
        <v>0</v>
      </c>
      <c r="W143" s="53" t="str">
        <f>IFERROR(IF(V143=0,"",ROUNDUP(V143/H143,0)*0.02175),"")</f>
        <v/>
      </c>
      <c r="X143" s="54" t="s">
        <v>6</v>
      </c>
      <c r="Y143" s="55" t="s">
        <v>6</v>
      </c>
      <c r="AC143" s="56" t="s">
        <v>1</v>
      </c>
    </row>
    <row r="144" spans="1:29" ht="27" customHeight="1" x14ac:dyDescent="0.25">
      <c r="A144" s="44" t="s">
        <v>246</v>
      </c>
      <c r="B144" s="44" t="s">
        <v>247</v>
      </c>
      <c r="C144" s="45">
        <v>4301011328</v>
      </c>
      <c r="D144" s="95">
        <v>4607091386011</v>
      </c>
      <c r="E144" s="95"/>
      <c r="F144" s="46">
        <v>0.5</v>
      </c>
      <c r="G144" s="47">
        <v>10</v>
      </c>
      <c r="H144" s="46">
        <v>5</v>
      </c>
      <c r="I144" s="46">
        <v>5.21</v>
      </c>
      <c r="J144" s="47">
        <v>120</v>
      </c>
      <c r="K144" s="48" t="s">
        <v>66</v>
      </c>
      <c r="L144" s="47">
        <v>55</v>
      </c>
      <c r="M144" s="1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4" s="97"/>
      <c r="O144" s="97"/>
      <c r="P144" s="97"/>
      <c r="Q144" s="98"/>
      <c r="R144" s="49" t="s">
        <v>6</v>
      </c>
      <c r="S144" s="49" t="s">
        <v>6</v>
      </c>
      <c r="T144" s="50" t="s">
        <v>68</v>
      </c>
      <c r="U144" s="51">
        <v>0</v>
      </c>
      <c r="V144" s="52">
        <f t="shared" si="6"/>
        <v>0</v>
      </c>
      <c r="W144" s="53" t="str">
        <f>IFERROR(IF(V144=0,"",ROUNDUP(V144/H144,0)*0.00937),"")</f>
        <v/>
      </c>
      <c r="X144" s="54" t="s">
        <v>6</v>
      </c>
      <c r="Y144" s="55" t="s">
        <v>6</v>
      </c>
      <c r="AC144" s="56" t="s">
        <v>1</v>
      </c>
    </row>
    <row r="145" spans="1:29" ht="27" customHeight="1" x14ac:dyDescent="0.25">
      <c r="A145" s="44" t="s">
        <v>248</v>
      </c>
      <c r="B145" s="44" t="s">
        <v>249</v>
      </c>
      <c r="C145" s="45">
        <v>4301011329</v>
      </c>
      <c r="D145" s="95">
        <v>4607091387308</v>
      </c>
      <c r="E145" s="95"/>
      <c r="F145" s="46">
        <v>0.5</v>
      </c>
      <c r="G145" s="47">
        <v>10</v>
      </c>
      <c r="H145" s="46">
        <v>5</v>
      </c>
      <c r="I145" s="46">
        <v>5.21</v>
      </c>
      <c r="J145" s="47">
        <v>120</v>
      </c>
      <c r="K145" s="48" t="s">
        <v>66</v>
      </c>
      <c r="L145" s="47">
        <v>55</v>
      </c>
      <c r="M145" s="1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5" s="97"/>
      <c r="O145" s="97"/>
      <c r="P145" s="97"/>
      <c r="Q145" s="98"/>
      <c r="R145" s="49" t="s">
        <v>6</v>
      </c>
      <c r="S145" s="49" t="s">
        <v>6</v>
      </c>
      <c r="T145" s="50" t="s">
        <v>68</v>
      </c>
      <c r="U145" s="51">
        <v>0</v>
      </c>
      <c r="V145" s="52">
        <f t="shared" si="6"/>
        <v>0</v>
      </c>
      <c r="W145" s="53" t="str">
        <f>IFERROR(IF(V145=0,"",ROUNDUP(V145/H145,0)*0.00937),"")</f>
        <v/>
      </c>
      <c r="X145" s="54" t="s">
        <v>6</v>
      </c>
      <c r="Y145" s="55" t="s">
        <v>6</v>
      </c>
      <c r="AC145" s="56" t="s">
        <v>1</v>
      </c>
    </row>
    <row r="146" spans="1:29" ht="27" customHeight="1" x14ac:dyDescent="0.25">
      <c r="A146" s="44" t="s">
        <v>250</v>
      </c>
      <c r="B146" s="44" t="s">
        <v>251</v>
      </c>
      <c r="C146" s="45">
        <v>4301011049</v>
      </c>
      <c r="D146" s="95">
        <v>4607091387339</v>
      </c>
      <c r="E146" s="95"/>
      <c r="F146" s="46">
        <v>0.5</v>
      </c>
      <c r="G146" s="47">
        <v>10</v>
      </c>
      <c r="H146" s="46">
        <v>5</v>
      </c>
      <c r="I146" s="46">
        <v>5.24</v>
      </c>
      <c r="J146" s="47">
        <v>120</v>
      </c>
      <c r="K146" s="48" t="s">
        <v>105</v>
      </c>
      <c r="L146" s="47">
        <v>55</v>
      </c>
      <c r="M146" s="1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6" s="97"/>
      <c r="O146" s="97"/>
      <c r="P146" s="97"/>
      <c r="Q146" s="98"/>
      <c r="R146" s="49" t="s">
        <v>6</v>
      </c>
      <c r="S146" s="49" t="s">
        <v>6</v>
      </c>
      <c r="T146" s="50" t="s">
        <v>68</v>
      </c>
      <c r="U146" s="51">
        <v>0</v>
      </c>
      <c r="V146" s="52">
        <f t="shared" si="6"/>
        <v>0</v>
      </c>
      <c r="W146" s="53" t="str">
        <f>IFERROR(IF(V146=0,"",ROUNDUP(V146/H146,0)*0.00937),"")</f>
        <v/>
      </c>
      <c r="X146" s="54" t="s">
        <v>6</v>
      </c>
      <c r="Y146" s="55" t="s">
        <v>6</v>
      </c>
      <c r="AC146" s="56" t="s">
        <v>1</v>
      </c>
    </row>
    <row r="147" spans="1:29" ht="27" customHeight="1" x14ac:dyDescent="0.25">
      <c r="A147" s="44" t="s">
        <v>252</v>
      </c>
      <c r="B147" s="44" t="s">
        <v>253</v>
      </c>
      <c r="C147" s="45">
        <v>4301011433</v>
      </c>
      <c r="D147" s="95">
        <v>4680115882638</v>
      </c>
      <c r="E147" s="95"/>
      <c r="F147" s="46">
        <v>0.4</v>
      </c>
      <c r="G147" s="47">
        <v>10</v>
      </c>
      <c r="H147" s="46">
        <v>4</v>
      </c>
      <c r="I147" s="46">
        <v>4.24</v>
      </c>
      <c r="J147" s="47">
        <v>120</v>
      </c>
      <c r="K147" s="48" t="s">
        <v>105</v>
      </c>
      <c r="L147" s="47">
        <v>90</v>
      </c>
      <c r="M147" s="96" t="s">
        <v>254</v>
      </c>
      <c r="N147" s="97"/>
      <c r="O147" s="97"/>
      <c r="P147" s="97"/>
      <c r="Q147" s="98"/>
      <c r="R147" s="49" t="s">
        <v>6</v>
      </c>
      <c r="S147" s="49" t="s">
        <v>6</v>
      </c>
      <c r="T147" s="50" t="s">
        <v>68</v>
      </c>
      <c r="U147" s="51">
        <v>0</v>
      </c>
      <c r="V147" s="52">
        <f t="shared" si="6"/>
        <v>0</v>
      </c>
      <c r="W147" s="53" t="str">
        <f>IFERROR(IF(V147=0,"",ROUNDUP(V147/H147,0)*0.00937),"")</f>
        <v/>
      </c>
      <c r="X147" s="54" t="s">
        <v>6</v>
      </c>
      <c r="Y147" s="55" t="s">
        <v>6</v>
      </c>
      <c r="AC147" s="56" t="s">
        <v>1</v>
      </c>
    </row>
    <row r="148" spans="1:29" ht="27" customHeight="1" x14ac:dyDescent="0.25">
      <c r="A148" s="44" t="s">
        <v>255</v>
      </c>
      <c r="B148" s="44" t="s">
        <v>256</v>
      </c>
      <c r="C148" s="45">
        <v>4301011573</v>
      </c>
      <c r="D148" s="95">
        <v>4680115881938</v>
      </c>
      <c r="E148" s="95"/>
      <c r="F148" s="46">
        <v>0.4</v>
      </c>
      <c r="G148" s="47">
        <v>10</v>
      </c>
      <c r="H148" s="46">
        <v>4</v>
      </c>
      <c r="I148" s="46">
        <v>4.24</v>
      </c>
      <c r="J148" s="47">
        <v>120</v>
      </c>
      <c r="K148" s="48" t="s">
        <v>105</v>
      </c>
      <c r="L148" s="47">
        <v>90</v>
      </c>
      <c r="M148" s="96" t="s">
        <v>257</v>
      </c>
      <c r="N148" s="97"/>
      <c r="O148" s="97"/>
      <c r="P148" s="97"/>
      <c r="Q148" s="98"/>
      <c r="R148" s="49" t="s">
        <v>6</v>
      </c>
      <c r="S148" s="49" t="s">
        <v>6</v>
      </c>
      <c r="T148" s="50" t="s">
        <v>68</v>
      </c>
      <c r="U148" s="51">
        <v>0</v>
      </c>
      <c r="V148" s="52">
        <f t="shared" si="6"/>
        <v>0</v>
      </c>
      <c r="W148" s="53" t="str">
        <f>IFERROR(IF(V148=0,"",ROUNDUP(V148/H148,0)*0.00937),"")</f>
        <v/>
      </c>
      <c r="X148" s="54" t="s">
        <v>6</v>
      </c>
      <c r="Y148" s="55" t="s">
        <v>6</v>
      </c>
      <c r="AC148" s="56" t="s">
        <v>1</v>
      </c>
    </row>
    <row r="149" spans="1:29" ht="27" customHeight="1" x14ac:dyDescent="0.25">
      <c r="A149" s="44" t="s">
        <v>258</v>
      </c>
      <c r="B149" s="44" t="s">
        <v>259</v>
      </c>
      <c r="C149" s="45">
        <v>4301011454</v>
      </c>
      <c r="D149" s="95">
        <v>4680115881396</v>
      </c>
      <c r="E149" s="95"/>
      <c r="F149" s="46">
        <v>0.45</v>
      </c>
      <c r="G149" s="47">
        <v>6</v>
      </c>
      <c r="H149" s="46">
        <v>2.7</v>
      </c>
      <c r="I149" s="46">
        <v>2.9</v>
      </c>
      <c r="J149" s="47">
        <v>156</v>
      </c>
      <c r="K149" s="48" t="s">
        <v>66</v>
      </c>
      <c r="L149" s="47">
        <v>55</v>
      </c>
      <c r="M149" s="96" t="s">
        <v>260</v>
      </c>
      <c r="N149" s="97"/>
      <c r="O149" s="97"/>
      <c r="P149" s="97"/>
      <c r="Q149" s="98"/>
      <c r="R149" s="49" t="s">
        <v>6</v>
      </c>
      <c r="S149" s="49" t="s">
        <v>6</v>
      </c>
      <c r="T149" s="50" t="s">
        <v>68</v>
      </c>
      <c r="U149" s="51">
        <v>0</v>
      </c>
      <c r="V149" s="52">
        <f t="shared" si="6"/>
        <v>0</v>
      </c>
      <c r="W149" s="53" t="str">
        <f>IFERROR(IF(V149=0,"",ROUNDUP(V149/H149,0)*0.00753),"")</f>
        <v/>
      </c>
      <c r="X149" s="54" t="s">
        <v>6</v>
      </c>
      <c r="Y149" s="55" t="s">
        <v>6</v>
      </c>
      <c r="AC149" s="56" t="s">
        <v>1</v>
      </c>
    </row>
    <row r="150" spans="1:29" ht="27" customHeight="1" x14ac:dyDescent="0.25">
      <c r="A150" s="44" t="s">
        <v>261</v>
      </c>
      <c r="B150" s="44" t="s">
        <v>262</v>
      </c>
      <c r="C150" s="45">
        <v>4301010944</v>
      </c>
      <c r="D150" s="95">
        <v>4607091387346</v>
      </c>
      <c r="E150" s="95"/>
      <c r="F150" s="46">
        <v>0.4</v>
      </c>
      <c r="G150" s="47">
        <v>10</v>
      </c>
      <c r="H150" s="46">
        <v>4</v>
      </c>
      <c r="I150" s="46">
        <v>4.24</v>
      </c>
      <c r="J150" s="47">
        <v>120</v>
      </c>
      <c r="K150" s="48" t="s">
        <v>105</v>
      </c>
      <c r="L150" s="47">
        <v>55</v>
      </c>
      <c r="M150" s="1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0" s="97"/>
      <c r="O150" s="97"/>
      <c r="P150" s="97"/>
      <c r="Q150" s="98"/>
      <c r="R150" s="49" t="s">
        <v>6</v>
      </c>
      <c r="S150" s="49" t="s">
        <v>6</v>
      </c>
      <c r="T150" s="50" t="s">
        <v>68</v>
      </c>
      <c r="U150" s="51">
        <v>0</v>
      </c>
      <c r="V150" s="52">
        <f t="shared" si="6"/>
        <v>0</v>
      </c>
      <c r="W150" s="53" t="str">
        <f>IFERROR(IF(V150=0,"",ROUNDUP(V150/H150,0)*0.00937),"")</f>
        <v/>
      </c>
      <c r="X150" s="54" t="s">
        <v>6</v>
      </c>
      <c r="Y150" s="55" t="s">
        <v>6</v>
      </c>
      <c r="AC150" s="56" t="s">
        <v>1</v>
      </c>
    </row>
    <row r="151" spans="1:29" x14ac:dyDescent="0.2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6"/>
      <c r="M151" s="87" t="s">
        <v>69</v>
      </c>
      <c r="N151" s="88"/>
      <c r="O151" s="88"/>
      <c r="P151" s="88"/>
      <c r="Q151" s="88"/>
      <c r="R151" s="88"/>
      <c r="S151" s="89"/>
      <c r="T151" s="57" t="s">
        <v>70</v>
      </c>
      <c r="U151" s="58">
        <f>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58">
        <f>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58">
        <f>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59"/>
      <c r="Y151" s="59"/>
    </row>
    <row r="152" spans="1:29" x14ac:dyDescent="0.2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6"/>
      <c r="M152" s="87" t="s">
        <v>69</v>
      </c>
      <c r="N152" s="88"/>
      <c r="O152" s="88"/>
      <c r="P152" s="88"/>
      <c r="Q152" s="88"/>
      <c r="R152" s="88"/>
      <c r="S152" s="89"/>
      <c r="T152" s="57" t="s">
        <v>68</v>
      </c>
      <c r="U152" s="58">
        <f>IFERROR(SUM(U135:U150),"0")</f>
        <v>0</v>
      </c>
      <c r="V152" s="58">
        <f>IFERROR(SUM(V135:V150),"0")</f>
        <v>0</v>
      </c>
      <c r="W152" s="57"/>
      <c r="X152" s="59"/>
      <c r="Y152" s="59"/>
    </row>
    <row r="153" spans="1:29" ht="14.25" customHeight="1" x14ac:dyDescent="0.25">
      <c r="A153" s="94" t="s">
        <v>102</v>
      </c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43"/>
      <c r="Y153" s="43"/>
    </row>
    <row r="154" spans="1:29" ht="16.5" customHeight="1" x14ac:dyDescent="0.25">
      <c r="A154" s="44" t="s">
        <v>263</v>
      </c>
      <c r="B154" s="44" t="s">
        <v>264</v>
      </c>
      <c r="C154" s="45">
        <v>4301020262</v>
      </c>
      <c r="D154" s="95">
        <v>4680115882935</v>
      </c>
      <c r="E154" s="95"/>
      <c r="F154" s="46">
        <v>1.35</v>
      </c>
      <c r="G154" s="47">
        <v>8</v>
      </c>
      <c r="H154" s="46">
        <v>10.8</v>
      </c>
      <c r="I154" s="46">
        <v>11.28</v>
      </c>
      <c r="J154" s="47">
        <v>56</v>
      </c>
      <c r="K154" s="48" t="s">
        <v>131</v>
      </c>
      <c r="L154" s="47">
        <v>50</v>
      </c>
      <c r="M154" s="96" t="s">
        <v>265</v>
      </c>
      <c r="N154" s="97"/>
      <c r="O154" s="97"/>
      <c r="P154" s="97"/>
      <c r="Q154" s="98"/>
      <c r="R154" s="49" t="s">
        <v>6</v>
      </c>
      <c r="S154" s="49" t="s">
        <v>6</v>
      </c>
      <c r="T154" s="50" t="s">
        <v>68</v>
      </c>
      <c r="U154" s="51">
        <v>0</v>
      </c>
      <c r="V154" s="52">
        <f>IFERROR(IF(U154="",0,CEILING((U154/$H154),1)*$H154),"")</f>
        <v>0</v>
      </c>
      <c r="W154" s="53" t="str">
        <f>IFERROR(IF(V154=0,"",ROUNDUP(V154/H154,0)*0.02175),"")</f>
        <v/>
      </c>
      <c r="X154" s="54" t="s">
        <v>6</v>
      </c>
      <c r="Y154" s="55" t="s">
        <v>266</v>
      </c>
      <c r="AC154" s="56" t="s">
        <v>1</v>
      </c>
    </row>
    <row r="155" spans="1:29" ht="27" customHeight="1" x14ac:dyDescent="0.25">
      <c r="A155" s="44" t="s">
        <v>267</v>
      </c>
      <c r="B155" s="44" t="s">
        <v>268</v>
      </c>
      <c r="C155" s="45">
        <v>4301020254</v>
      </c>
      <c r="D155" s="95">
        <v>4680115881914</v>
      </c>
      <c r="E155" s="95"/>
      <c r="F155" s="46">
        <v>0.4</v>
      </c>
      <c r="G155" s="47">
        <v>10</v>
      </c>
      <c r="H155" s="46">
        <v>4</v>
      </c>
      <c r="I155" s="46">
        <v>4.24</v>
      </c>
      <c r="J155" s="47">
        <v>120</v>
      </c>
      <c r="K155" s="48" t="s">
        <v>105</v>
      </c>
      <c r="L155" s="47">
        <v>90</v>
      </c>
      <c r="M155" s="96" t="s">
        <v>269</v>
      </c>
      <c r="N155" s="97"/>
      <c r="O155" s="97"/>
      <c r="P155" s="97"/>
      <c r="Q155" s="98"/>
      <c r="R155" s="49" t="s">
        <v>6</v>
      </c>
      <c r="S155" s="49" t="s">
        <v>6</v>
      </c>
      <c r="T155" s="50" t="s">
        <v>68</v>
      </c>
      <c r="U155" s="51">
        <v>0</v>
      </c>
      <c r="V155" s="52">
        <f>IFERROR(IF(U155="",0,CEILING((U155/$H155),1)*$H155),"")</f>
        <v>0</v>
      </c>
      <c r="W155" s="53" t="str">
        <f>IFERROR(IF(V155=0,"",ROUNDUP(V155/H155,0)*0.00937),"")</f>
        <v/>
      </c>
      <c r="X155" s="54" t="s">
        <v>6</v>
      </c>
      <c r="Y155" s="55" t="s">
        <v>6</v>
      </c>
      <c r="AC155" s="56" t="s">
        <v>1</v>
      </c>
    </row>
    <row r="156" spans="1:29" ht="16.5" customHeight="1" x14ac:dyDescent="0.25">
      <c r="A156" s="44" t="s">
        <v>270</v>
      </c>
      <c r="B156" s="44" t="s">
        <v>271</v>
      </c>
      <c r="C156" s="45">
        <v>4301020220</v>
      </c>
      <c r="D156" s="95">
        <v>4680115880764</v>
      </c>
      <c r="E156" s="95"/>
      <c r="F156" s="46">
        <v>0.35</v>
      </c>
      <c r="G156" s="47">
        <v>6</v>
      </c>
      <c r="H156" s="46">
        <v>2.1</v>
      </c>
      <c r="I156" s="46">
        <v>2.2999999999999998</v>
      </c>
      <c r="J156" s="47">
        <v>156</v>
      </c>
      <c r="K156" s="48" t="s">
        <v>105</v>
      </c>
      <c r="L156" s="47">
        <v>50</v>
      </c>
      <c r="M156" s="96" t="s">
        <v>272</v>
      </c>
      <c r="N156" s="97"/>
      <c r="O156" s="97"/>
      <c r="P156" s="97"/>
      <c r="Q156" s="98"/>
      <c r="R156" s="49" t="s">
        <v>6</v>
      </c>
      <c r="S156" s="49" t="s">
        <v>6</v>
      </c>
      <c r="T156" s="50" t="s">
        <v>68</v>
      </c>
      <c r="U156" s="51">
        <v>0</v>
      </c>
      <c r="V156" s="52">
        <f>IFERROR(IF(U156="",0,CEILING((U156/$H156),1)*$H156),"")</f>
        <v>0</v>
      </c>
      <c r="W156" s="53" t="str">
        <f>IFERROR(IF(V156=0,"",ROUNDUP(V156/H156,0)*0.00753),"")</f>
        <v/>
      </c>
      <c r="X156" s="54" t="s">
        <v>6</v>
      </c>
      <c r="Y156" s="55" t="s">
        <v>6</v>
      </c>
      <c r="AC156" s="56" t="s">
        <v>1</v>
      </c>
    </row>
    <row r="157" spans="1:29" x14ac:dyDescent="0.2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6"/>
      <c r="M157" s="87" t="s">
        <v>69</v>
      </c>
      <c r="N157" s="88"/>
      <c r="O157" s="88"/>
      <c r="P157" s="88"/>
      <c r="Q157" s="88"/>
      <c r="R157" s="88"/>
      <c r="S157" s="89"/>
      <c r="T157" s="57" t="s">
        <v>70</v>
      </c>
      <c r="U157" s="58">
        <f>IFERROR(U154/H154,"0")+IFERROR(U155/H155,"0")+IFERROR(U156/H156,"0")</f>
        <v>0</v>
      </c>
      <c r="V157" s="58">
        <f>IFERROR(V154/H154,"0")+IFERROR(V155/H155,"0")+IFERROR(V156/H156,"0")</f>
        <v>0</v>
      </c>
      <c r="W157" s="58">
        <f>IFERROR(IF(W154="",0,W154),"0")+IFERROR(IF(W155="",0,W155),"0")+IFERROR(IF(W156="",0,W156),"0")</f>
        <v>0</v>
      </c>
      <c r="X157" s="59"/>
      <c r="Y157" s="59"/>
    </row>
    <row r="158" spans="1:29" x14ac:dyDescent="0.25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6"/>
      <c r="M158" s="87" t="s">
        <v>69</v>
      </c>
      <c r="N158" s="88"/>
      <c r="O158" s="88"/>
      <c r="P158" s="88"/>
      <c r="Q158" s="88"/>
      <c r="R158" s="88"/>
      <c r="S158" s="89"/>
      <c r="T158" s="57" t="s">
        <v>68</v>
      </c>
      <c r="U158" s="58">
        <f>IFERROR(SUM(U154:U156),"0")</f>
        <v>0</v>
      </c>
      <c r="V158" s="58">
        <f>IFERROR(SUM(V154:V156),"0")</f>
        <v>0</v>
      </c>
      <c r="W158" s="57"/>
      <c r="X158" s="59"/>
      <c r="Y158" s="59"/>
    </row>
    <row r="159" spans="1:29" ht="14.25" customHeight="1" x14ac:dyDescent="0.25">
      <c r="A159" s="94" t="s">
        <v>63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43"/>
      <c r="Y159" s="43"/>
    </row>
    <row r="160" spans="1:29" ht="27" customHeight="1" x14ac:dyDescent="0.25">
      <c r="A160" s="44" t="s">
        <v>273</v>
      </c>
      <c r="B160" s="44" t="s">
        <v>274</v>
      </c>
      <c r="C160" s="45">
        <v>4301030878</v>
      </c>
      <c r="D160" s="95">
        <v>4607091387193</v>
      </c>
      <c r="E160" s="95"/>
      <c r="F160" s="46">
        <v>0.7</v>
      </c>
      <c r="G160" s="47">
        <v>6</v>
      </c>
      <c r="H160" s="46">
        <v>4.2</v>
      </c>
      <c r="I160" s="46">
        <v>4.46</v>
      </c>
      <c r="J160" s="47">
        <v>156</v>
      </c>
      <c r="K160" s="48" t="s">
        <v>66</v>
      </c>
      <c r="L160" s="47">
        <v>35</v>
      </c>
      <c r="M160" s="1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0" s="97"/>
      <c r="O160" s="97"/>
      <c r="P160" s="97"/>
      <c r="Q160" s="98"/>
      <c r="R160" s="49" t="s">
        <v>6</v>
      </c>
      <c r="S160" s="49" t="s">
        <v>6</v>
      </c>
      <c r="T160" s="50" t="s">
        <v>68</v>
      </c>
      <c r="U160" s="51">
        <v>54</v>
      </c>
      <c r="V160" s="52">
        <f t="shared" ref="V160:V175" si="7">IFERROR(IF(U160="",0,CEILING((U160/$H160),1)*$H160),"")</f>
        <v>54.6</v>
      </c>
      <c r="W160" s="53">
        <f>IFERROR(IF(V160=0,"",ROUNDUP(V160/H160,0)*0.00753),"")</f>
        <v>9.7890000000000005E-2</v>
      </c>
      <c r="X160" s="54" t="s">
        <v>6</v>
      </c>
      <c r="Y160" s="55" t="s">
        <v>6</v>
      </c>
      <c r="AC160" s="56" t="s">
        <v>1</v>
      </c>
    </row>
    <row r="161" spans="1:29" ht="27" customHeight="1" x14ac:dyDescent="0.25">
      <c r="A161" s="44" t="s">
        <v>275</v>
      </c>
      <c r="B161" s="44" t="s">
        <v>276</v>
      </c>
      <c r="C161" s="45">
        <v>4301031153</v>
      </c>
      <c r="D161" s="95">
        <v>4607091387230</v>
      </c>
      <c r="E161" s="95"/>
      <c r="F161" s="46">
        <v>0.7</v>
      </c>
      <c r="G161" s="47">
        <v>6</v>
      </c>
      <c r="H161" s="46">
        <v>4.2</v>
      </c>
      <c r="I161" s="46">
        <v>4.46</v>
      </c>
      <c r="J161" s="47">
        <v>156</v>
      </c>
      <c r="K161" s="48" t="s">
        <v>66</v>
      </c>
      <c r="L161" s="47">
        <v>40</v>
      </c>
      <c r="M161" s="1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1" s="97"/>
      <c r="O161" s="97"/>
      <c r="P161" s="97"/>
      <c r="Q161" s="98"/>
      <c r="R161" s="49" t="s">
        <v>6</v>
      </c>
      <c r="S161" s="49" t="s">
        <v>6</v>
      </c>
      <c r="T161" s="50" t="s">
        <v>68</v>
      </c>
      <c r="U161" s="51">
        <v>21</v>
      </c>
      <c r="V161" s="52">
        <f t="shared" si="7"/>
        <v>21</v>
      </c>
      <c r="W161" s="53">
        <f>IFERROR(IF(V161=0,"",ROUNDUP(V161/H161,0)*0.00753),"")</f>
        <v>3.7650000000000003E-2</v>
      </c>
      <c r="X161" s="54" t="s">
        <v>6</v>
      </c>
      <c r="Y161" s="55" t="s">
        <v>6</v>
      </c>
      <c r="AC161" s="56" t="s">
        <v>1</v>
      </c>
    </row>
    <row r="162" spans="1:29" ht="27" customHeight="1" x14ac:dyDescent="0.25">
      <c r="A162" s="44" t="s">
        <v>277</v>
      </c>
      <c r="B162" s="44" t="s">
        <v>278</v>
      </c>
      <c r="C162" s="45">
        <v>4301031191</v>
      </c>
      <c r="D162" s="95">
        <v>4680115880993</v>
      </c>
      <c r="E162" s="95"/>
      <c r="F162" s="46">
        <v>0.7</v>
      </c>
      <c r="G162" s="47">
        <v>6</v>
      </c>
      <c r="H162" s="46">
        <v>4.2</v>
      </c>
      <c r="I162" s="46">
        <v>4.46</v>
      </c>
      <c r="J162" s="47">
        <v>156</v>
      </c>
      <c r="K162" s="48" t="s">
        <v>66</v>
      </c>
      <c r="L162" s="47">
        <v>40</v>
      </c>
      <c r="M162" s="10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2" s="97"/>
      <c r="O162" s="97"/>
      <c r="P162" s="97"/>
      <c r="Q162" s="98"/>
      <c r="R162" s="49" t="s">
        <v>6</v>
      </c>
      <c r="S162" s="49" t="s">
        <v>6</v>
      </c>
      <c r="T162" s="50" t="s">
        <v>68</v>
      </c>
      <c r="U162" s="51">
        <v>0</v>
      </c>
      <c r="V162" s="52">
        <f t="shared" si="7"/>
        <v>0</v>
      </c>
      <c r="W162" s="53" t="str">
        <f>IFERROR(IF(V162=0,"",ROUNDUP(V162/H162,0)*0.00753),"")</f>
        <v/>
      </c>
      <c r="X162" s="54" t="s">
        <v>6</v>
      </c>
      <c r="Y162" s="55" t="s">
        <v>6</v>
      </c>
      <c r="AC162" s="56" t="s">
        <v>1</v>
      </c>
    </row>
    <row r="163" spans="1:29" ht="27" customHeight="1" x14ac:dyDescent="0.25">
      <c r="A163" s="44" t="s">
        <v>279</v>
      </c>
      <c r="B163" s="44" t="s">
        <v>280</v>
      </c>
      <c r="C163" s="45">
        <v>4301031204</v>
      </c>
      <c r="D163" s="95">
        <v>4680115881761</v>
      </c>
      <c r="E163" s="95"/>
      <c r="F163" s="46">
        <v>0.7</v>
      </c>
      <c r="G163" s="47">
        <v>6</v>
      </c>
      <c r="H163" s="46">
        <v>4.2</v>
      </c>
      <c r="I163" s="46">
        <v>4.46</v>
      </c>
      <c r="J163" s="47">
        <v>156</v>
      </c>
      <c r="K163" s="48" t="s">
        <v>66</v>
      </c>
      <c r="L163" s="47">
        <v>40</v>
      </c>
      <c r="M163" s="96" t="s">
        <v>281</v>
      </c>
      <c r="N163" s="97"/>
      <c r="O163" s="97"/>
      <c r="P163" s="97"/>
      <c r="Q163" s="98"/>
      <c r="R163" s="49" t="s">
        <v>6</v>
      </c>
      <c r="S163" s="49" t="s">
        <v>6</v>
      </c>
      <c r="T163" s="50" t="s">
        <v>68</v>
      </c>
      <c r="U163" s="51">
        <v>0</v>
      </c>
      <c r="V163" s="52">
        <f t="shared" si="7"/>
        <v>0</v>
      </c>
      <c r="W163" s="53" t="str">
        <f>IFERROR(IF(V163=0,"",ROUNDUP(V163/H163,0)*0.00753),"")</f>
        <v/>
      </c>
      <c r="X163" s="54" t="s">
        <v>6</v>
      </c>
      <c r="Y163" s="55" t="s">
        <v>6</v>
      </c>
      <c r="AC163" s="56" t="s">
        <v>1</v>
      </c>
    </row>
    <row r="164" spans="1:29" ht="27" customHeight="1" x14ac:dyDescent="0.25">
      <c r="A164" s="44" t="s">
        <v>282</v>
      </c>
      <c r="B164" s="44" t="s">
        <v>283</v>
      </c>
      <c r="C164" s="45">
        <v>4301031201</v>
      </c>
      <c r="D164" s="95">
        <v>4680115881563</v>
      </c>
      <c r="E164" s="95"/>
      <c r="F164" s="46">
        <v>0.7</v>
      </c>
      <c r="G164" s="47">
        <v>6</v>
      </c>
      <c r="H164" s="46">
        <v>4.2</v>
      </c>
      <c r="I164" s="46">
        <v>4.4000000000000004</v>
      </c>
      <c r="J164" s="47">
        <v>156</v>
      </c>
      <c r="K164" s="48" t="s">
        <v>66</v>
      </c>
      <c r="L164" s="47">
        <v>40</v>
      </c>
      <c r="M164" s="10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4" s="97"/>
      <c r="O164" s="97"/>
      <c r="P164" s="97"/>
      <c r="Q164" s="98"/>
      <c r="R164" s="49" t="s">
        <v>6</v>
      </c>
      <c r="S164" s="49" t="s">
        <v>6</v>
      </c>
      <c r="T164" s="50" t="s">
        <v>68</v>
      </c>
      <c r="U164" s="51">
        <v>0</v>
      </c>
      <c r="V164" s="52">
        <f t="shared" si="7"/>
        <v>0</v>
      </c>
      <c r="W164" s="53" t="str">
        <f>IFERROR(IF(V164=0,"",ROUNDUP(V164/H164,0)*0.00753),"")</f>
        <v/>
      </c>
      <c r="X164" s="54" t="s">
        <v>6</v>
      </c>
      <c r="Y164" s="55" t="s">
        <v>6</v>
      </c>
      <c r="AC164" s="56" t="s">
        <v>1</v>
      </c>
    </row>
    <row r="165" spans="1:29" ht="27" customHeight="1" x14ac:dyDescent="0.25">
      <c r="A165" s="44" t="s">
        <v>284</v>
      </c>
      <c r="B165" s="44" t="s">
        <v>285</v>
      </c>
      <c r="C165" s="45">
        <v>4301031224</v>
      </c>
      <c r="D165" s="95">
        <v>4680115882683</v>
      </c>
      <c r="E165" s="95"/>
      <c r="F165" s="46">
        <v>0.9</v>
      </c>
      <c r="G165" s="47">
        <v>6</v>
      </c>
      <c r="H165" s="46">
        <v>5.4</v>
      </c>
      <c r="I165" s="46">
        <v>5.61</v>
      </c>
      <c r="J165" s="47">
        <v>120</v>
      </c>
      <c r="K165" s="48" t="s">
        <v>66</v>
      </c>
      <c r="L165" s="47">
        <v>40</v>
      </c>
      <c r="M165" s="96" t="s">
        <v>286</v>
      </c>
      <c r="N165" s="97"/>
      <c r="O165" s="97"/>
      <c r="P165" s="97"/>
      <c r="Q165" s="98"/>
      <c r="R165" s="49" t="s">
        <v>6</v>
      </c>
      <c r="S165" s="49" t="s">
        <v>6</v>
      </c>
      <c r="T165" s="50" t="s">
        <v>68</v>
      </c>
      <c r="U165" s="51">
        <v>32</v>
      </c>
      <c r="V165" s="52">
        <f t="shared" si="7"/>
        <v>32.400000000000006</v>
      </c>
      <c r="W165" s="53">
        <f>IFERROR(IF(V165=0,"",ROUNDUP(V165/H165,0)*0.00937),"")</f>
        <v>5.6219999999999999E-2</v>
      </c>
      <c r="X165" s="54" t="s">
        <v>6</v>
      </c>
      <c r="Y165" s="55" t="s">
        <v>6</v>
      </c>
      <c r="AC165" s="56" t="s">
        <v>1</v>
      </c>
    </row>
    <row r="166" spans="1:29" ht="27" customHeight="1" x14ac:dyDescent="0.25">
      <c r="A166" s="44" t="s">
        <v>287</v>
      </c>
      <c r="B166" s="44" t="s">
        <v>288</v>
      </c>
      <c r="C166" s="45">
        <v>4301031230</v>
      </c>
      <c r="D166" s="95">
        <v>4680115882690</v>
      </c>
      <c r="E166" s="95"/>
      <c r="F166" s="46">
        <v>0.9</v>
      </c>
      <c r="G166" s="47">
        <v>6</v>
      </c>
      <c r="H166" s="46">
        <v>5.4</v>
      </c>
      <c r="I166" s="46">
        <v>5.61</v>
      </c>
      <c r="J166" s="47">
        <v>120</v>
      </c>
      <c r="K166" s="48" t="s">
        <v>66</v>
      </c>
      <c r="L166" s="47">
        <v>40</v>
      </c>
      <c r="M166" s="96" t="s">
        <v>289</v>
      </c>
      <c r="N166" s="97"/>
      <c r="O166" s="97"/>
      <c r="P166" s="97"/>
      <c r="Q166" s="98"/>
      <c r="R166" s="49" t="s">
        <v>6</v>
      </c>
      <c r="S166" s="49" t="s">
        <v>6</v>
      </c>
      <c r="T166" s="50" t="s">
        <v>68</v>
      </c>
      <c r="U166" s="51">
        <v>32</v>
      </c>
      <c r="V166" s="52">
        <f t="shared" si="7"/>
        <v>32.400000000000006</v>
      </c>
      <c r="W166" s="53">
        <f>IFERROR(IF(V166=0,"",ROUNDUP(V166/H166,0)*0.00937),"")</f>
        <v>5.6219999999999999E-2</v>
      </c>
      <c r="X166" s="54" t="s">
        <v>6</v>
      </c>
      <c r="Y166" s="55" t="s">
        <v>6</v>
      </c>
      <c r="AC166" s="56" t="s">
        <v>1</v>
      </c>
    </row>
    <row r="167" spans="1:29" ht="27" customHeight="1" x14ac:dyDescent="0.25">
      <c r="A167" s="44" t="s">
        <v>290</v>
      </c>
      <c r="B167" s="44" t="s">
        <v>291</v>
      </c>
      <c r="C167" s="45">
        <v>4301031220</v>
      </c>
      <c r="D167" s="95">
        <v>4680115882669</v>
      </c>
      <c r="E167" s="95"/>
      <c r="F167" s="46">
        <v>0.9</v>
      </c>
      <c r="G167" s="47">
        <v>6</v>
      </c>
      <c r="H167" s="46">
        <v>5.4</v>
      </c>
      <c r="I167" s="46">
        <v>5.61</v>
      </c>
      <c r="J167" s="47">
        <v>120</v>
      </c>
      <c r="K167" s="48" t="s">
        <v>66</v>
      </c>
      <c r="L167" s="47">
        <v>40</v>
      </c>
      <c r="M167" s="96" t="s">
        <v>292</v>
      </c>
      <c r="N167" s="97"/>
      <c r="O167" s="97"/>
      <c r="P167" s="97"/>
      <c r="Q167" s="98"/>
      <c r="R167" s="49" t="s">
        <v>6</v>
      </c>
      <c r="S167" s="49" t="s">
        <v>6</v>
      </c>
      <c r="T167" s="50" t="s">
        <v>68</v>
      </c>
      <c r="U167" s="51">
        <v>42</v>
      </c>
      <c r="V167" s="52">
        <f t="shared" si="7"/>
        <v>43.2</v>
      </c>
      <c r="W167" s="53">
        <f>IFERROR(IF(V167=0,"",ROUNDUP(V167/H167,0)*0.00937),"")</f>
        <v>7.4959999999999999E-2</v>
      </c>
      <c r="X167" s="54" t="s">
        <v>6</v>
      </c>
      <c r="Y167" s="55" t="s">
        <v>6</v>
      </c>
      <c r="AC167" s="56" t="s">
        <v>1</v>
      </c>
    </row>
    <row r="168" spans="1:29" ht="27" customHeight="1" x14ac:dyDescent="0.25">
      <c r="A168" s="44" t="s">
        <v>293</v>
      </c>
      <c r="B168" s="44" t="s">
        <v>294</v>
      </c>
      <c r="C168" s="45">
        <v>4301031221</v>
      </c>
      <c r="D168" s="95">
        <v>4680115882676</v>
      </c>
      <c r="E168" s="95"/>
      <c r="F168" s="46">
        <v>0.9</v>
      </c>
      <c r="G168" s="47">
        <v>6</v>
      </c>
      <c r="H168" s="46">
        <v>5.4</v>
      </c>
      <c r="I168" s="46">
        <v>5.61</v>
      </c>
      <c r="J168" s="47">
        <v>120</v>
      </c>
      <c r="K168" s="48" t="s">
        <v>66</v>
      </c>
      <c r="L168" s="47">
        <v>40</v>
      </c>
      <c r="M168" s="96" t="s">
        <v>295</v>
      </c>
      <c r="N168" s="97"/>
      <c r="O168" s="97"/>
      <c r="P168" s="97"/>
      <c r="Q168" s="98"/>
      <c r="R168" s="49" t="s">
        <v>6</v>
      </c>
      <c r="S168" s="49" t="s">
        <v>6</v>
      </c>
      <c r="T168" s="50" t="s">
        <v>68</v>
      </c>
      <c r="U168" s="51">
        <v>32</v>
      </c>
      <c r="V168" s="52">
        <f t="shared" si="7"/>
        <v>32.400000000000006</v>
      </c>
      <c r="W168" s="53">
        <f>IFERROR(IF(V168=0,"",ROUNDUP(V168/H168,0)*0.00937),"")</f>
        <v>5.6219999999999999E-2</v>
      </c>
      <c r="X168" s="54" t="s">
        <v>6</v>
      </c>
      <c r="Y168" s="55" t="s">
        <v>6</v>
      </c>
      <c r="AC168" s="56" t="s">
        <v>1</v>
      </c>
    </row>
    <row r="169" spans="1:29" ht="27" customHeight="1" x14ac:dyDescent="0.25">
      <c r="A169" s="44" t="s">
        <v>296</v>
      </c>
      <c r="B169" s="44" t="s">
        <v>297</v>
      </c>
      <c r="C169" s="45">
        <v>4301031152</v>
      </c>
      <c r="D169" s="95">
        <v>4607091387285</v>
      </c>
      <c r="E169" s="95"/>
      <c r="F169" s="46">
        <v>0.35</v>
      </c>
      <c r="G169" s="47">
        <v>6</v>
      </c>
      <c r="H169" s="46">
        <v>2.1</v>
      </c>
      <c r="I169" s="46">
        <v>2.23</v>
      </c>
      <c r="J169" s="47">
        <v>234</v>
      </c>
      <c r="K169" s="48" t="s">
        <v>66</v>
      </c>
      <c r="L169" s="47">
        <v>40</v>
      </c>
      <c r="M169" s="1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9" s="97"/>
      <c r="O169" s="97"/>
      <c r="P169" s="97"/>
      <c r="Q169" s="98"/>
      <c r="R169" s="49" t="s">
        <v>6</v>
      </c>
      <c r="S169" s="49" t="s">
        <v>6</v>
      </c>
      <c r="T169" s="50" t="s">
        <v>68</v>
      </c>
      <c r="U169" s="51">
        <v>0</v>
      </c>
      <c r="V169" s="52">
        <f t="shared" si="7"/>
        <v>0</v>
      </c>
      <c r="W169" s="53" t="str">
        <f>IFERROR(IF(V169=0,"",ROUNDUP(V169/H169,0)*0.00502),"")</f>
        <v/>
      </c>
      <c r="X169" s="54" t="s">
        <v>6</v>
      </c>
      <c r="Y169" s="55" t="s">
        <v>6</v>
      </c>
      <c r="AC169" s="56" t="s">
        <v>1</v>
      </c>
    </row>
    <row r="170" spans="1:29" ht="27" customHeight="1" x14ac:dyDescent="0.25">
      <c r="A170" s="44" t="s">
        <v>298</v>
      </c>
      <c r="B170" s="44" t="s">
        <v>299</v>
      </c>
      <c r="C170" s="45">
        <v>4301031199</v>
      </c>
      <c r="D170" s="95">
        <v>4680115880986</v>
      </c>
      <c r="E170" s="95"/>
      <c r="F170" s="46">
        <v>0.35</v>
      </c>
      <c r="G170" s="47">
        <v>6</v>
      </c>
      <c r="H170" s="46">
        <v>2.1</v>
      </c>
      <c r="I170" s="46">
        <v>2.23</v>
      </c>
      <c r="J170" s="47">
        <v>234</v>
      </c>
      <c r="K170" s="48" t="s">
        <v>66</v>
      </c>
      <c r="L170" s="47">
        <v>40</v>
      </c>
      <c r="M170" s="10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0" s="97"/>
      <c r="O170" s="97"/>
      <c r="P170" s="97"/>
      <c r="Q170" s="98"/>
      <c r="R170" s="49" t="s">
        <v>6</v>
      </c>
      <c r="S170" s="49" t="s">
        <v>6</v>
      </c>
      <c r="T170" s="50" t="s">
        <v>68</v>
      </c>
      <c r="U170" s="51">
        <v>90</v>
      </c>
      <c r="V170" s="52">
        <f t="shared" si="7"/>
        <v>90.3</v>
      </c>
      <c r="W170" s="53">
        <f>IFERROR(IF(V170=0,"",ROUNDUP(V170/H170,0)*0.00502),"")</f>
        <v>0.21586</v>
      </c>
      <c r="X170" s="54" t="s">
        <v>6</v>
      </c>
      <c r="Y170" s="55" t="s">
        <v>6</v>
      </c>
      <c r="AC170" s="56" t="s">
        <v>1</v>
      </c>
    </row>
    <row r="171" spans="1:29" ht="27" customHeight="1" x14ac:dyDescent="0.25">
      <c r="A171" s="44" t="s">
        <v>300</v>
      </c>
      <c r="B171" s="44" t="s">
        <v>301</v>
      </c>
      <c r="C171" s="45">
        <v>4301031190</v>
      </c>
      <c r="D171" s="95">
        <v>4680115880207</v>
      </c>
      <c r="E171" s="95"/>
      <c r="F171" s="46">
        <v>0.4</v>
      </c>
      <c r="G171" s="47">
        <v>6</v>
      </c>
      <c r="H171" s="46">
        <v>2.4</v>
      </c>
      <c r="I171" s="46">
        <v>2.63</v>
      </c>
      <c r="J171" s="47">
        <v>156</v>
      </c>
      <c r="K171" s="48" t="s">
        <v>66</v>
      </c>
      <c r="L171" s="47">
        <v>40</v>
      </c>
      <c r="M171" s="100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1" s="97"/>
      <c r="O171" s="97"/>
      <c r="P171" s="97"/>
      <c r="Q171" s="98"/>
      <c r="R171" s="49" t="s">
        <v>6</v>
      </c>
      <c r="S171" s="49" t="s">
        <v>6</v>
      </c>
      <c r="T171" s="50" t="s">
        <v>68</v>
      </c>
      <c r="U171" s="51">
        <v>0</v>
      </c>
      <c r="V171" s="52">
        <f t="shared" si="7"/>
        <v>0</v>
      </c>
      <c r="W171" s="53" t="str">
        <f>IFERROR(IF(V171=0,"",ROUNDUP(V171/H171,0)*0.00753),"")</f>
        <v/>
      </c>
      <c r="X171" s="54" t="s">
        <v>6</v>
      </c>
      <c r="Y171" s="55" t="s">
        <v>6</v>
      </c>
      <c r="AC171" s="56" t="s">
        <v>1</v>
      </c>
    </row>
    <row r="172" spans="1:29" ht="27" customHeight="1" x14ac:dyDescent="0.25">
      <c r="A172" s="44" t="s">
        <v>302</v>
      </c>
      <c r="B172" s="44" t="s">
        <v>303</v>
      </c>
      <c r="C172" s="45">
        <v>4301031205</v>
      </c>
      <c r="D172" s="95">
        <v>4680115881785</v>
      </c>
      <c r="E172" s="95"/>
      <c r="F172" s="46">
        <v>0.35</v>
      </c>
      <c r="G172" s="47">
        <v>6</v>
      </c>
      <c r="H172" s="46">
        <v>2.1</v>
      </c>
      <c r="I172" s="46">
        <v>2.23</v>
      </c>
      <c r="J172" s="47">
        <v>234</v>
      </c>
      <c r="K172" s="48" t="s">
        <v>66</v>
      </c>
      <c r="L172" s="47">
        <v>40</v>
      </c>
      <c r="M172" s="96" t="s">
        <v>304</v>
      </c>
      <c r="N172" s="97"/>
      <c r="O172" s="97"/>
      <c r="P172" s="97"/>
      <c r="Q172" s="98"/>
      <c r="R172" s="49" t="s">
        <v>6</v>
      </c>
      <c r="S172" s="49" t="s">
        <v>6</v>
      </c>
      <c r="T172" s="50" t="s">
        <v>68</v>
      </c>
      <c r="U172" s="51">
        <v>52</v>
      </c>
      <c r="V172" s="52">
        <f t="shared" si="7"/>
        <v>52.5</v>
      </c>
      <c r="W172" s="53">
        <f>IFERROR(IF(V172=0,"",ROUNDUP(V172/H172,0)*0.00502),"")</f>
        <v>0.1255</v>
      </c>
      <c r="X172" s="54" t="s">
        <v>6</v>
      </c>
      <c r="Y172" s="55" t="s">
        <v>6</v>
      </c>
      <c r="AC172" s="56" t="s">
        <v>1</v>
      </c>
    </row>
    <row r="173" spans="1:29" ht="27" customHeight="1" x14ac:dyDescent="0.25">
      <c r="A173" s="44" t="s">
        <v>305</v>
      </c>
      <c r="B173" s="44" t="s">
        <v>306</v>
      </c>
      <c r="C173" s="45">
        <v>4301031202</v>
      </c>
      <c r="D173" s="95">
        <v>4680115881679</v>
      </c>
      <c r="E173" s="95"/>
      <c r="F173" s="46">
        <v>0.35</v>
      </c>
      <c r="G173" s="47">
        <v>6</v>
      </c>
      <c r="H173" s="46">
        <v>2.1</v>
      </c>
      <c r="I173" s="46">
        <v>2.2000000000000002</v>
      </c>
      <c r="J173" s="47">
        <v>234</v>
      </c>
      <c r="K173" s="48" t="s">
        <v>66</v>
      </c>
      <c r="L173" s="47">
        <v>40</v>
      </c>
      <c r="M173" s="10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3" s="97"/>
      <c r="O173" s="97"/>
      <c r="P173" s="97"/>
      <c r="Q173" s="98"/>
      <c r="R173" s="49" t="s">
        <v>6</v>
      </c>
      <c r="S173" s="49" t="s">
        <v>6</v>
      </c>
      <c r="T173" s="50" t="s">
        <v>68</v>
      </c>
      <c r="U173" s="51">
        <v>56</v>
      </c>
      <c r="V173" s="52">
        <f t="shared" si="7"/>
        <v>56.7</v>
      </c>
      <c r="W173" s="53">
        <f>IFERROR(IF(V173=0,"",ROUNDUP(V173/H173,0)*0.00502),"")</f>
        <v>0.13553999999999999</v>
      </c>
      <c r="X173" s="54" t="s">
        <v>6</v>
      </c>
      <c r="Y173" s="55" t="s">
        <v>6</v>
      </c>
      <c r="AC173" s="56" t="s">
        <v>1</v>
      </c>
    </row>
    <row r="174" spans="1:29" ht="27" customHeight="1" x14ac:dyDescent="0.25">
      <c r="A174" s="44" t="s">
        <v>307</v>
      </c>
      <c r="B174" s="44" t="s">
        <v>308</v>
      </c>
      <c r="C174" s="45">
        <v>4301031158</v>
      </c>
      <c r="D174" s="95">
        <v>4680115880191</v>
      </c>
      <c r="E174" s="95"/>
      <c r="F174" s="46">
        <v>0.4</v>
      </c>
      <c r="G174" s="47">
        <v>6</v>
      </c>
      <c r="H174" s="46">
        <v>2.4</v>
      </c>
      <c r="I174" s="46">
        <v>2.5</v>
      </c>
      <c r="J174" s="47">
        <v>234</v>
      </c>
      <c r="K174" s="48" t="s">
        <v>66</v>
      </c>
      <c r="L174" s="47">
        <v>40</v>
      </c>
      <c r="M174" s="10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4" s="97"/>
      <c r="O174" s="97"/>
      <c r="P174" s="97"/>
      <c r="Q174" s="98"/>
      <c r="R174" s="49" t="s">
        <v>6</v>
      </c>
      <c r="S174" s="49" t="s">
        <v>6</v>
      </c>
      <c r="T174" s="50" t="s">
        <v>68</v>
      </c>
      <c r="U174" s="51">
        <v>0</v>
      </c>
      <c r="V174" s="52">
        <f t="shared" si="7"/>
        <v>0</v>
      </c>
      <c r="W174" s="53" t="str">
        <f>IFERROR(IF(V174=0,"",ROUNDUP(V174/H174,0)*0.00502),"")</f>
        <v/>
      </c>
      <c r="X174" s="54" t="s">
        <v>6</v>
      </c>
      <c r="Y174" s="55" t="s">
        <v>6</v>
      </c>
      <c r="AC174" s="56" t="s">
        <v>1</v>
      </c>
    </row>
    <row r="175" spans="1:29" ht="27" customHeight="1" x14ac:dyDescent="0.25">
      <c r="A175" s="44" t="s">
        <v>309</v>
      </c>
      <c r="B175" s="44" t="s">
        <v>310</v>
      </c>
      <c r="C175" s="45">
        <v>4301031151</v>
      </c>
      <c r="D175" s="95">
        <v>4607091389845</v>
      </c>
      <c r="E175" s="95"/>
      <c r="F175" s="46">
        <v>0.35</v>
      </c>
      <c r="G175" s="47">
        <v>6</v>
      </c>
      <c r="H175" s="46">
        <v>2.1</v>
      </c>
      <c r="I175" s="46">
        <v>2.2000000000000002</v>
      </c>
      <c r="J175" s="47">
        <v>234</v>
      </c>
      <c r="K175" s="48" t="s">
        <v>66</v>
      </c>
      <c r="L175" s="47">
        <v>40</v>
      </c>
      <c r="M175" s="1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5" s="97"/>
      <c r="O175" s="97"/>
      <c r="P175" s="97"/>
      <c r="Q175" s="98"/>
      <c r="R175" s="49" t="s">
        <v>6</v>
      </c>
      <c r="S175" s="49" t="s">
        <v>6</v>
      </c>
      <c r="T175" s="50" t="s">
        <v>68</v>
      </c>
      <c r="U175" s="51">
        <v>63</v>
      </c>
      <c r="V175" s="52">
        <f t="shared" si="7"/>
        <v>63</v>
      </c>
      <c r="W175" s="53">
        <f>IFERROR(IF(V175=0,"",ROUNDUP(V175/H175,0)*0.00502),"")</f>
        <v>0.15060000000000001</v>
      </c>
      <c r="X175" s="54" t="s">
        <v>6</v>
      </c>
      <c r="Y175" s="55" t="s">
        <v>6</v>
      </c>
      <c r="AC175" s="56" t="s">
        <v>1</v>
      </c>
    </row>
    <row r="176" spans="1:29" x14ac:dyDescent="0.2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6"/>
      <c r="M176" s="87" t="s">
        <v>69</v>
      </c>
      <c r="N176" s="88"/>
      <c r="O176" s="88"/>
      <c r="P176" s="88"/>
      <c r="Q176" s="88"/>
      <c r="R176" s="88"/>
      <c r="S176" s="89"/>
      <c r="T176" s="57" t="s">
        <v>70</v>
      </c>
      <c r="U176" s="58">
        <f>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</f>
        <v>167.69841269841268</v>
      </c>
      <c r="V176" s="58">
        <f>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</f>
        <v>169</v>
      </c>
      <c r="W176" s="58">
        <f>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</f>
        <v>1.0066600000000001</v>
      </c>
      <c r="X176" s="59"/>
      <c r="Y176" s="59"/>
    </row>
    <row r="177" spans="1:29" x14ac:dyDescent="0.25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6"/>
      <c r="M177" s="87" t="s">
        <v>69</v>
      </c>
      <c r="N177" s="88"/>
      <c r="O177" s="88"/>
      <c r="P177" s="88"/>
      <c r="Q177" s="88"/>
      <c r="R177" s="88"/>
      <c r="S177" s="89"/>
      <c r="T177" s="57" t="s">
        <v>68</v>
      </c>
      <c r="U177" s="58">
        <f>IFERROR(SUM(U160:U175),"0")</f>
        <v>474</v>
      </c>
      <c r="V177" s="58">
        <f>IFERROR(SUM(V160:V175),"0")</f>
        <v>478.5</v>
      </c>
      <c r="W177" s="57"/>
      <c r="X177" s="59"/>
      <c r="Y177" s="59"/>
    </row>
    <row r="178" spans="1:29" ht="14.25" customHeight="1" x14ac:dyDescent="0.25">
      <c r="A178" s="94" t="s">
        <v>71</v>
      </c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43"/>
      <c r="Y178" s="43"/>
    </row>
    <row r="179" spans="1:29" ht="27" customHeight="1" x14ac:dyDescent="0.25">
      <c r="A179" s="44" t="s">
        <v>311</v>
      </c>
      <c r="B179" s="44" t="s">
        <v>312</v>
      </c>
      <c r="C179" s="45">
        <v>4301051409</v>
      </c>
      <c r="D179" s="95">
        <v>4680115881556</v>
      </c>
      <c r="E179" s="95"/>
      <c r="F179" s="46">
        <v>1</v>
      </c>
      <c r="G179" s="47">
        <v>4</v>
      </c>
      <c r="H179" s="46">
        <v>4</v>
      </c>
      <c r="I179" s="46">
        <v>4.4080000000000004</v>
      </c>
      <c r="J179" s="47">
        <v>104</v>
      </c>
      <c r="K179" s="48" t="s">
        <v>131</v>
      </c>
      <c r="L179" s="47">
        <v>45</v>
      </c>
      <c r="M179" s="96" t="s">
        <v>313</v>
      </c>
      <c r="N179" s="97"/>
      <c r="O179" s="97"/>
      <c r="P179" s="97"/>
      <c r="Q179" s="98"/>
      <c r="R179" s="49" t="s">
        <v>6</v>
      </c>
      <c r="S179" s="49" t="s">
        <v>6</v>
      </c>
      <c r="T179" s="50" t="s">
        <v>68</v>
      </c>
      <c r="U179" s="51">
        <v>0</v>
      </c>
      <c r="V179" s="52">
        <f t="shared" ref="V179:V201" si="8">IFERROR(IF(U179="",0,CEILING((U179/$H179),1)*$H179),"")</f>
        <v>0</v>
      </c>
      <c r="W179" s="53" t="str">
        <f>IFERROR(IF(V179=0,"",ROUNDUP(V179/H179,0)*0.01196),"")</f>
        <v/>
      </c>
      <c r="X179" s="54" t="s">
        <v>6</v>
      </c>
      <c r="Y179" s="55" t="s">
        <v>6</v>
      </c>
      <c r="AC179" s="56" t="s">
        <v>1</v>
      </c>
    </row>
    <row r="180" spans="1:29" ht="16.5" customHeight="1" x14ac:dyDescent="0.25">
      <c r="A180" s="44" t="s">
        <v>314</v>
      </c>
      <c r="B180" s="44" t="s">
        <v>315</v>
      </c>
      <c r="C180" s="45">
        <v>4301051101</v>
      </c>
      <c r="D180" s="95">
        <v>4607091387766</v>
      </c>
      <c r="E180" s="95"/>
      <c r="F180" s="46">
        <v>1.35</v>
      </c>
      <c r="G180" s="47">
        <v>6</v>
      </c>
      <c r="H180" s="46">
        <v>8.1</v>
      </c>
      <c r="I180" s="46">
        <v>8.6579999999999995</v>
      </c>
      <c r="J180" s="47">
        <v>56</v>
      </c>
      <c r="K180" s="48" t="s">
        <v>66</v>
      </c>
      <c r="L180" s="47">
        <v>40</v>
      </c>
      <c r="M180" s="1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0" s="97"/>
      <c r="O180" s="97"/>
      <c r="P180" s="97"/>
      <c r="Q180" s="98"/>
      <c r="R180" s="49" t="s">
        <v>6</v>
      </c>
      <c r="S180" s="49" t="s">
        <v>6</v>
      </c>
      <c r="T180" s="50" t="s">
        <v>68</v>
      </c>
      <c r="U180" s="51">
        <v>7900</v>
      </c>
      <c r="V180" s="52">
        <f t="shared" si="8"/>
        <v>7905.5999999999995</v>
      </c>
      <c r="W180" s="53">
        <f>IFERROR(IF(V180=0,"",ROUNDUP(V180/H180,0)*0.02175),"")</f>
        <v>21.227999999999998</v>
      </c>
      <c r="X180" s="54" t="s">
        <v>6</v>
      </c>
      <c r="Y180" s="55" t="s">
        <v>6</v>
      </c>
      <c r="AC180" s="56" t="s">
        <v>1</v>
      </c>
    </row>
    <row r="181" spans="1:29" ht="27" customHeight="1" x14ac:dyDescent="0.25">
      <c r="A181" s="44" t="s">
        <v>316</v>
      </c>
      <c r="B181" s="44" t="s">
        <v>317</v>
      </c>
      <c r="C181" s="45">
        <v>4301051116</v>
      </c>
      <c r="D181" s="95">
        <v>4607091387957</v>
      </c>
      <c r="E181" s="95"/>
      <c r="F181" s="46">
        <v>1.3</v>
      </c>
      <c r="G181" s="47">
        <v>6</v>
      </c>
      <c r="H181" s="46">
        <v>7.8</v>
      </c>
      <c r="I181" s="46">
        <v>8.3640000000000008</v>
      </c>
      <c r="J181" s="47">
        <v>56</v>
      </c>
      <c r="K181" s="48" t="s">
        <v>66</v>
      </c>
      <c r="L181" s="47">
        <v>40</v>
      </c>
      <c r="M181" s="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1" s="97"/>
      <c r="O181" s="97"/>
      <c r="P181" s="97"/>
      <c r="Q181" s="98"/>
      <c r="R181" s="49" t="s">
        <v>6</v>
      </c>
      <c r="S181" s="49" t="s">
        <v>6</v>
      </c>
      <c r="T181" s="50" t="s">
        <v>68</v>
      </c>
      <c r="U181" s="51">
        <v>0</v>
      </c>
      <c r="V181" s="52">
        <f t="shared" si="8"/>
        <v>0</v>
      </c>
      <c r="W181" s="53" t="str">
        <f>IFERROR(IF(V181=0,"",ROUNDUP(V181/H181,0)*0.02175),"")</f>
        <v/>
      </c>
      <c r="X181" s="54" t="s">
        <v>6</v>
      </c>
      <c r="Y181" s="55" t="s">
        <v>6</v>
      </c>
      <c r="AC181" s="56" t="s">
        <v>1</v>
      </c>
    </row>
    <row r="182" spans="1:29" ht="27" customHeight="1" x14ac:dyDescent="0.25">
      <c r="A182" s="44" t="s">
        <v>318</v>
      </c>
      <c r="B182" s="44" t="s">
        <v>319</v>
      </c>
      <c r="C182" s="45">
        <v>4301051115</v>
      </c>
      <c r="D182" s="95">
        <v>4607091387964</v>
      </c>
      <c r="E182" s="95"/>
      <c r="F182" s="46">
        <v>1.35</v>
      </c>
      <c r="G182" s="47">
        <v>6</v>
      </c>
      <c r="H182" s="46">
        <v>8.1</v>
      </c>
      <c r="I182" s="46">
        <v>8.6460000000000008</v>
      </c>
      <c r="J182" s="47">
        <v>56</v>
      </c>
      <c r="K182" s="48" t="s">
        <v>66</v>
      </c>
      <c r="L182" s="47">
        <v>40</v>
      </c>
      <c r="M182" s="1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2" s="97"/>
      <c r="O182" s="97"/>
      <c r="P182" s="97"/>
      <c r="Q182" s="98"/>
      <c r="R182" s="49" t="s">
        <v>6</v>
      </c>
      <c r="S182" s="49" t="s">
        <v>6</v>
      </c>
      <c r="T182" s="50" t="s">
        <v>68</v>
      </c>
      <c r="U182" s="51">
        <v>0</v>
      </c>
      <c r="V182" s="52">
        <f t="shared" si="8"/>
        <v>0</v>
      </c>
      <c r="W182" s="53" t="str">
        <f>IFERROR(IF(V182=0,"",ROUNDUP(V182/H182,0)*0.02175),"")</f>
        <v/>
      </c>
      <c r="X182" s="54" t="s">
        <v>6</v>
      </c>
      <c r="Y182" s="55" t="s">
        <v>6</v>
      </c>
      <c r="AC182" s="56" t="s">
        <v>1</v>
      </c>
    </row>
    <row r="183" spans="1:29" ht="16.5" customHeight="1" x14ac:dyDescent="0.25">
      <c r="A183" s="44" t="s">
        <v>320</v>
      </c>
      <c r="B183" s="44" t="s">
        <v>321</v>
      </c>
      <c r="C183" s="45">
        <v>4301051470</v>
      </c>
      <c r="D183" s="95">
        <v>4680115880573</v>
      </c>
      <c r="E183" s="95"/>
      <c r="F183" s="46">
        <v>1.3</v>
      </c>
      <c r="G183" s="47">
        <v>6</v>
      </c>
      <c r="H183" s="46">
        <v>7.8</v>
      </c>
      <c r="I183" s="46">
        <v>8.3640000000000008</v>
      </c>
      <c r="J183" s="47">
        <v>56</v>
      </c>
      <c r="K183" s="48" t="s">
        <v>131</v>
      </c>
      <c r="L183" s="47">
        <v>45</v>
      </c>
      <c r="M183" s="96" t="s">
        <v>322</v>
      </c>
      <c r="N183" s="97"/>
      <c r="O183" s="97"/>
      <c r="P183" s="97"/>
      <c r="Q183" s="98"/>
      <c r="R183" s="49" t="s">
        <v>6</v>
      </c>
      <c r="S183" s="49" t="s">
        <v>6</v>
      </c>
      <c r="T183" s="50" t="s">
        <v>68</v>
      </c>
      <c r="U183" s="51">
        <v>156</v>
      </c>
      <c r="V183" s="52">
        <f t="shared" si="8"/>
        <v>156</v>
      </c>
      <c r="W183" s="53">
        <f>IFERROR(IF(V183=0,"",ROUNDUP(V183/H183,0)*0.02175),"")</f>
        <v>0.43499999999999994</v>
      </c>
      <c r="X183" s="54" t="s">
        <v>6</v>
      </c>
      <c r="Y183" s="55" t="s">
        <v>6</v>
      </c>
      <c r="AC183" s="56" t="s">
        <v>1</v>
      </c>
    </row>
    <row r="184" spans="1:29" ht="27" customHeight="1" x14ac:dyDescent="0.25">
      <c r="A184" s="44" t="s">
        <v>323</v>
      </c>
      <c r="B184" s="44" t="s">
        <v>324</v>
      </c>
      <c r="C184" s="45">
        <v>4301051408</v>
      </c>
      <c r="D184" s="95">
        <v>4680115881594</v>
      </c>
      <c r="E184" s="95"/>
      <c r="F184" s="46">
        <v>1.35</v>
      </c>
      <c r="G184" s="47">
        <v>6</v>
      </c>
      <c r="H184" s="46">
        <v>8.1</v>
      </c>
      <c r="I184" s="46">
        <v>8.6639999999999997</v>
      </c>
      <c r="J184" s="47">
        <v>56</v>
      </c>
      <c r="K184" s="48" t="s">
        <v>131</v>
      </c>
      <c r="L184" s="47">
        <v>40</v>
      </c>
      <c r="M184" s="96" t="s">
        <v>325</v>
      </c>
      <c r="N184" s="97"/>
      <c r="O184" s="97"/>
      <c r="P184" s="97"/>
      <c r="Q184" s="98"/>
      <c r="R184" s="49" t="s">
        <v>6</v>
      </c>
      <c r="S184" s="49" t="s">
        <v>6</v>
      </c>
      <c r="T184" s="50" t="s">
        <v>68</v>
      </c>
      <c r="U184" s="51">
        <v>0</v>
      </c>
      <c r="V184" s="52">
        <f t="shared" si="8"/>
        <v>0</v>
      </c>
      <c r="W184" s="53" t="str">
        <f>IFERROR(IF(V184=0,"",ROUNDUP(V184/H184,0)*0.02175),"")</f>
        <v/>
      </c>
      <c r="X184" s="54" t="s">
        <v>6</v>
      </c>
      <c r="Y184" s="55" t="s">
        <v>6</v>
      </c>
      <c r="AC184" s="56" t="s">
        <v>1</v>
      </c>
    </row>
    <row r="185" spans="1:29" ht="27" customHeight="1" x14ac:dyDescent="0.25">
      <c r="A185" s="44" t="s">
        <v>326</v>
      </c>
      <c r="B185" s="44" t="s">
        <v>327</v>
      </c>
      <c r="C185" s="45">
        <v>4301051433</v>
      </c>
      <c r="D185" s="95">
        <v>4680115881587</v>
      </c>
      <c r="E185" s="95"/>
      <c r="F185" s="46">
        <v>1</v>
      </c>
      <c r="G185" s="47">
        <v>4</v>
      </c>
      <c r="H185" s="46">
        <v>4</v>
      </c>
      <c r="I185" s="46">
        <v>4.4080000000000004</v>
      </c>
      <c r="J185" s="47">
        <v>104</v>
      </c>
      <c r="K185" s="48" t="s">
        <v>66</v>
      </c>
      <c r="L185" s="47">
        <v>35</v>
      </c>
      <c r="M185" s="96" t="s">
        <v>328</v>
      </c>
      <c r="N185" s="97"/>
      <c r="O185" s="97"/>
      <c r="P185" s="97"/>
      <c r="Q185" s="98"/>
      <c r="R185" s="49" t="s">
        <v>6</v>
      </c>
      <c r="S185" s="49" t="s">
        <v>6</v>
      </c>
      <c r="T185" s="50" t="s">
        <v>68</v>
      </c>
      <c r="U185" s="51">
        <v>0</v>
      </c>
      <c r="V185" s="52">
        <f t="shared" si="8"/>
        <v>0</v>
      </c>
      <c r="W185" s="53" t="str">
        <f>IFERROR(IF(V185=0,"",ROUNDUP(V185/H185,0)*0.01196),"")</f>
        <v/>
      </c>
      <c r="X185" s="54" t="s">
        <v>6</v>
      </c>
      <c r="Y185" s="55" t="s">
        <v>6</v>
      </c>
      <c r="AC185" s="56" t="s">
        <v>1</v>
      </c>
    </row>
    <row r="186" spans="1:29" ht="16.5" customHeight="1" x14ac:dyDescent="0.25">
      <c r="A186" s="44" t="s">
        <v>329</v>
      </c>
      <c r="B186" s="44" t="s">
        <v>330</v>
      </c>
      <c r="C186" s="45">
        <v>4301051380</v>
      </c>
      <c r="D186" s="95">
        <v>4680115880962</v>
      </c>
      <c r="E186" s="95"/>
      <c r="F186" s="46">
        <v>1.3</v>
      </c>
      <c r="G186" s="47">
        <v>6</v>
      </c>
      <c r="H186" s="46">
        <v>7.8</v>
      </c>
      <c r="I186" s="46">
        <v>8.3640000000000008</v>
      </c>
      <c r="J186" s="47">
        <v>56</v>
      </c>
      <c r="K186" s="48" t="s">
        <v>66</v>
      </c>
      <c r="L186" s="47">
        <v>40</v>
      </c>
      <c r="M186" s="96" t="s">
        <v>331</v>
      </c>
      <c r="N186" s="97"/>
      <c r="O186" s="97"/>
      <c r="P186" s="97"/>
      <c r="Q186" s="98"/>
      <c r="R186" s="49" t="s">
        <v>6</v>
      </c>
      <c r="S186" s="49" t="s">
        <v>6</v>
      </c>
      <c r="T186" s="50" t="s">
        <v>68</v>
      </c>
      <c r="U186" s="51">
        <v>0</v>
      </c>
      <c r="V186" s="52">
        <f t="shared" si="8"/>
        <v>0</v>
      </c>
      <c r="W186" s="53" t="str">
        <f>IFERROR(IF(V186=0,"",ROUNDUP(V186/H186,0)*0.02175),"")</f>
        <v/>
      </c>
      <c r="X186" s="54" t="s">
        <v>6</v>
      </c>
      <c r="Y186" s="55" t="s">
        <v>6</v>
      </c>
      <c r="AC186" s="56" t="s">
        <v>1</v>
      </c>
    </row>
    <row r="187" spans="1:29" ht="27" customHeight="1" x14ac:dyDescent="0.25">
      <c r="A187" s="44" t="s">
        <v>332</v>
      </c>
      <c r="B187" s="44" t="s">
        <v>333</v>
      </c>
      <c r="C187" s="45">
        <v>4301051411</v>
      </c>
      <c r="D187" s="95">
        <v>4680115881617</v>
      </c>
      <c r="E187" s="95"/>
      <c r="F187" s="46">
        <v>1.35</v>
      </c>
      <c r="G187" s="47">
        <v>6</v>
      </c>
      <c r="H187" s="46">
        <v>8.1</v>
      </c>
      <c r="I187" s="46">
        <v>8.6460000000000008</v>
      </c>
      <c r="J187" s="47">
        <v>56</v>
      </c>
      <c r="K187" s="48" t="s">
        <v>131</v>
      </c>
      <c r="L187" s="47">
        <v>40</v>
      </c>
      <c r="M187" s="96" t="s">
        <v>334</v>
      </c>
      <c r="N187" s="97"/>
      <c r="O187" s="97"/>
      <c r="P187" s="97"/>
      <c r="Q187" s="98"/>
      <c r="R187" s="49" t="s">
        <v>6</v>
      </c>
      <c r="S187" s="49" t="s">
        <v>6</v>
      </c>
      <c r="T187" s="50" t="s">
        <v>68</v>
      </c>
      <c r="U187" s="51">
        <v>0</v>
      </c>
      <c r="V187" s="52">
        <f t="shared" si="8"/>
        <v>0</v>
      </c>
      <c r="W187" s="53" t="str">
        <f>IFERROR(IF(V187=0,"",ROUNDUP(V187/H187,0)*0.02175),"")</f>
        <v/>
      </c>
      <c r="X187" s="54" t="s">
        <v>6</v>
      </c>
      <c r="Y187" s="55" t="s">
        <v>6</v>
      </c>
      <c r="AC187" s="56" t="s">
        <v>1</v>
      </c>
    </row>
    <row r="188" spans="1:29" ht="27" customHeight="1" x14ac:dyDescent="0.25">
      <c r="A188" s="44" t="s">
        <v>335</v>
      </c>
      <c r="B188" s="44" t="s">
        <v>336</v>
      </c>
      <c r="C188" s="45">
        <v>4301051377</v>
      </c>
      <c r="D188" s="95">
        <v>4680115881228</v>
      </c>
      <c r="E188" s="95"/>
      <c r="F188" s="46">
        <v>0.4</v>
      </c>
      <c r="G188" s="47">
        <v>6</v>
      </c>
      <c r="H188" s="46">
        <v>2.4</v>
      </c>
      <c r="I188" s="46">
        <v>2.6</v>
      </c>
      <c r="J188" s="47">
        <v>156</v>
      </c>
      <c r="K188" s="48" t="s">
        <v>66</v>
      </c>
      <c r="L188" s="47">
        <v>35</v>
      </c>
      <c r="M188" s="1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8" s="97"/>
      <c r="O188" s="97"/>
      <c r="P188" s="97"/>
      <c r="Q188" s="98"/>
      <c r="R188" s="49" t="s">
        <v>6</v>
      </c>
      <c r="S188" s="49" t="s">
        <v>6</v>
      </c>
      <c r="T188" s="50" t="s">
        <v>68</v>
      </c>
      <c r="U188" s="51">
        <v>256</v>
      </c>
      <c r="V188" s="52">
        <f t="shared" si="8"/>
        <v>256.8</v>
      </c>
      <c r="W188" s="53">
        <f>IFERROR(IF(V188=0,"",ROUNDUP(V188/H188,0)*0.00753),"")</f>
        <v>0.80571000000000004</v>
      </c>
      <c r="X188" s="54" t="s">
        <v>6</v>
      </c>
      <c r="Y188" s="55" t="s">
        <v>6</v>
      </c>
      <c r="AC188" s="56" t="s">
        <v>1</v>
      </c>
    </row>
    <row r="189" spans="1:29" ht="27" customHeight="1" x14ac:dyDescent="0.25">
      <c r="A189" s="44" t="s">
        <v>337</v>
      </c>
      <c r="B189" s="44" t="s">
        <v>338</v>
      </c>
      <c r="C189" s="45">
        <v>4301051432</v>
      </c>
      <c r="D189" s="95">
        <v>4680115881037</v>
      </c>
      <c r="E189" s="95"/>
      <c r="F189" s="46">
        <v>0.84</v>
      </c>
      <c r="G189" s="47">
        <v>4</v>
      </c>
      <c r="H189" s="46">
        <v>3.36</v>
      </c>
      <c r="I189" s="46">
        <v>3.6179999999999999</v>
      </c>
      <c r="J189" s="47">
        <v>120</v>
      </c>
      <c r="K189" s="48" t="s">
        <v>66</v>
      </c>
      <c r="L189" s="47">
        <v>35</v>
      </c>
      <c r="M189" s="96" t="s">
        <v>339</v>
      </c>
      <c r="N189" s="97"/>
      <c r="O189" s="97"/>
      <c r="P189" s="97"/>
      <c r="Q189" s="98"/>
      <c r="R189" s="49" t="s">
        <v>6</v>
      </c>
      <c r="S189" s="49" t="s">
        <v>6</v>
      </c>
      <c r="T189" s="50" t="s">
        <v>68</v>
      </c>
      <c r="U189" s="51">
        <v>0</v>
      </c>
      <c r="V189" s="52">
        <f t="shared" si="8"/>
        <v>0</v>
      </c>
      <c r="W189" s="53" t="str">
        <f>IFERROR(IF(V189=0,"",ROUNDUP(V189/H189,0)*0.00937),"")</f>
        <v/>
      </c>
      <c r="X189" s="54" t="s">
        <v>6</v>
      </c>
      <c r="Y189" s="55" t="s">
        <v>6</v>
      </c>
      <c r="AC189" s="56" t="s">
        <v>1</v>
      </c>
    </row>
    <row r="190" spans="1:29" ht="27" customHeight="1" x14ac:dyDescent="0.25">
      <c r="A190" s="44" t="s">
        <v>340</v>
      </c>
      <c r="B190" s="44" t="s">
        <v>341</v>
      </c>
      <c r="C190" s="45">
        <v>4301051384</v>
      </c>
      <c r="D190" s="95">
        <v>4680115881211</v>
      </c>
      <c r="E190" s="95"/>
      <c r="F190" s="46">
        <v>0.4</v>
      </c>
      <c r="G190" s="47">
        <v>6</v>
      </c>
      <c r="H190" s="46">
        <v>2.4</v>
      </c>
      <c r="I190" s="46">
        <v>2.6</v>
      </c>
      <c r="J190" s="47">
        <v>156</v>
      </c>
      <c r="K190" s="48" t="s">
        <v>66</v>
      </c>
      <c r="L190" s="47">
        <v>45</v>
      </c>
      <c r="M190" s="96" t="s">
        <v>342</v>
      </c>
      <c r="N190" s="97"/>
      <c r="O190" s="97"/>
      <c r="P190" s="97"/>
      <c r="Q190" s="98"/>
      <c r="R190" s="49" t="s">
        <v>6</v>
      </c>
      <c r="S190" s="49" t="s">
        <v>6</v>
      </c>
      <c r="T190" s="50" t="s">
        <v>68</v>
      </c>
      <c r="U190" s="51">
        <v>376</v>
      </c>
      <c r="V190" s="52">
        <f t="shared" si="8"/>
        <v>376.8</v>
      </c>
      <c r="W190" s="53">
        <f>IFERROR(IF(V190=0,"",ROUNDUP(V190/H190,0)*0.00753),"")</f>
        <v>1.18221</v>
      </c>
      <c r="X190" s="54" t="s">
        <v>6</v>
      </c>
      <c r="Y190" s="55" t="s">
        <v>6</v>
      </c>
      <c r="AC190" s="56" t="s">
        <v>1</v>
      </c>
    </row>
    <row r="191" spans="1:29" ht="27" customHeight="1" x14ac:dyDescent="0.25">
      <c r="A191" s="44" t="s">
        <v>343</v>
      </c>
      <c r="B191" s="44" t="s">
        <v>344</v>
      </c>
      <c r="C191" s="45">
        <v>4301051378</v>
      </c>
      <c r="D191" s="95">
        <v>4680115881020</v>
      </c>
      <c r="E191" s="95"/>
      <c r="F191" s="46">
        <v>0.84</v>
      </c>
      <c r="G191" s="47">
        <v>4</v>
      </c>
      <c r="H191" s="46">
        <v>3.36</v>
      </c>
      <c r="I191" s="46">
        <v>3.57</v>
      </c>
      <c r="J191" s="47">
        <v>120</v>
      </c>
      <c r="K191" s="48" t="s">
        <v>66</v>
      </c>
      <c r="L191" s="47">
        <v>45</v>
      </c>
      <c r="M191" s="96" t="s">
        <v>345</v>
      </c>
      <c r="N191" s="97"/>
      <c r="O191" s="97"/>
      <c r="P191" s="97"/>
      <c r="Q191" s="98"/>
      <c r="R191" s="49" t="s">
        <v>6</v>
      </c>
      <c r="S191" s="49" t="s">
        <v>6</v>
      </c>
      <c r="T191" s="50" t="s">
        <v>68</v>
      </c>
      <c r="U191" s="51">
        <v>0</v>
      </c>
      <c r="V191" s="52">
        <f t="shared" si="8"/>
        <v>0</v>
      </c>
      <c r="W191" s="53" t="str">
        <f>IFERROR(IF(V191=0,"",ROUNDUP(V191/H191,0)*0.00937),"")</f>
        <v/>
      </c>
      <c r="X191" s="54" t="s">
        <v>6</v>
      </c>
      <c r="Y191" s="55" t="s">
        <v>6</v>
      </c>
      <c r="AC191" s="56" t="s">
        <v>1</v>
      </c>
    </row>
    <row r="192" spans="1:29" ht="16.5" customHeight="1" x14ac:dyDescent="0.25">
      <c r="A192" s="44" t="s">
        <v>346</v>
      </c>
      <c r="B192" s="44" t="s">
        <v>347</v>
      </c>
      <c r="C192" s="45">
        <v>4301051134</v>
      </c>
      <c r="D192" s="95">
        <v>4607091381672</v>
      </c>
      <c r="E192" s="95"/>
      <c r="F192" s="46">
        <v>0.6</v>
      </c>
      <c r="G192" s="47">
        <v>6</v>
      </c>
      <c r="H192" s="46">
        <v>3.6</v>
      </c>
      <c r="I192" s="46">
        <v>3.8759999999999999</v>
      </c>
      <c r="J192" s="47">
        <v>120</v>
      </c>
      <c r="K192" s="48" t="s">
        <v>66</v>
      </c>
      <c r="L192" s="47">
        <v>40</v>
      </c>
      <c r="M192" s="1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2" s="97"/>
      <c r="O192" s="97"/>
      <c r="P192" s="97"/>
      <c r="Q192" s="98"/>
      <c r="R192" s="49" t="s">
        <v>6</v>
      </c>
      <c r="S192" s="49" t="s">
        <v>6</v>
      </c>
      <c r="T192" s="50" t="s">
        <v>68</v>
      </c>
      <c r="U192" s="51">
        <v>0</v>
      </c>
      <c r="V192" s="52">
        <f t="shared" si="8"/>
        <v>0</v>
      </c>
      <c r="W192" s="53" t="str">
        <f>IFERROR(IF(V192=0,"",ROUNDUP(V192/H192,0)*0.00937),"")</f>
        <v/>
      </c>
      <c r="X192" s="54" t="s">
        <v>6</v>
      </c>
      <c r="Y192" s="55" t="s">
        <v>6</v>
      </c>
      <c r="AC192" s="56" t="s">
        <v>1</v>
      </c>
    </row>
    <row r="193" spans="1:29" ht="27" customHeight="1" x14ac:dyDescent="0.25">
      <c r="A193" s="44" t="s">
        <v>348</v>
      </c>
      <c r="B193" s="44" t="s">
        <v>349</v>
      </c>
      <c r="C193" s="45">
        <v>4301051130</v>
      </c>
      <c r="D193" s="95">
        <v>4607091387537</v>
      </c>
      <c r="E193" s="95"/>
      <c r="F193" s="46">
        <v>0.45</v>
      </c>
      <c r="G193" s="47">
        <v>6</v>
      </c>
      <c r="H193" s="46">
        <v>2.7</v>
      </c>
      <c r="I193" s="46">
        <v>2.99</v>
      </c>
      <c r="J193" s="47">
        <v>156</v>
      </c>
      <c r="K193" s="48" t="s">
        <v>66</v>
      </c>
      <c r="L193" s="47">
        <v>40</v>
      </c>
      <c r="M193" s="1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3" s="97"/>
      <c r="O193" s="97"/>
      <c r="P193" s="97"/>
      <c r="Q193" s="98"/>
      <c r="R193" s="49" t="s">
        <v>6</v>
      </c>
      <c r="S193" s="49" t="s">
        <v>6</v>
      </c>
      <c r="T193" s="50" t="s">
        <v>68</v>
      </c>
      <c r="U193" s="51">
        <v>0</v>
      </c>
      <c r="V193" s="52">
        <f t="shared" si="8"/>
        <v>0</v>
      </c>
      <c r="W193" s="53" t="str">
        <f t="shared" ref="W193:W201" si="9">IFERROR(IF(V193=0,"",ROUNDUP(V193/H193,0)*0.00753),"")</f>
        <v/>
      </c>
      <c r="X193" s="54" t="s">
        <v>6</v>
      </c>
      <c r="Y193" s="55" t="s">
        <v>6</v>
      </c>
      <c r="AC193" s="56" t="s">
        <v>1</v>
      </c>
    </row>
    <row r="194" spans="1:29" ht="27" customHeight="1" x14ac:dyDescent="0.25">
      <c r="A194" s="44" t="s">
        <v>350</v>
      </c>
      <c r="B194" s="44" t="s">
        <v>351</v>
      </c>
      <c r="C194" s="45">
        <v>4301051132</v>
      </c>
      <c r="D194" s="95">
        <v>4607091387513</v>
      </c>
      <c r="E194" s="95"/>
      <c r="F194" s="46">
        <v>0.45</v>
      </c>
      <c r="G194" s="47">
        <v>6</v>
      </c>
      <c r="H194" s="46">
        <v>2.7</v>
      </c>
      <c r="I194" s="46">
        <v>2.9780000000000002</v>
      </c>
      <c r="J194" s="47">
        <v>156</v>
      </c>
      <c r="K194" s="48" t="s">
        <v>66</v>
      </c>
      <c r="L194" s="47">
        <v>40</v>
      </c>
      <c r="M194" s="1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4" s="97"/>
      <c r="O194" s="97"/>
      <c r="P194" s="97"/>
      <c r="Q194" s="98"/>
      <c r="R194" s="49" t="s">
        <v>6</v>
      </c>
      <c r="S194" s="49" t="s">
        <v>6</v>
      </c>
      <c r="T194" s="50" t="s">
        <v>68</v>
      </c>
      <c r="U194" s="51">
        <v>0</v>
      </c>
      <c r="V194" s="52">
        <f t="shared" si="8"/>
        <v>0</v>
      </c>
      <c r="W194" s="53" t="str">
        <f t="shared" si="9"/>
        <v/>
      </c>
      <c r="X194" s="54" t="s">
        <v>6</v>
      </c>
      <c r="Y194" s="55" t="s">
        <v>6</v>
      </c>
      <c r="AC194" s="56" t="s">
        <v>1</v>
      </c>
    </row>
    <row r="195" spans="1:29" ht="27" customHeight="1" x14ac:dyDescent="0.25">
      <c r="A195" s="44" t="s">
        <v>352</v>
      </c>
      <c r="B195" s="44" t="s">
        <v>353</v>
      </c>
      <c r="C195" s="45">
        <v>4301051407</v>
      </c>
      <c r="D195" s="95">
        <v>4680115882195</v>
      </c>
      <c r="E195" s="95"/>
      <c r="F195" s="46">
        <v>0.4</v>
      </c>
      <c r="G195" s="47">
        <v>6</v>
      </c>
      <c r="H195" s="46">
        <v>2.4</v>
      </c>
      <c r="I195" s="46">
        <v>2.69</v>
      </c>
      <c r="J195" s="47">
        <v>156</v>
      </c>
      <c r="K195" s="48" t="s">
        <v>131</v>
      </c>
      <c r="L195" s="47">
        <v>40</v>
      </c>
      <c r="M195" s="96" t="s">
        <v>354</v>
      </c>
      <c r="N195" s="97"/>
      <c r="O195" s="97"/>
      <c r="P195" s="97"/>
      <c r="Q195" s="98"/>
      <c r="R195" s="49" t="s">
        <v>6</v>
      </c>
      <c r="S195" s="49" t="s">
        <v>6</v>
      </c>
      <c r="T195" s="50" t="s">
        <v>68</v>
      </c>
      <c r="U195" s="51">
        <v>48</v>
      </c>
      <c r="V195" s="52">
        <f t="shared" si="8"/>
        <v>48</v>
      </c>
      <c r="W195" s="53">
        <f t="shared" si="9"/>
        <v>0.15060000000000001</v>
      </c>
      <c r="X195" s="54" t="s">
        <v>6</v>
      </c>
      <c r="Y195" s="55" t="s">
        <v>6</v>
      </c>
      <c r="AC195" s="56" t="s">
        <v>1</v>
      </c>
    </row>
    <row r="196" spans="1:29" ht="27" customHeight="1" x14ac:dyDescent="0.25">
      <c r="A196" s="44" t="s">
        <v>355</v>
      </c>
      <c r="B196" s="44" t="s">
        <v>356</v>
      </c>
      <c r="C196" s="45">
        <v>4301051479</v>
      </c>
      <c r="D196" s="95">
        <v>4680115882607</v>
      </c>
      <c r="E196" s="95"/>
      <c r="F196" s="46">
        <v>0.3</v>
      </c>
      <c r="G196" s="47">
        <v>6</v>
      </c>
      <c r="H196" s="46">
        <v>1.8</v>
      </c>
      <c r="I196" s="46">
        <v>2.0720000000000001</v>
      </c>
      <c r="J196" s="47">
        <v>156</v>
      </c>
      <c r="K196" s="48" t="s">
        <v>131</v>
      </c>
      <c r="L196" s="47">
        <v>45</v>
      </c>
      <c r="M196" s="96" t="s">
        <v>357</v>
      </c>
      <c r="N196" s="97"/>
      <c r="O196" s="97"/>
      <c r="P196" s="97"/>
      <c r="Q196" s="98"/>
      <c r="R196" s="49" t="s">
        <v>6</v>
      </c>
      <c r="S196" s="49" t="s">
        <v>6</v>
      </c>
      <c r="T196" s="50" t="s">
        <v>68</v>
      </c>
      <c r="U196" s="51">
        <v>0</v>
      </c>
      <c r="V196" s="52">
        <f t="shared" si="8"/>
        <v>0</v>
      </c>
      <c r="W196" s="53" t="str">
        <f t="shared" si="9"/>
        <v/>
      </c>
      <c r="X196" s="54" t="s">
        <v>6</v>
      </c>
      <c r="Y196" s="55" t="s">
        <v>6</v>
      </c>
      <c r="AC196" s="56" t="s">
        <v>1</v>
      </c>
    </row>
    <row r="197" spans="1:29" ht="27" customHeight="1" x14ac:dyDescent="0.25">
      <c r="A197" s="44" t="s">
        <v>358</v>
      </c>
      <c r="B197" s="44" t="s">
        <v>359</v>
      </c>
      <c r="C197" s="45">
        <v>4301051468</v>
      </c>
      <c r="D197" s="95">
        <v>4680115880092</v>
      </c>
      <c r="E197" s="95"/>
      <c r="F197" s="46">
        <v>0.4</v>
      </c>
      <c r="G197" s="47">
        <v>6</v>
      </c>
      <c r="H197" s="46">
        <v>2.4</v>
      </c>
      <c r="I197" s="46">
        <v>2.6720000000000002</v>
      </c>
      <c r="J197" s="47">
        <v>156</v>
      </c>
      <c r="K197" s="48" t="s">
        <v>131</v>
      </c>
      <c r="L197" s="47">
        <v>45</v>
      </c>
      <c r="M197" s="96" t="s">
        <v>360</v>
      </c>
      <c r="N197" s="97"/>
      <c r="O197" s="97"/>
      <c r="P197" s="97"/>
      <c r="Q197" s="98"/>
      <c r="R197" s="49" t="s">
        <v>6</v>
      </c>
      <c r="S197" s="49" t="s">
        <v>6</v>
      </c>
      <c r="T197" s="50" t="s">
        <v>68</v>
      </c>
      <c r="U197" s="51">
        <v>170</v>
      </c>
      <c r="V197" s="52">
        <f t="shared" si="8"/>
        <v>170.4</v>
      </c>
      <c r="W197" s="53">
        <f t="shared" si="9"/>
        <v>0.53463000000000005</v>
      </c>
      <c r="X197" s="54" t="s">
        <v>6</v>
      </c>
      <c r="Y197" s="55" t="s">
        <v>6</v>
      </c>
      <c r="AC197" s="56" t="s">
        <v>1</v>
      </c>
    </row>
    <row r="198" spans="1:29" ht="27" customHeight="1" x14ac:dyDescent="0.25">
      <c r="A198" s="44" t="s">
        <v>361</v>
      </c>
      <c r="B198" s="44" t="s">
        <v>362</v>
      </c>
      <c r="C198" s="45">
        <v>4301051469</v>
      </c>
      <c r="D198" s="95">
        <v>4680115880221</v>
      </c>
      <c r="E198" s="95"/>
      <c r="F198" s="46">
        <v>0.4</v>
      </c>
      <c r="G198" s="47">
        <v>6</v>
      </c>
      <c r="H198" s="46">
        <v>2.4</v>
      </c>
      <c r="I198" s="46">
        <v>2.6720000000000002</v>
      </c>
      <c r="J198" s="47">
        <v>156</v>
      </c>
      <c r="K198" s="48" t="s">
        <v>131</v>
      </c>
      <c r="L198" s="47">
        <v>45</v>
      </c>
      <c r="M198" s="96" t="s">
        <v>363</v>
      </c>
      <c r="N198" s="97"/>
      <c r="O198" s="97"/>
      <c r="P198" s="97"/>
      <c r="Q198" s="98"/>
      <c r="R198" s="49" t="s">
        <v>6</v>
      </c>
      <c r="S198" s="49" t="s">
        <v>6</v>
      </c>
      <c r="T198" s="50" t="s">
        <v>68</v>
      </c>
      <c r="U198" s="51">
        <v>220</v>
      </c>
      <c r="V198" s="52">
        <f t="shared" si="8"/>
        <v>220.79999999999998</v>
      </c>
      <c r="W198" s="53">
        <f t="shared" si="9"/>
        <v>0.69276000000000004</v>
      </c>
      <c r="X198" s="54" t="s">
        <v>6</v>
      </c>
      <c r="Y198" s="55" t="s">
        <v>6</v>
      </c>
      <c r="AC198" s="56" t="s">
        <v>1</v>
      </c>
    </row>
    <row r="199" spans="1:29" ht="16.5" customHeight="1" x14ac:dyDescent="0.25">
      <c r="A199" s="44" t="s">
        <v>364</v>
      </c>
      <c r="B199" s="44" t="s">
        <v>365</v>
      </c>
      <c r="C199" s="45">
        <v>4301051523</v>
      </c>
      <c r="D199" s="95">
        <v>4680115882942</v>
      </c>
      <c r="E199" s="95"/>
      <c r="F199" s="46">
        <v>0.3</v>
      </c>
      <c r="G199" s="47">
        <v>6</v>
      </c>
      <c r="H199" s="46">
        <v>1.8</v>
      </c>
      <c r="I199" s="46">
        <v>2.0720000000000001</v>
      </c>
      <c r="J199" s="47">
        <v>156</v>
      </c>
      <c r="K199" s="48" t="s">
        <v>66</v>
      </c>
      <c r="L199" s="47">
        <v>40</v>
      </c>
      <c r="M199" s="96" t="s">
        <v>366</v>
      </c>
      <c r="N199" s="97"/>
      <c r="O199" s="97"/>
      <c r="P199" s="97"/>
      <c r="Q199" s="98"/>
      <c r="R199" s="49" t="s">
        <v>6</v>
      </c>
      <c r="S199" s="49" t="s">
        <v>6</v>
      </c>
      <c r="T199" s="50" t="s">
        <v>68</v>
      </c>
      <c r="U199" s="51">
        <v>0</v>
      </c>
      <c r="V199" s="52">
        <f t="shared" si="8"/>
        <v>0</v>
      </c>
      <c r="W199" s="53" t="str">
        <f t="shared" si="9"/>
        <v/>
      </c>
      <c r="X199" s="54" t="s">
        <v>6</v>
      </c>
      <c r="Y199" s="55" t="s">
        <v>6</v>
      </c>
      <c r="AC199" s="56" t="s">
        <v>1</v>
      </c>
    </row>
    <row r="200" spans="1:29" ht="16.5" customHeight="1" x14ac:dyDescent="0.25">
      <c r="A200" s="44" t="s">
        <v>367</v>
      </c>
      <c r="B200" s="44" t="s">
        <v>368</v>
      </c>
      <c r="C200" s="45">
        <v>4301051326</v>
      </c>
      <c r="D200" s="95">
        <v>4680115880504</v>
      </c>
      <c r="E200" s="95"/>
      <c r="F200" s="46">
        <v>0.4</v>
      </c>
      <c r="G200" s="47">
        <v>6</v>
      </c>
      <c r="H200" s="46">
        <v>2.4</v>
      </c>
      <c r="I200" s="46">
        <v>2.6720000000000002</v>
      </c>
      <c r="J200" s="47">
        <v>156</v>
      </c>
      <c r="K200" s="48" t="s">
        <v>66</v>
      </c>
      <c r="L200" s="47">
        <v>40</v>
      </c>
      <c r="M200" s="1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0" s="97"/>
      <c r="O200" s="97"/>
      <c r="P200" s="97"/>
      <c r="Q200" s="98"/>
      <c r="R200" s="49" t="s">
        <v>6</v>
      </c>
      <c r="S200" s="49" t="s">
        <v>6</v>
      </c>
      <c r="T200" s="50" t="s">
        <v>68</v>
      </c>
      <c r="U200" s="51">
        <v>31</v>
      </c>
      <c r="V200" s="52">
        <f t="shared" si="8"/>
        <v>31.2</v>
      </c>
      <c r="W200" s="53">
        <f t="shared" si="9"/>
        <v>9.7890000000000005E-2</v>
      </c>
      <c r="X200" s="54" t="s">
        <v>6</v>
      </c>
      <c r="Y200" s="55" t="s">
        <v>6</v>
      </c>
      <c r="AC200" s="56" t="s">
        <v>1</v>
      </c>
    </row>
    <row r="201" spans="1:29" ht="27" customHeight="1" x14ac:dyDescent="0.25">
      <c r="A201" s="44" t="s">
        <v>369</v>
      </c>
      <c r="B201" s="44" t="s">
        <v>370</v>
      </c>
      <c r="C201" s="45">
        <v>4301051410</v>
      </c>
      <c r="D201" s="95">
        <v>4680115882164</v>
      </c>
      <c r="E201" s="95"/>
      <c r="F201" s="46">
        <v>0.4</v>
      </c>
      <c r="G201" s="47">
        <v>6</v>
      </c>
      <c r="H201" s="46">
        <v>2.4</v>
      </c>
      <c r="I201" s="46">
        <v>2.6779999999999999</v>
      </c>
      <c r="J201" s="47">
        <v>156</v>
      </c>
      <c r="K201" s="48" t="s">
        <v>131</v>
      </c>
      <c r="L201" s="47">
        <v>40</v>
      </c>
      <c r="M201" s="96" t="s">
        <v>371</v>
      </c>
      <c r="N201" s="97"/>
      <c r="O201" s="97"/>
      <c r="P201" s="97"/>
      <c r="Q201" s="98"/>
      <c r="R201" s="49" t="s">
        <v>6</v>
      </c>
      <c r="S201" s="49" t="s">
        <v>6</v>
      </c>
      <c r="T201" s="50" t="s">
        <v>68</v>
      </c>
      <c r="U201" s="51">
        <v>48</v>
      </c>
      <c r="V201" s="52">
        <f t="shared" si="8"/>
        <v>48</v>
      </c>
      <c r="W201" s="53">
        <f t="shared" si="9"/>
        <v>0.15060000000000001</v>
      </c>
      <c r="X201" s="54" t="s">
        <v>6</v>
      </c>
      <c r="Y201" s="55" t="s">
        <v>6</v>
      </c>
      <c r="AC201" s="56" t="s">
        <v>1</v>
      </c>
    </row>
    <row r="202" spans="1:29" x14ac:dyDescent="0.2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6"/>
      <c r="M202" s="87" t="s">
        <v>69</v>
      </c>
      <c r="N202" s="88"/>
      <c r="O202" s="88"/>
      <c r="P202" s="88"/>
      <c r="Q202" s="88"/>
      <c r="R202" s="88"/>
      <c r="S202" s="89"/>
      <c r="T202" s="57" t="s">
        <v>70</v>
      </c>
      <c r="U202" s="58">
        <f>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1474.0586419753088</v>
      </c>
      <c r="V202" s="58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1476</v>
      </c>
      <c r="W202" s="58">
        <f>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25.2774</v>
      </c>
      <c r="X202" s="59"/>
      <c r="Y202" s="59"/>
    </row>
    <row r="203" spans="1:29" x14ac:dyDescent="0.2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6"/>
      <c r="M203" s="87" t="s">
        <v>69</v>
      </c>
      <c r="N203" s="88"/>
      <c r="O203" s="88"/>
      <c r="P203" s="88"/>
      <c r="Q203" s="88"/>
      <c r="R203" s="88"/>
      <c r="S203" s="89"/>
      <c r="T203" s="57" t="s">
        <v>68</v>
      </c>
      <c r="U203" s="58">
        <f>IFERROR(SUM(U179:U201),"0")</f>
        <v>9205</v>
      </c>
      <c r="V203" s="58">
        <f>IFERROR(SUM(V179:V201),"0")</f>
        <v>9213.5999999999985</v>
      </c>
      <c r="W203" s="57"/>
      <c r="X203" s="59"/>
      <c r="Y203" s="59"/>
    </row>
    <row r="204" spans="1:29" ht="14.25" customHeight="1" x14ac:dyDescent="0.25">
      <c r="A204" s="94" t="s">
        <v>199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43"/>
      <c r="Y204" s="43"/>
    </row>
    <row r="205" spans="1:29" ht="16.5" customHeight="1" x14ac:dyDescent="0.25">
      <c r="A205" s="44" t="s">
        <v>372</v>
      </c>
      <c r="B205" s="44" t="s">
        <v>373</v>
      </c>
      <c r="C205" s="45">
        <v>4301060326</v>
      </c>
      <c r="D205" s="95">
        <v>4607091380880</v>
      </c>
      <c r="E205" s="95"/>
      <c r="F205" s="46">
        <v>1.4</v>
      </c>
      <c r="G205" s="47">
        <v>6</v>
      </c>
      <c r="H205" s="46">
        <v>8.4</v>
      </c>
      <c r="I205" s="46">
        <v>8.9640000000000004</v>
      </c>
      <c r="J205" s="47">
        <v>56</v>
      </c>
      <c r="K205" s="48" t="s">
        <v>66</v>
      </c>
      <c r="L205" s="47">
        <v>30</v>
      </c>
      <c r="M205" s="1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5" s="97"/>
      <c r="O205" s="97"/>
      <c r="P205" s="97"/>
      <c r="Q205" s="98"/>
      <c r="R205" s="49" t="s">
        <v>6</v>
      </c>
      <c r="S205" s="49" t="s">
        <v>6</v>
      </c>
      <c r="T205" s="50" t="s">
        <v>68</v>
      </c>
      <c r="U205" s="51">
        <v>50</v>
      </c>
      <c r="V205" s="52">
        <f t="shared" ref="V205:V210" si="10">IFERROR(IF(U205="",0,CEILING((U205/$H205),1)*$H205),"")</f>
        <v>50.400000000000006</v>
      </c>
      <c r="W205" s="53">
        <f>IFERROR(IF(V205=0,"",ROUNDUP(V205/H205,0)*0.02175),"")</f>
        <v>0.1305</v>
      </c>
      <c r="X205" s="54" t="s">
        <v>6</v>
      </c>
      <c r="Y205" s="55" t="s">
        <v>6</v>
      </c>
      <c r="AC205" s="56" t="s">
        <v>1</v>
      </c>
    </row>
    <row r="206" spans="1:29" ht="27" customHeight="1" x14ac:dyDescent="0.25">
      <c r="A206" s="44" t="s">
        <v>374</v>
      </c>
      <c r="B206" s="44" t="s">
        <v>375</v>
      </c>
      <c r="C206" s="45">
        <v>4301060308</v>
      </c>
      <c r="D206" s="95">
        <v>4607091384482</v>
      </c>
      <c r="E206" s="95"/>
      <c r="F206" s="46">
        <v>1.3</v>
      </c>
      <c r="G206" s="47">
        <v>6</v>
      </c>
      <c r="H206" s="46">
        <v>7.8</v>
      </c>
      <c r="I206" s="46">
        <v>8.3640000000000008</v>
      </c>
      <c r="J206" s="47">
        <v>56</v>
      </c>
      <c r="K206" s="48" t="s">
        <v>66</v>
      </c>
      <c r="L206" s="47">
        <v>30</v>
      </c>
      <c r="M206" s="1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6" s="97"/>
      <c r="O206" s="97"/>
      <c r="P206" s="97"/>
      <c r="Q206" s="98"/>
      <c r="R206" s="49" t="s">
        <v>6</v>
      </c>
      <c r="S206" s="49" t="s">
        <v>6</v>
      </c>
      <c r="T206" s="50" t="s">
        <v>68</v>
      </c>
      <c r="U206" s="51">
        <v>109</v>
      </c>
      <c r="V206" s="52">
        <f t="shared" si="10"/>
        <v>109.2</v>
      </c>
      <c r="W206" s="53">
        <f>IFERROR(IF(V206=0,"",ROUNDUP(V206/H206,0)*0.02175),"")</f>
        <v>0.30449999999999999</v>
      </c>
      <c r="X206" s="54" t="s">
        <v>6</v>
      </c>
      <c r="Y206" s="55" t="s">
        <v>6</v>
      </c>
      <c r="AC206" s="56" t="s">
        <v>1</v>
      </c>
    </row>
    <row r="207" spans="1:29" ht="16.5" customHeight="1" x14ac:dyDescent="0.25">
      <c r="A207" s="44" t="s">
        <v>376</v>
      </c>
      <c r="B207" s="44" t="s">
        <v>377</v>
      </c>
      <c r="C207" s="45">
        <v>4301060325</v>
      </c>
      <c r="D207" s="95">
        <v>4607091380897</v>
      </c>
      <c r="E207" s="95"/>
      <c r="F207" s="46">
        <v>1.4</v>
      </c>
      <c r="G207" s="47">
        <v>6</v>
      </c>
      <c r="H207" s="46">
        <v>8.4</v>
      </c>
      <c r="I207" s="46">
        <v>8.9640000000000004</v>
      </c>
      <c r="J207" s="47">
        <v>56</v>
      </c>
      <c r="K207" s="48" t="s">
        <v>66</v>
      </c>
      <c r="L207" s="47">
        <v>30</v>
      </c>
      <c r="M207" s="1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7" s="97"/>
      <c r="O207" s="97"/>
      <c r="P207" s="97"/>
      <c r="Q207" s="98"/>
      <c r="R207" s="49" t="s">
        <v>6</v>
      </c>
      <c r="S207" s="49" t="s">
        <v>6</v>
      </c>
      <c r="T207" s="50" t="s">
        <v>68</v>
      </c>
      <c r="U207" s="51">
        <v>16</v>
      </c>
      <c r="V207" s="52">
        <f t="shared" si="10"/>
        <v>16.8</v>
      </c>
      <c r="W207" s="53">
        <f>IFERROR(IF(V207=0,"",ROUNDUP(V207/H207,0)*0.02175),"")</f>
        <v>4.3499999999999997E-2</v>
      </c>
      <c r="X207" s="54" t="s">
        <v>6</v>
      </c>
      <c r="Y207" s="55" t="s">
        <v>6</v>
      </c>
      <c r="AC207" s="56" t="s">
        <v>1</v>
      </c>
    </row>
    <row r="208" spans="1:29" ht="16.5" customHeight="1" x14ac:dyDescent="0.25">
      <c r="A208" s="44" t="s">
        <v>378</v>
      </c>
      <c r="B208" s="44" t="s">
        <v>379</v>
      </c>
      <c r="C208" s="45">
        <v>4301060338</v>
      </c>
      <c r="D208" s="95">
        <v>4680115880801</v>
      </c>
      <c r="E208" s="95"/>
      <c r="F208" s="46">
        <v>0.4</v>
      </c>
      <c r="G208" s="47">
        <v>6</v>
      </c>
      <c r="H208" s="46">
        <v>2.4</v>
      </c>
      <c r="I208" s="46">
        <v>2.6720000000000002</v>
      </c>
      <c r="J208" s="47">
        <v>156</v>
      </c>
      <c r="K208" s="48" t="s">
        <v>66</v>
      </c>
      <c r="L208" s="47">
        <v>40</v>
      </c>
      <c r="M208" s="96" t="s">
        <v>380</v>
      </c>
      <c r="N208" s="97"/>
      <c r="O208" s="97"/>
      <c r="P208" s="97"/>
      <c r="Q208" s="98"/>
      <c r="R208" s="49" t="s">
        <v>6</v>
      </c>
      <c r="S208" s="49" t="s">
        <v>6</v>
      </c>
      <c r="T208" s="50" t="s">
        <v>68</v>
      </c>
      <c r="U208" s="51">
        <v>4</v>
      </c>
      <c r="V208" s="52">
        <f t="shared" si="10"/>
        <v>4.8</v>
      </c>
      <c r="W208" s="53">
        <f>IFERROR(IF(V208=0,"",ROUNDUP(V208/H208,0)*0.00753),"")</f>
        <v>1.506E-2</v>
      </c>
      <c r="X208" s="54" t="s">
        <v>6</v>
      </c>
      <c r="Y208" s="55" t="s">
        <v>6</v>
      </c>
      <c r="AC208" s="56" t="s">
        <v>1</v>
      </c>
    </row>
    <row r="209" spans="1:29" ht="27" customHeight="1" x14ac:dyDescent="0.25">
      <c r="A209" s="44" t="s">
        <v>381</v>
      </c>
      <c r="B209" s="44" t="s">
        <v>382</v>
      </c>
      <c r="C209" s="45">
        <v>4301060339</v>
      </c>
      <c r="D209" s="95">
        <v>4680115880818</v>
      </c>
      <c r="E209" s="95"/>
      <c r="F209" s="46">
        <v>0.4</v>
      </c>
      <c r="G209" s="47">
        <v>6</v>
      </c>
      <c r="H209" s="46">
        <v>2.4</v>
      </c>
      <c r="I209" s="46">
        <v>2.6720000000000002</v>
      </c>
      <c r="J209" s="47">
        <v>156</v>
      </c>
      <c r="K209" s="48" t="s">
        <v>66</v>
      </c>
      <c r="L209" s="47">
        <v>40</v>
      </c>
      <c r="M209" s="96" t="s">
        <v>383</v>
      </c>
      <c r="N209" s="97"/>
      <c r="O209" s="97"/>
      <c r="P209" s="97"/>
      <c r="Q209" s="98"/>
      <c r="R209" s="49" t="s">
        <v>6</v>
      </c>
      <c r="S209" s="49" t="s">
        <v>6</v>
      </c>
      <c r="T209" s="50" t="s">
        <v>68</v>
      </c>
      <c r="U209" s="51">
        <v>9</v>
      </c>
      <c r="V209" s="52">
        <f t="shared" si="10"/>
        <v>9.6</v>
      </c>
      <c r="W209" s="53">
        <f>IFERROR(IF(V209=0,"",ROUNDUP(V209/H209,0)*0.00753),"")</f>
        <v>3.0120000000000001E-2</v>
      </c>
      <c r="X209" s="54" t="s">
        <v>6</v>
      </c>
      <c r="Y209" s="55" t="s">
        <v>6</v>
      </c>
      <c r="AC209" s="56" t="s">
        <v>1</v>
      </c>
    </row>
    <row r="210" spans="1:29" ht="16.5" customHeight="1" x14ac:dyDescent="0.25">
      <c r="A210" s="44" t="s">
        <v>384</v>
      </c>
      <c r="B210" s="44" t="s">
        <v>385</v>
      </c>
      <c r="C210" s="45">
        <v>4301060337</v>
      </c>
      <c r="D210" s="95">
        <v>4680115880368</v>
      </c>
      <c r="E210" s="95"/>
      <c r="F210" s="46">
        <v>1</v>
      </c>
      <c r="G210" s="47">
        <v>4</v>
      </c>
      <c r="H210" s="46">
        <v>4</v>
      </c>
      <c r="I210" s="46">
        <v>4.3600000000000003</v>
      </c>
      <c r="J210" s="47">
        <v>104</v>
      </c>
      <c r="K210" s="48" t="s">
        <v>131</v>
      </c>
      <c r="L210" s="47">
        <v>40</v>
      </c>
      <c r="M210" s="96" t="s">
        <v>386</v>
      </c>
      <c r="N210" s="97"/>
      <c r="O210" s="97"/>
      <c r="P210" s="97"/>
      <c r="Q210" s="98"/>
      <c r="R210" s="49" t="s">
        <v>6</v>
      </c>
      <c r="S210" s="49" t="s">
        <v>6</v>
      </c>
      <c r="T210" s="50" t="s">
        <v>68</v>
      </c>
      <c r="U210" s="51">
        <v>0</v>
      </c>
      <c r="V210" s="52">
        <f t="shared" si="10"/>
        <v>0</v>
      </c>
      <c r="W210" s="53" t="str">
        <f>IFERROR(IF(V210=0,"",ROUNDUP(V210/H210,0)*0.01196),"")</f>
        <v/>
      </c>
      <c r="X210" s="54" t="s">
        <v>6</v>
      </c>
      <c r="Y210" s="55" t="s">
        <v>6</v>
      </c>
      <c r="AC210" s="56" t="s">
        <v>1</v>
      </c>
    </row>
    <row r="211" spans="1:29" x14ac:dyDescent="0.2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6"/>
      <c r="M211" s="87" t="s">
        <v>69</v>
      </c>
      <c r="N211" s="88"/>
      <c r="O211" s="88"/>
      <c r="P211" s="88"/>
      <c r="Q211" s="88"/>
      <c r="R211" s="88"/>
      <c r="S211" s="89"/>
      <c r="T211" s="57" t="s">
        <v>70</v>
      </c>
      <c r="U211" s="58">
        <f>IFERROR(U205/H205,"0")+IFERROR(U206/H206,"0")+IFERROR(U207/H207,"0")+IFERROR(U208/H208,"0")+IFERROR(U209/H209,"0")+IFERROR(U210/H210,"0")</f>
        <v>27.2481684981685</v>
      </c>
      <c r="V211" s="58">
        <f>IFERROR(V205/H205,"0")+IFERROR(V206/H206,"0")+IFERROR(V207/H207,"0")+IFERROR(V208/H208,"0")+IFERROR(V209/H209,"0")+IFERROR(V210/H210,"0")</f>
        <v>28</v>
      </c>
      <c r="W211" s="58">
        <f>IFERROR(IF(W205="",0,W205),"0")+IFERROR(IF(W206="",0,W206),"0")+IFERROR(IF(W207="",0,W207),"0")+IFERROR(IF(W208="",0,W208),"0")+IFERROR(IF(W209="",0,W209),"0")+IFERROR(IF(W210="",0,W210),"0")</f>
        <v>0.52368000000000003</v>
      </c>
      <c r="X211" s="59"/>
      <c r="Y211" s="59"/>
    </row>
    <row r="212" spans="1:29" x14ac:dyDescent="0.2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6"/>
      <c r="M212" s="87" t="s">
        <v>69</v>
      </c>
      <c r="N212" s="88"/>
      <c r="O212" s="88"/>
      <c r="P212" s="88"/>
      <c r="Q212" s="88"/>
      <c r="R212" s="88"/>
      <c r="S212" s="89"/>
      <c r="T212" s="57" t="s">
        <v>68</v>
      </c>
      <c r="U212" s="58">
        <f>IFERROR(SUM(U205:U210),"0")</f>
        <v>188</v>
      </c>
      <c r="V212" s="58">
        <f>IFERROR(SUM(V205:V210),"0")</f>
        <v>190.80000000000004</v>
      </c>
      <c r="W212" s="57"/>
      <c r="X212" s="59"/>
      <c r="Y212" s="59"/>
    </row>
    <row r="213" spans="1:29" ht="14.25" customHeight="1" x14ac:dyDescent="0.25">
      <c r="A213" s="94" t="s">
        <v>85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43"/>
      <c r="Y213" s="43"/>
    </row>
    <row r="214" spans="1:29" ht="16.5" customHeight="1" x14ac:dyDescent="0.25">
      <c r="A214" s="44" t="s">
        <v>387</v>
      </c>
      <c r="B214" s="44" t="s">
        <v>388</v>
      </c>
      <c r="C214" s="45">
        <v>4301030232</v>
      </c>
      <c r="D214" s="95">
        <v>4607091388374</v>
      </c>
      <c r="E214" s="95"/>
      <c r="F214" s="46">
        <v>0.38</v>
      </c>
      <c r="G214" s="47">
        <v>8</v>
      </c>
      <c r="H214" s="46">
        <v>3.04</v>
      </c>
      <c r="I214" s="46">
        <v>3.28</v>
      </c>
      <c r="J214" s="47">
        <v>156</v>
      </c>
      <c r="K214" s="48" t="s">
        <v>88</v>
      </c>
      <c r="L214" s="47">
        <v>180</v>
      </c>
      <c r="M214" s="96" t="s">
        <v>389</v>
      </c>
      <c r="N214" s="97"/>
      <c r="O214" s="97"/>
      <c r="P214" s="97"/>
      <c r="Q214" s="98"/>
      <c r="R214" s="49" t="s">
        <v>6</v>
      </c>
      <c r="S214" s="49" t="s">
        <v>6</v>
      </c>
      <c r="T214" s="50" t="s">
        <v>68</v>
      </c>
      <c r="U214" s="51">
        <v>3</v>
      </c>
      <c r="V214" s="52">
        <f>IFERROR(IF(U214="",0,CEILING((U214/$H214),1)*$H214),"")</f>
        <v>3.04</v>
      </c>
      <c r="W214" s="53">
        <f>IFERROR(IF(V214=0,"",ROUNDUP(V214/H214,0)*0.00753),"")</f>
        <v>7.5300000000000002E-3</v>
      </c>
      <c r="X214" s="54" t="s">
        <v>6</v>
      </c>
      <c r="Y214" s="55" t="s">
        <v>6</v>
      </c>
      <c r="AC214" s="56" t="s">
        <v>1</v>
      </c>
    </row>
    <row r="215" spans="1:29" ht="27" customHeight="1" x14ac:dyDescent="0.25">
      <c r="A215" s="44" t="s">
        <v>390</v>
      </c>
      <c r="B215" s="44" t="s">
        <v>391</v>
      </c>
      <c r="C215" s="45">
        <v>4301030235</v>
      </c>
      <c r="D215" s="95">
        <v>4607091388381</v>
      </c>
      <c r="E215" s="95"/>
      <c r="F215" s="46">
        <v>0.38</v>
      </c>
      <c r="G215" s="47">
        <v>8</v>
      </c>
      <c r="H215" s="46">
        <v>3.04</v>
      </c>
      <c r="I215" s="46">
        <v>3.32</v>
      </c>
      <c r="J215" s="47">
        <v>156</v>
      </c>
      <c r="K215" s="48" t="s">
        <v>88</v>
      </c>
      <c r="L215" s="47">
        <v>180</v>
      </c>
      <c r="M215" s="96" t="s">
        <v>392</v>
      </c>
      <c r="N215" s="97"/>
      <c r="O215" s="97"/>
      <c r="P215" s="97"/>
      <c r="Q215" s="98"/>
      <c r="R215" s="49" t="s">
        <v>6</v>
      </c>
      <c r="S215" s="49" t="s">
        <v>6</v>
      </c>
      <c r="T215" s="50" t="s">
        <v>68</v>
      </c>
      <c r="U215" s="51">
        <v>6</v>
      </c>
      <c r="V215" s="52">
        <f>IFERROR(IF(U215="",0,CEILING((U215/$H215),1)*$H215),"")</f>
        <v>6.08</v>
      </c>
      <c r="W215" s="53">
        <f>IFERROR(IF(V215=0,"",ROUNDUP(V215/H215,0)*0.00753),"")</f>
        <v>1.506E-2</v>
      </c>
      <c r="X215" s="54" t="s">
        <v>6</v>
      </c>
      <c r="Y215" s="55" t="s">
        <v>6</v>
      </c>
      <c r="AC215" s="56" t="s">
        <v>1</v>
      </c>
    </row>
    <row r="216" spans="1:29" ht="27" customHeight="1" x14ac:dyDescent="0.25">
      <c r="A216" s="44" t="s">
        <v>393</v>
      </c>
      <c r="B216" s="44" t="s">
        <v>394</v>
      </c>
      <c r="C216" s="45">
        <v>4301030233</v>
      </c>
      <c r="D216" s="95">
        <v>4607091388404</v>
      </c>
      <c r="E216" s="95"/>
      <c r="F216" s="46">
        <v>0.17</v>
      </c>
      <c r="G216" s="47">
        <v>15</v>
      </c>
      <c r="H216" s="46">
        <v>2.5499999999999998</v>
      </c>
      <c r="I216" s="46">
        <v>2.9</v>
      </c>
      <c r="J216" s="47">
        <v>156</v>
      </c>
      <c r="K216" s="48" t="s">
        <v>88</v>
      </c>
      <c r="L216" s="47">
        <v>180</v>
      </c>
      <c r="M216" s="1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6" s="97"/>
      <c r="O216" s="97"/>
      <c r="P216" s="97"/>
      <c r="Q216" s="98"/>
      <c r="R216" s="49" t="s">
        <v>6</v>
      </c>
      <c r="S216" s="49" t="s">
        <v>6</v>
      </c>
      <c r="T216" s="50" t="s">
        <v>68</v>
      </c>
      <c r="U216" s="51">
        <v>5</v>
      </c>
      <c r="V216" s="52">
        <f>IFERROR(IF(U216="",0,CEILING((U216/$H216),1)*$H216),"")</f>
        <v>5.0999999999999996</v>
      </c>
      <c r="W216" s="53">
        <f>IFERROR(IF(V216=0,"",ROUNDUP(V216/H216,0)*0.00753),"")</f>
        <v>1.506E-2</v>
      </c>
      <c r="X216" s="54" t="s">
        <v>6</v>
      </c>
      <c r="Y216" s="55" t="s">
        <v>6</v>
      </c>
      <c r="AC216" s="56" t="s">
        <v>1</v>
      </c>
    </row>
    <row r="217" spans="1:29" x14ac:dyDescent="0.25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6"/>
      <c r="M217" s="87" t="s">
        <v>69</v>
      </c>
      <c r="N217" s="88"/>
      <c r="O217" s="88"/>
      <c r="P217" s="88"/>
      <c r="Q217" s="88"/>
      <c r="R217" s="88"/>
      <c r="S217" s="89"/>
      <c r="T217" s="57" t="s">
        <v>70</v>
      </c>
      <c r="U217" s="58">
        <f>IFERROR(U214/H214,"0")+IFERROR(U215/H215,"0")+IFERROR(U216/H216,"0")</f>
        <v>4.9213106295149638</v>
      </c>
      <c r="V217" s="58">
        <f>IFERROR(V214/H214,"0")+IFERROR(V215/H215,"0")+IFERROR(V216/H216,"0")</f>
        <v>5</v>
      </c>
      <c r="W217" s="58">
        <f>IFERROR(IF(W214="",0,W214),"0")+IFERROR(IF(W215="",0,W215),"0")+IFERROR(IF(W216="",0,W216),"0")</f>
        <v>3.7650000000000003E-2</v>
      </c>
      <c r="X217" s="59"/>
      <c r="Y217" s="59"/>
    </row>
    <row r="218" spans="1:29" x14ac:dyDescent="0.25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6"/>
      <c r="M218" s="87" t="s">
        <v>69</v>
      </c>
      <c r="N218" s="88"/>
      <c r="O218" s="88"/>
      <c r="P218" s="88"/>
      <c r="Q218" s="88"/>
      <c r="R218" s="88"/>
      <c r="S218" s="89"/>
      <c r="T218" s="57" t="s">
        <v>68</v>
      </c>
      <c r="U218" s="58">
        <f>IFERROR(SUM(U214:U216),"0")</f>
        <v>14</v>
      </c>
      <c r="V218" s="58">
        <f>IFERROR(SUM(V214:V216),"0")</f>
        <v>14.22</v>
      </c>
      <c r="W218" s="57"/>
      <c r="X218" s="59"/>
      <c r="Y218" s="59"/>
    </row>
    <row r="219" spans="1:29" ht="14.25" customHeight="1" x14ac:dyDescent="0.25">
      <c r="A219" s="94" t="s">
        <v>395</v>
      </c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43"/>
      <c r="Y219" s="43"/>
    </row>
    <row r="220" spans="1:29" ht="16.5" customHeight="1" x14ac:dyDescent="0.25">
      <c r="A220" s="44" t="s">
        <v>396</v>
      </c>
      <c r="B220" s="44" t="s">
        <v>397</v>
      </c>
      <c r="C220" s="45">
        <v>4301180002</v>
      </c>
      <c r="D220" s="95">
        <v>4680115880122</v>
      </c>
      <c r="E220" s="95"/>
      <c r="F220" s="46">
        <v>0.1</v>
      </c>
      <c r="G220" s="47">
        <v>20</v>
      </c>
      <c r="H220" s="46">
        <v>2</v>
      </c>
      <c r="I220" s="46">
        <v>2.2400000000000002</v>
      </c>
      <c r="J220" s="47">
        <v>238</v>
      </c>
      <c r="K220" s="48" t="s">
        <v>398</v>
      </c>
      <c r="L220" s="47">
        <v>730</v>
      </c>
      <c r="M220" s="100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0" s="97"/>
      <c r="O220" s="97"/>
      <c r="P220" s="97"/>
      <c r="Q220" s="98"/>
      <c r="R220" s="49" t="s">
        <v>6</v>
      </c>
      <c r="S220" s="49" t="s">
        <v>6</v>
      </c>
      <c r="T220" s="50" t="s">
        <v>68</v>
      </c>
      <c r="U220" s="51">
        <v>0</v>
      </c>
      <c r="V220" s="52">
        <f>IFERROR(IF(U220="",0,CEILING((U220/$H220),1)*$H220),"")</f>
        <v>0</v>
      </c>
      <c r="W220" s="53" t="str">
        <f>IFERROR(IF(V220=0,"",ROUNDUP(V220/H220,0)*0.00474),"")</f>
        <v/>
      </c>
      <c r="X220" s="54" t="s">
        <v>6</v>
      </c>
      <c r="Y220" s="55" t="s">
        <v>6</v>
      </c>
      <c r="AC220" s="56" t="s">
        <v>1</v>
      </c>
    </row>
    <row r="221" spans="1:29" ht="16.5" customHeight="1" x14ac:dyDescent="0.25">
      <c r="A221" s="44" t="s">
        <v>399</v>
      </c>
      <c r="B221" s="44" t="s">
        <v>400</v>
      </c>
      <c r="C221" s="45">
        <v>4301180007</v>
      </c>
      <c r="D221" s="95">
        <v>4680115881808</v>
      </c>
      <c r="E221" s="95"/>
      <c r="F221" s="46">
        <v>0.1</v>
      </c>
      <c r="G221" s="47">
        <v>20</v>
      </c>
      <c r="H221" s="46">
        <v>2</v>
      </c>
      <c r="I221" s="46">
        <v>2.2400000000000002</v>
      </c>
      <c r="J221" s="47">
        <v>238</v>
      </c>
      <c r="K221" s="48" t="s">
        <v>398</v>
      </c>
      <c r="L221" s="47">
        <v>730</v>
      </c>
      <c r="M221" s="96" t="s">
        <v>401</v>
      </c>
      <c r="N221" s="97"/>
      <c r="O221" s="97"/>
      <c r="P221" s="97"/>
      <c r="Q221" s="98"/>
      <c r="R221" s="49" t="s">
        <v>6</v>
      </c>
      <c r="S221" s="49" t="s">
        <v>6</v>
      </c>
      <c r="T221" s="50" t="s">
        <v>68</v>
      </c>
      <c r="U221" s="51">
        <v>0</v>
      </c>
      <c r="V221" s="52">
        <f>IFERROR(IF(U221="",0,CEILING((U221/$H221),1)*$H221),"")</f>
        <v>0</v>
      </c>
      <c r="W221" s="53" t="str">
        <f>IFERROR(IF(V221=0,"",ROUNDUP(V221/H221,0)*0.00474),"")</f>
        <v/>
      </c>
      <c r="X221" s="54" t="s">
        <v>6</v>
      </c>
      <c r="Y221" s="55" t="s">
        <v>6</v>
      </c>
      <c r="AC221" s="56" t="s">
        <v>1</v>
      </c>
    </row>
    <row r="222" spans="1:29" ht="27" customHeight="1" x14ac:dyDescent="0.25">
      <c r="A222" s="44" t="s">
        <v>402</v>
      </c>
      <c r="B222" s="44" t="s">
        <v>403</v>
      </c>
      <c r="C222" s="45">
        <v>4301180006</v>
      </c>
      <c r="D222" s="95">
        <v>4680115881822</v>
      </c>
      <c r="E222" s="95"/>
      <c r="F222" s="46">
        <v>0.1</v>
      </c>
      <c r="G222" s="47">
        <v>20</v>
      </c>
      <c r="H222" s="46">
        <v>2</v>
      </c>
      <c r="I222" s="46">
        <v>2.2400000000000002</v>
      </c>
      <c r="J222" s="47">
        <v>238</v>
      </c>
      <c r="K222" s="48" t="s">
        <v>398</v>
      </c>
      <c r="L222" s="47">
        <v>730</v>
      </c>
      <c r="M222" s="96" t="s">
        <v>404</v>
      </c>
      <c r="N222" s="97"/>
      <c r="O222" s="97"/>
      <c r="P222" s="97"/>
      <c r="Q222" s="98"/>
      <c r="R222" s="49" t="s">
        <v>6</v>
      </c>
      <c r="S222" s="49" t="s">
        <v>6</v>
      </c>
      <c r="T222" s="50" t="s">
        <v>68</v>
      </c>
      <c r="U222" s="51">
        <v>0</v>
      </c>
      <c r="V222" s="52">
        <f>IFERROR(IF(U222="",0,CEILING((U222/$H222),1)*$H222),"")</f>
        <v>0</v>
      </c>
      <c r="W222" s="53" t="str">
        <f>IFERROR(IF(V222=0,"",ROUNDUP(V222/H222,0)*0.00474),"")</f>
        <v/>
      </c>
      <c r="X222" s="54" t="s">
        <v>6</v>
      </c>
      <c r="Y222" s="55" t="s">
        <v>6</v>
      </c>
      <c r="AC222" s="56" t="s">
        <v>1</v>
      </c>
    </row>
    <row r="223" spans="1:29" ht="27" customHeight="1" x14ac:dyDescent="0.25">
      <c r="A223" s="44" t="s">
        <v>405</v>
      </c>
      <c r="B223" s="44" t="s">
        <v>406</v>
      </c>
      <c r="C223" s="45">
        <v>4301180001</v>
      </c>
      <c r="D223" s="95">
        <v>4680115880016</v>
      </c>
      <c r="E223" s="95"/>
      <c r="F223" s="46">
        <v>0.1</v>
      </c>
      <c r="G223" s="47">
        <v>20</v>
      </c>
      <c r="H223" s="46">
        <v>2</v>
      </c>
      <c r="I223" s="46">
        <v>2.2400000000000002</v>
      </c>
      <c r="J223" s="47">
        <v>238</v>
      </c>
      <c r="K223" s="48" t="s">
        <v>398</v>
      </c>
      <c r="L223" s="47">
        <v>730</v>
      </c>
      <c r="M223" s="1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3" s="97"/>
      <c r="O223" s="97"/>
      <c r="P223" s="97"/>
      <c r="Q223" s="98"/>
      <c r="R223" s="49" t="s">
        <v>6</v>
      </c>
      <c r="S223" s="49" t="s">
        <v>6</v>
      </c>
      <c r="T223" s="50" t="s">
        <v>68</v>
      </c>
      <c r="U223" s="51">
        <v>0</v>
      </c>
      <c r="V223" s="52">
        <f>IFERROR(IF(U223="",0,CEILING((U223/$H223),1)*$H223),"")</f>
        <v>0</v>
      </c>
      <c r="W223" s="53" t="str">
        <f>IFERROR(IF(V223=0,"",ROUNDUP(V223/H223,0)*0.00474),"")</f>
        <v/>
      </c>
      <c r="X223" s="54" t="s">
        <v>6</v>
      </c>
      <c r="Y223" s="55" t="s">
        <v>6</v>
      </c>
      <c r="AC223" s="56" t="s">
        <v>1</v>
      </c>
    </row>
    <row r="224" spans="1:29" x14ac:dyDescent="0.25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6"/>
      <c r="M224" s="87" t="s">
        <v>69</v>
      </c>
      <c r="N224" s="88"/>
      <c r="O224" s="88"/>
      <c r="P224" s="88"/>
      <c r="Q224" s="88"/>
      <c r="R224" s="88"/>
      <c r="S224" s="89"/>
      <c r="T224" s="57" t="s">
        <v>70</v>
      </c>
      <c r="U224" s="58">
        <f>IFERROR(U220/H220,"0")+IFERROR(U221/H221,"0")+IFERROR(U222/H222,"0")+IFERROR(U223/H223,"0")</f>
        <v>0</v>
      </c>
      <c r="V224" s="58">
        <f>IFERROR(V220/H220,"0")+IFERROR(V221/H221,"0")+IFERROR(V222/H222,"0")+IFERROR(V223/H223,"0")</f>
        <v>0</v>
      </c>
      <c r="W224" s="58">
        <f>IFERROR(IF(W220="",0,W220),"0")+IFERROR(IF(W221="",0,W221),"0")+IFERROR(IF(W222="",0,W222),"0")+IFERROR(IF(W223="",0,W223),"0")</f>
        <v>0</v>
      </c>
      <c r="X224" s="59"/>
      <c r="Y224" s="59"/>
    </row>
    <row r="225" spans="1:29" x14ac:dyDescent="0.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6"/>
      <c r="M225" s="87" t="s">
        <v>69</v>
      </c>
      <c r="N225" s="88"/>
      <c r="O225" s="88"/>
      <c r="P225" s="88"/>
      <c r="Q225" s="88"/>
      <c r="R225" s="88"/>
      <c r="S225" s="89"/>
      <c r="T225" s="57" t="s">
        <v>68</v>
      </c>
      <c r="U225" s="58">
        <f>IFERROR(SUM(U220:U223),"0")</f>
        <v>0</v>
      </c>
      <c r="V225" s="58">
        <f>IFERROR(SUM(V220:V223),"0")</f>
        <v>0</v>
      </c>
      <c r="W225" s="57"/>
      <c r="X225" s="59"/>
      <c r="Y225" s="59"/>
    </row>
    <row r="226" spans="1:29" ht="16.5" customHeight="1" x14ac:dyDescent="0.25">
      <c r="A226" s="99" t="s">
        <v>407</v>
      </c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42"/>
      <c r="Y226" s="42"/>
    </row>
    <row r="227" spans="1:29" ht="14.25" customHeight="1" x14ac:dyDescent="0.25">
      <c r="A227" s="94" t="s">
        <v>107</v>
      </c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43"/>
      <c r="Y227" s="43"/>
    </row>
    <row r="228" spans="1:29" ht="27" customHeight="1" x14ac:dyDescent="0.25">
      <c r="A228" s="44" t="s">
        <v>408</v>
      </c>
      <c r="B228" s="44" t="s">
        <v>409</v>
      </c>
      <c r="C228" s="45">
        <v>4301011315</v>
      </c>
      <c r="D228" s="95">
        <v>4607091387421</v>
      </c>
      <c r="E228" s="95"/>
      <c r="F228" s="46">
        <v>1.35</v>
      </c>
      <c r="G228" s="47">
        <v>8</v>
      </c>
      <c r="H228" s="46">
        <v>10.8</v>
      </c>
      <c r="I228" s="46">
        <v>11.28</v>
      </c>
      <c r="J228" s="47">
        <v>56</v>
      </c>
      <c r="K228" s="48" t="s">
        <v>105</v>
      </c>
      <c r="L228" s="47">
        <v>55</v>
      </c>
      <c r="M228" s="10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97"/>
      <c r="O228" s="97"/>
      <c r="P228" s="97"/>
      <c r="Q228" s="98"/>
      <c r="R228" s="49" t="s">
        <v>6</v>
      </c>
      <c r="S228" s="49" t="s">
        <v>6</v>
      </c>
      <c r="T228" s="50" t="s">
        <v>68</v>
      </c>
      <c r="U228" s="69">
        <v>21</v>
      </c>
      <c r="V228" s="52">
        <f t="shared" ref="V228:V234" si="11">IFERROR(IF(U228="",0,CEILING((U228/$H228),1)*$H228),"")</f>
        <v>21.6</v>
      </c>
      <c r="W228" s="53">
        <f>IFERROR(IF(V228=0,"",ROUNDUP(V228/H228,0)*0.02175),"")</f>
        <v>4.3499999999999997E-2</v>
      </c>
      <c r="X228" s="54" t="s">
        <v>6</v>
      </c>
      <c r="Y228" s="55" t="s">
        <v>6</v>
      </c>
      <c r="AC228" s="56" t="s">
        <v>1</v>
      </c>
    </row>
    <row r="229" spans="1:29" ht="27" customHeight="1" x14ac:dyDescent="0.25">
      <c r="A229" s="44" t="s">
        <v>408</v>
      </c>
      <c r="B229" s="44" t="s">
        <v>410</v>
      </c>
      <c r="C229" s="45">
        <v>4301011121</v>
      </c>
      <c r="D229" s="95">
        <v>4607091387421</v>
      </c>
      <c r="E229" s="95"/>
      <c r="F229" s="46">
        <v>1.35</v>
      </c>
      <c r="G229" s="47">
        <v>8</v>
      </c>
      <c r="H229" s="46">
        <v>10.8</v>
      </c>
      <c r="I229" s="46">
        <v>11.28</v>
      </c>
      <c r="J229" s="47">
        <v>48</v>
      </c>
      <c r="K229" s="48" t="s">
        <v>232</v>
      </c>
      <c r="L229" s="47">
        <v>55</v>
      </c>
      <c r="M229" s="1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9" s="97"/>
      <c r="O229" s="97"/>
      <c r="P229" s="97"/>
      <c r="Q229" s="98"/>
      <c r="R229" s="49" t="s">
        <v>6</v>
      </c>
      <c r="S229" s="49" t="s">
        <v>6</v>
      </c>
      <c r="T229" s="50" t="s">
        <v>68</v>
      </c>
      <c r="U229" s="51">
        <v>0</v>
      </c>
      <c r="V229" s="52">
        <f t="shared" si="11"/>
        <v>0</v>
      </c>
      <c r="W229" s="53" t="str">
        <f>IFERROR(IF(V229=0,"",ROUNDUP(V229/H229,0)*0.02039),"")</f>
        <v/>
      </c>
      <c r="X229" s="54" t="s">
        <v>6</v>
      </c>
      <c r="Y229" s="55" t="s">
        <v>6</v>
      </c>
      <c r="AC229" s="56" t="s">
        <v>1</v>
      </c>
    </row>
    <row r="230" spans="1:29" ht="27" customHeight="1" x14ac:dyDescent="0.25">
      <c r="A230" s="44" t="s">
        <v>411</v>
      </c>
      <c r="B230" s="44" t="s">
        <v>412</v>
      </c>
      <c r="C230" s="45">
        <v>4301011396</v>
      </c>
      <c r="D230" s="95">
        <v>4607091387452</v>
      </c>
      <c r="E230" s="95"/>
      <c r="F230" s="46">
        <v>1.35</v>
      </c>
      <c r="G230" s="47">
        <v>8</v>
      </c>
      <c r="H230" s="46">
        <v>10.8</v>
      </c>
      <c r="I230" s="46">
        <v>11.28</v>
      </c>
      <c r="J230" s="47">
        <v>48</v>
      </c>
      <c r="K230" s="48" t="s">
        <v>232</v>
      </c>
      <c r="L230" s="47">
        <v>55</v>
      </c>
      <c r="M230" s="1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97"/>
      <c r="O230" s="97"/>
      <c r="P230" s="97"/>
      <c r="Q230" s="98"/>
      <c r="R230" s="49" t="s">
        <v>6</v>
      </c>
      <c r="S230" s="49" t="s">
        <v>6</v>
      </c>
      <c r="T230" s="50" t="s">
        <v>68</v>
      </c>
      <c r="U230" s="51">
        <v>0</v>
      </c>
      <c r="V230" s="52">
        <f t="shared" si="11"/>
        <v>0</v>
      </c>
      <c r="W230" s="53" t="str">
        <f>IFERROR(IF(V230=0,"",ROUNDUP(V230/H230,0)*0.02039),"")</f>
        <v/>
      </c>
      <c r="X230" s="54" t="s">
        <v>6</v>
      </c>
      <c r="Y230" s="55" t="s">
        <v>6</v>
      </c>
      <c r="AC230" s="56" t="s">
        <v>1</v>
      </c>
    </row>
    <row r="231" spans="1:29" ht="27" customHeight="1" x14ac:dyDescent="0.25">
      <c r="A231" s="44" t="s">
        <v>411</v>
      </c>
      <c r="B231" s="44" t="s">
        <v>413</v>
      </c>
      <c r="C231" s="45">
        <v>4301011322</v>
      </c>
      <c r="D231" s="95">
        <v>4607091387452</v>
      </c>
      <c r="E231" s="95"/>
      <c r="F231" s="46">
        <v>1.35</v>
      </c>
      <c r="G231" s="47">
        <v>8</v>
      </c>
      <c r="H231" s="46">
        <v>10.8</v>
      </c>
      <c r="I231" s="46">
        <v>11.28</v>
      </c>
      <c r="J231" s="47">
        <v>56</v>
      </c>
      <c r="K231" s="48" t="s">
        <v>131</v>
      </c>
      <c r="L231" s="47">
        <v>55</v>
      </c>
      <c r="M231" s="10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1" s="97"/>
      <c r="O231" s="97"/>
      <c r="P231" s="97"/>
      <c r="Q231" s="98"/>
      <c r="R231" s="49" t="s">
        <v>6</v>
      </c>
      <c r="S231" s="49" t="s">
        <v>6</v>
      </c>
      <c r="T231" s="50" t="s">
        <v>68</v>
      </c>
      <c r="U231" s="51">
        <v>0</v>
      </c>
      <c r="V231" s="52">
        <f t="shared" si="11"/>
        <v>0</v>
      </c>
      <c r="W231" s="53" t="str">
        <f>IFERROR(IF(V231=0,"",ROUNDUP(V231/H231,0)*0.02175),"")</f>
        <v/>
      </c>
      <c r="X231" s="54" t="s">
        <v>6</v>
      </c>
      <c r="Y231" s="55" t="s">
        <v>6</v>
      </c>
      <c r="AC231" s="56" t="s">
        <v>1</v>
      </c>
    </row>
    <row r="232" spans="1:29" ht="27" customHeight="1" x14ac:dyDescent="0.25">
      <c r="A232" s="44" t="s">
        <v>414</v>
      </c>
      <c r="B232" s="44" t="s">
        <v>415</v>
      </c>
      <c r="C232" s="45">
        <v>4301011313</v>
      </c>
      <c r="D232" s="95">
        <v>4607091385984</v>
      </c>
      <c r="E232" s="95"/>
      <c r="F232" s="46">
        <v>1.35</v>
      </c>
      <c r="G232" s="47">
        <v>8</v>
      </c>
      <c r="H232" s="46">
        <v>10.8</v>
      </c>
      <c r="I232" s="46">
        <v>11.28</v>
      </c>
      <c r="J232" s="47">
        <v>56</v>
      </c>
      <c r="K232" s="48" t="s">
        <v>105</v>
      </c>
      <c r="L232" s="47">
        <v>55</v>
      </c>
      <c r="M232" s="1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2" s="97"/>
      <c r="O232" s="97"/>
      <c r="P232" s="97"/>
      <c r="Q232" s="98"/>
      <c r="R232" s="49" t="s">
        <v>6</v>
      </c>
      <c r="S232" s="49" t="s">
        <v>6</v>
      </c>
      <c r="T232" s="50" t="s">
        <v>68</v>
      </c>
      <c r="U232" s="51">
        <v>0</v>
      </c>
      <c r="V232" s="52">
        <f t="shared" si="11"/>
        <v>0</v>
      </c>
      <c r="W232" s="53" t="str">
        <f>IFERROR(IF(V232=0,"",ROUNDUP(V232/H232,0)*0.02175),"")</f>
        <v/>
      </c>
      <c r="X232" s="54" t="s">
        <v>6</v>
      </c>
      <c r="Y232" s="55" t="s">
        <v>6</v>
      </c>
      <c r="AC232" s="56" t="s">
        <v>1</v>
      </c>
    </row>
    <row r="233" spans="1:29" ht="27" customHeight="1" x14ac:dyDescent="0.25">
      <c r="A233" s="44" t="s">
        <v>416</v>
      </c>
      <c r="B233" s="44" t="s">
        <v>417</v>
      </c>
      <c r="C233" s="45">
        <v>4301011316</v>
      </c>
      <c r="D233" s="95">
        <v>4607091387438</v>
      </c>
      <c r="E233" s="95"/>
      <c r="F233" s="46">
        <v>0.5</v>
      </c>
      <c r="G233" s="47">
        <v>10</v>
      </c>
      <c r="H233" s="46">
        <v>5</v>
      </c>
      <c r="I233" s="46">
        <v>5.24</v>
      </c>
      <c r="J233" s="47">
        <v>120</v>
      </c>
      <c r="K233" s="48" t="s">
        <v>105</v>
      </c>
      <c r="L233" s="47">
        <v>55</v>
      </c>
      <c r="M233" s="1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3" s="97"/>
      <c r="O233" s="97"/>
      <c r="P233" s="97"/>
      <c r="Q233" s="98"/>
      <c r="R233" s="49" t="s">
        <v>6</v>
      </c>
      <c r="S233" s="49" t="s">
        <v>6</v>
      </c>
      <c r="T233" s="50" t="s">
        <v>68</v>
      </c>
      <c r="U233" s="51">
        <v>0</v>
      </c>
      <c r="V233" s="52">
        <f t="shared" si="11"/>
        <v>0</v>
      </c>
      <c r="W233" s="53" t="str">
        <f>IFERROR(IF(V233=0,"",ROUNDUP(V233/H233,0)*0.00937),"")</f>
        <v/>
      </c>
      <c r="X233" s="54" t="s">
        <v>6</v>
      </c>
      <c r="Y233" s="55" t="s">
        <v>6</v>
      </c>
      <c r="AC233" s="56" t="s">
        <v>1</v>
      </c>
    </row>
    <row r="234" spans="1:29" ht="27" customHeight="1" x14ac:dyDescent="0.25">
      <c r="A234" s="44" t="s">
        <v>418</v>
      </c>
      <c r="B234" s="44" t="s">
        <v>419</v>
      </c>
      <c r="C234" s="45">
        <v>4301011318</v>
      </c>
      <c r="D234" s="95">
        <v>4607091387469</v>
      </c>
      <c r="E234" s="95"/>
      <c r="F234" s="46">
        <v>0.5</v>
      </c>
      <c r="G234" s="47">
        <v>10</v>
      </c>
      <c r="H234" s="46">
        <v>5</v>
      </c>
      <c r="I234" s="46">
        <v>5.21</v>
      </c>
      <c r="J234" s="47">
        <v>120</v>
      </c>
      <c r="K234" s="48" t="s">
        <v>66</v>
      </c>
      <c r="L234" s="47">
        <v>55</v>
      </c>
      <c r="M234" s="1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4" s="97"/>
      <c r="O234" s="97"/>
      <c r="P234" s="97"/>
      <c r="Q234" s="98"/>
      <c r="R234" s="49" t="s">
        <v>6</v>
      </c>
      <c r="S234" s="49" t="s">
        <v>6</v>
      </c>
      <c r="T234" s="50" t="s">
        <v>68</v>
      </c>
      <c r="U234" s="51">
        <v>0</v>
      </c>
      <c r="V234" s="52">
        <f t="shared" si="11"/>
        <v>0</v>
      </c>
      <c r="W234" s="53" t="str">
        <f>IFERROR(IF(V234=0,"",ROUNDUP(V234/H234,0)*0.00937),"")</f>
        <v/>
      </c>
      <c r="X234" s="54" t="s">
        <v>6</v>
      </c>
      <c r="Y234" s="55" t="s">
        <v>6</v>
      </c>
      <c r="AC234" s="56" t="s">
        <v>1</v>
      </c>
    </row>
    <row r="235" spans="1:29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6"/>
      <c r="M235" s="87" t="s">
        <v>69</v>
      </c>
      <c r="N235" s="88"/>
      <c r="O235" s="88"/>
      <c r="P235" s="88"/>
      <c r="Q235" s="88"/>
      <c r="R235" s="88"/>
      <c r="S235" s="89"/>
      <c r="T235" s="57" t="s">
        <v>70</v>
      </c>
      <c r="U235" s="58">
        <f>IFERROR(U228/H228,"0")+IFERROR(U229/H229,"0")+IFERROR(U230/H230,"0")+IFERROR(U231/H231,"0")+IFERROR(U232/H232,"0")+IFERROR(U233/H233,"0")+IFERROR(U234/H234,"0")</f>
        <v>1.9444444444444444</v>
      </c>
      <c r="V235" s="58">
        <f>IFERROR(V228/H228,"0")+IFERROR(V229/H229,"0")+IFERROR(V230/H230,"0")+IFERROR(V231/H231,"0")+IFERROR(V232/H232,"0")+IFERROR(V233/H233,"0")+IFERROR(V234/H234,"0")</f>
        <v>2</v>
      </c>
      <c r="W235" s="58">
        <f>IFERROR(IF(W228="",0,W228),"0")+IFERROR(IF(W229="",0,W229),"0")+IFERROR(IF(W230="",0,W230),"0")+IFERROR(IF(W231="",0,W231),"0")+IFERROR(IF(W232="",0,W232),"0")+IFERROR(IF(W233="",0,W233),"0")+IFERROR(IF(W234="",0,W234),"0")</f>
        <v>4.3499999999999997E-2</v>
      </c>
      <c r="X235" s="59"/>
      <c r="Y235" s="59"/>
    </row>
    <row r="236" spans="1:29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6"/>
      <c r="M236" s="87" t="s">
        <v>69</v>
      </c>
      <c r="N236" s="88"/>
      <c r="O236" s="88"/>
      <c r="P236" s="88"/>
      <c r="Q236" s="88"/>
      <c r="R236" s="88"/>
      <c r="S236" s="89"/>
      <c r="T236" s="57" t="s">
        <v>68</v>
      </c>
      <c r="U236" s="58">
        <f>IFERROR(SUM(U228:U234),"0")</f>
        <v>21</v>
      </c>
      <c r="V236" s="58">
        <f>IFERROR(SUM(V228:V234),"0")</f>
        <v>21.6</v>
      </c>
      <c r="W236" s="57"/>
      <c r="X236" s="59"/>
      <c r="Y236" s="59"/>
    </row>
    <row r="237" spans="1:29" ht="14.25" customHeight="1" x14ac:dyDescent="0.25">
      <c r="A237" s="94" t="s">
        <v>63</v>
      </c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43"/>
      <c r="Y237" s="43"/>
    </row>
    <row r="238" spans="1:29" ht="27" customHeight="1" x14ac:dyDescent="0.25">
      <c r="A238" s="44" t="s">
        <v>420</v>
      </c>
      <c r="B238" s="44" t="s">
        <v>421</v>
      </c>
      <c r="C238" s="45">
        <v>4301031154</v>
      </c>
      <c r="D238" s="95">
        <v>4607091387292</v>
      </c>
      <c r="E238" s="95"/>
      <c r="F238" s="46">
        <v>0.63</v>
      </c>
      <c r="G238" s="47">
        <v>6</v>
      </c>
      <c r="H238" s="46">
        <v>3.78</v>
      </c>
      <c r="I238" s="46">
        <v>4.04</v>
      </c>
      <c r="J238" s="47">
        <v>156</v>
      </c>
      <c r="K238" s="48" t="s">
        <v>66</v>
      </c>
      <c r="L238" s="47">
        <v>45</v>
      </c>
      <c r="M238" s="1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8" s="97"/>
      <c r="O238" s="97"/>
      <c r="P238" s="97"/>
      <c r="Q238" s="98"/>
      <c r="R238" s="49" t="s">
        <v>6</v>
      </c>
      <c r="S238" s="49" t="s">
        <v>6</v>
      </c>
      <c r="T238" s="50" t="s">
        <v>68</v>
      </c>
      <c r="U238" s="51">
        <v>0</v>
      </c>
      <c r="V238" s="52">
        <f>IFERROR(IF(U238="",0,CEILING((U238/$H238),1)*$H238),"")</f>
        <v>0</v>
      </c>
      <c r="W238" s="53" t="str">
        <f>IFERROR(IF(V238=0,"",ROUNDUP(V238/H238,0)*0.00753),"")</f>
        <v/>
      </c>
      <c r="X238" s="54" t="s">
        <v>6</v>
      </c>
      <c r="Y238" s="55" t="s">
        <v>6</v>
      </c>
      <c r="AC238" s="56" t="s">
        <v>1</v>
      </c>
    </row>
    <row r="239" spans="1:29" ht="27" customHeight="1" x14ac:dyDescent="0.25">
      <c r="A239" s="44" t="s">
        <v>422</v>
      </c>
      <c r="B239" s="44" t="s">
        <v>423</v>
      </c>
      <c r="C239" s="45">
        <v>4301031155</v>
      </c>
      <c r="D239" s="95">
        <v>4607091387315</v>
      </c>
      <c r="E239" s="95"/>
      <c r="F239" s="46">
        <v>0.7</v>
      </c>
      <c r="G239" s="47">
        <v>4</v>
      </c>
      <c r="H239" s="46">
        <v>2.8</v>
      </c>
      <c r="I239" s="46">
        <v>3.048</v>
      </c>
      <c r="J239" s="47">
        <v>156</v>
      </c>
      <c r="K239" s="48" t="s">
        <v>66</v>
      </c>
      <c r="L239" s="47">
        <v>45</v>
      </c>
      <c r="M239" s="1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9" s="97"/>
      <c r="O239" s="97"/>
      <c r="P239" s="97"/>
      <c r="Q239" s="98"/>
      <c r="R239" s="49" t="s">
        <v>6</v>
      </c>
      <c r="S239" s="49" t="s">
        <v>6</v>
      </c>
      <c r="T239" s="50" t="s">
        <v>68</v>
      </c>
      <c r="U239" s="51">
        <v>0</v>
      </c>
      <c r="V239" s="52">
        <f>IFERROR(IF(U239="",0,CEILING((U239/$H239),1)*$H239),"")</f>
        <v>0</v>
      </c>
      <c r="W239" s="53" t="str">
        <f>IFERROR(IF(V239=0,"",ROUNDUP(V239/H239,0)*0.00753),"")</f>
        <v/>
      </c>
      <c r="X239" s="54" t="s">
        <v>6</v>
      </c>
      <c r="Y239" s="55" t="s">
        <v>6</v>
      </c>
      <c r="AC239" s="56" t="s">
        <v>1</v>
      </c>
    </row>
    <row r="240" spans="1:29" x14ac:dyDescent="0.25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6"/>
      <c r="M240" s="87" t="s">
        <v>69</v>
      </c>
      <c r="N240" s="88"/>
      <c r="O240" s="88"/>
      <c r="P240" s="88"/>
      <c r="Q240" s="88"/>
      <c r="R240" s="88"/>
      <c r="S240" s="89"/>
      <c r="T240" s="57" t="s">
        <v>70</v>
      </c>
      <c r="U240" s="58">
        <f>IFERROR(U238/H238,"0")+IFERROR(U239/H239,"0")</f>
        <v>0</v>
      </c>
      <c r="V240" s="58">
        <f>IFERROR(V238/H238,"0")+IFERROR(V239/H239,"0")</f>
        <v>0</v>
      </c>
      <c r="W240" s="58">
        <f>IFERROR(IF(W238="",0,W238),"0")+IFERROR(IF(W239="",0,W239),"0")</f>
        <v>0</v>
      </c>
      <c r="X240" s="59"/>
      <c r="Y240" s="59"/>
    </row>
    <row r="241" spans="1:29" x14ac:dyDescent="0.25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6"/>
      <c r="M241" s="87" t="s">
        <v>69</v>
      </c>
      <c r="N241" s="88"/>
      <c r="O241" s="88"/>
      <c r="P241" s="88"/>
      <c r="Q241" s="88"/>
      <c r="R241" s="88"/>
      <c r="S241" s="89"/>
      <c r="T241" s="57" t="s">
        <v>68</v>
      </c>
      <c r="U241" s="58">
        <f>IFERROR(SUM(U238:U239),"0")</f>
        <v>0</v>
      </c>
      <c r="V241" s="58">
        <f>IFERROR(SUM(V238:V239),"0")</f>
        <v>0</v>
      </c>
      <c r="W241" s="57"/>
      <c r="X241" s="59"/>
      <c r="Y241" s="59"/>
    </row>
    <row r="242" spans="1:29" ht="16.5" customHeight="1" x14ac:dyDescent="0.25">
      <c r="A242" s="99" t="s">
        <v>424</v>
      </c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42"/>
      <c r="Y242" s="42"/>
    </row>
    <row r="243" spans="1:29" ht="14.25" customHeight="1" x14ac:dyDescent="0.25">
      <c r="A243" s="94" t="s">
        <v>63</v>
      </c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43"/>
      <c r="Y243" s="43"/>
    </row>
    <row r="244" spans="1:29" ht="37.5" customHeight="1" x14ac:dyDescent="0.25">
      <c r="A244" s="44" t="s">
        <v>425</v>
      </c>
      <c r="B244" s="44" t="s">
        <v>426</v>
      </c>
      <c r="C244" s="45">
        <v>4301030368</v>
      </c>
      <c r="D244" s="95">
        <v>4607091383232</v>
      </c>
      <c r="E244" s="95"/>
      <c r="F244" s="46">
        <v>0.28000000000000003</v>
      </c>
      <c r="G244" s="47">
        <v>6</v>
      </c>
      <c r="H244" s="46">
        <v>1.68</v>
      </c>
      <c r="I244" s="46">
        <v>2.6</v>
      </c>
      <c r="J244" s="47">
        <v>156</v>
      </c>
      <c r="K244" s="48" t="s">
        <v>66</v>
      </c>
      <c r="L244" s="47">
        <v>35</v>
      </c>
      <c r="M244" s="10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4" s="97"/>
      <c r="O244" s="97"/>
      <c r="P244" s="97"/>
      <c r="Q244" s="98"/>
      <c r="R244" s="49" t="s">
        <v>6</v>
      </c>
      <c r="S244" s="49" t="s">
        <v>6</v>
      </c>
      <c r="T244" s="50" t="s">
        <v>68</v>
      </c>
      <c r="U244" s="51">
        <v>117</v>
      </c>
      <c r="V244" s="52">
        <f>IFERROR(IF(U244="",0,CEILING((U244/$H244),1)*$H244),"")</f>
        <v>117.6</v>
      </c>
      <c r="W244" s="53">
        <f>IFERROR(IF(V244=0,"",ROUNDUP(V244/H244,0)*0.00753),"")</f>
        <v>0.52710000000000001</v>
      </c>
      <c r="X244" s="54" t="s">
        <v>6</v>
      </c>
      <c r="Y244" s="55" t="s">
        <v>6</v>
      </c>
      <c r="AC244" s="56" t="s">
        <v>1</v>
      </c>
    </row>
    <row r="245" spans="1:29" ht="27" customHeight="1" x14ac:dyDescent="0.25">
      <c r="A245" s="44" t="s">
        <v>427</v>
      </c>
      <c r="B245" s="44" t="s">
        <v>428</v>
      </c>
      <c r="C245" s="45">
        <v>4301031066</v>
      </c>
      <c r="D245" s="95">
        <v>4607091383836</v>
      </c>
      <c r="E245" s="95"/>
      <c r="F245" s="46">
        <v>0.3</v>
      </c>
      <c r="G245" s="47">
        <v>6</v>
      </c>
      <c r="H245" s="46">
        <v>1.8</v>
      </c>
      <c r="I245" s="46">
        <v>2.048</v>
      </c>
      <c r="J245" s="47">
        <v>156</v>
      </c>
      <c r="K245" s="48" t="s">
        <v>66</v>
      </c>
      <c r="L245" s="47">
        <v>40</v>
      </c>
      <c r="M245" s="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5" s="97"/>
      <c r="O245" s="97"/>
      <c r="P245" s="97"/>
      <c r="Q245" s="98"/>
      <c r="R245" s="49" t="s">
        <v>6</v>
      </c>
      <c r="S245" s="49" t="s">
        <v>6</v>
      </c>
      <c r="T245" s="50" t="s">
        <v>68</v>
      </c>
      <c r="U245" s="51">
        <v>0</v>
      </c>
      <c r="V245" s="52">
        <f>IFERROR(IF(U245="",0,CEILING((U245/$H245),1)*$H245),"")</f>
        <v>0</v>
      </c>
      <c r="W245" s="53" t="str">
        <f>IFERROR(IF(V245=0,"",ROUNDUP(V245/H245,0)*0.00753),"")</f>
        <v/>
      </c>
      <c r="X245" s="54" t="s">
        <v>6</v>
      </c>
      <c r="Y245" s="55" t="s">
        <v>6</v>
      </c>
      <c r="AC245" s="56" t="s">
        <v>1</v>
      </c>
    </row>
    <row r="246" spans="1:29" x14ac:dyDescent="0.25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6"/>
      <c r="M246" s="87" t="s">
        <v>69</v>
      </c>
      <c r="N246" s="88"/>
      <c r="O246" s="88"/>
      <c r="P246" s="88"/>
      <c r="Q246" s="88"/>
      <c r="R246" s="88"/>
      <c r="S246" s="89"/>
      <c r="T246" s="57" t="s">
        <v>70</v>
      </c>
      <c r="U246" s="58">
        <f>IFERROR(U244/H244,"0")+IFERROR(U245/H245,"0")</f>
        <v>69.642857142857139</v>
      </c>
      <c r="V246" s="58">
        <f>IFERROR(V244/H244,"0")+IFERROR(V245/H245,"0")</f>
        <v>70</v>
      </c>
      <c r="W246" s="58">
        <f>IFERROR(IF(W244="",0,W244),"0")+IFERROR(IF(W245="",0,W245),"0")</f>
        <v>0.52710000000000001</v>
      </c>
      <c r="X246" s="59"/>
      <c r="Y246" s="59"/>
    </row>
    <row r="247" spans="1:29" x14ac:dyDescent="0.25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6"/>
      <c r="M247" s="87" t="s">
        <v>69</v>
      </c>
      <c r="N247" s="88"/>
      <c r="O247" s="88"/>
      <c r="P247" s="88"/>
      <c r="Q247" s="88"/>
      <c r="R247" s="88"/>
      <c r="S247" s="89"/>
      <c r="T247" s="57" t="s">
        <v>68</v>
      </c>
      <c r="U247" s="58">
        <f>IFERROR(SUM(U244:U245),"0")</f>
        <v>117</v>
      </c>
      <c r="V247" s="58">
        <f>IFERROR(SUM(V244:V245),"0")</f>
        <v>117.6</v>
      </c>
      <c r="W247" s="57"/>
      <c r="X247" s="59"/>
      <c r="Y247" s="59"/>
    </row>
    <row r="248" spans="1:29" ht="14.25" customHeight="1" x14ac:dyDescent="0.25">
      <c r="A248" s="94" t="s">
        <v>71</v>
      </c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43"/>
      <c r="Y248" s="43"/>
    </row>
    <row r="249" spans="1:29" ht="27" customHeight="1" x14ac:dyDescent="0.25">
      <c r="A249" s="44" t="s">
        <v>429</v>
      </c>
      <c r="B249" s="44" t="s">
        <v>430</v>
      </c>
      <c r="C249" s="45">
        <v>4301051142</v>
      </c>
      <c r="D249" s="95">
        <v>4607091387919</v>
      </c>
      <c r="E249" s="95"/>
      <c r="F249" s="46">
        <v>1.35</v>
      </c>
      <c r="G249" s="47">
        <v>6</v>
      </c>
      <c r="H249" s="46">
        <v>8.1</v>
      </c>
      <c r="I249" s="46">
        <v>8.6639999999999997</v>
      </c>
      <c r="J249" s="47">
        <v>56</v>
      </c>
      <c r="K249" s="48" t="s">
        <v>66</v>
      </c>
      <c r="L249" s="47">
        <v>45</v>
      </c>
      <c r="M249" s="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9" s="97"/>
      <c r="O249" s="97"/>
      <c r="P249" s="97"/>
      <c r="Q249" s="98"/>
      <c r="R249" s="49" t="s">
        <v>6</v>
      </c>
      <c r="S249" s="49" t="s">
        <v>6</v>
      </c>
      <c r="T249" s="50" t="s">
        <v>68</v>
      </c>
      <c r="U249" s="51">
        <v>0</v>
      </c>
      <c r="V249" s="52">
        <f>IFERROR(IF(U249="",0,CEILING((U249/$H249),1)*$H249),"")</f>
        <v>0</v>
      </c>
      <c r="W249" s="53" t="str">
        <f>IFERROR(IF(V249=0,"",ROUNDUP(V249/H249,0)*0.02175),"")</f>
        <v/>
      </c>
      <c r="X249" s="54" t="s">
        <v>6</v>
      </c>
      <c r="Y249" s="55" t="s">
        <v>6</v>
      </c>
      <c r="AC249" s="56" t="s">
        <v>1</v>
      </c>
    </row>
    <row r="250" spans="1:29" ht="27" customHeight="1" x14ac:dyDescent="0.25">
      <c r="A250" s="44" t="s">
        <v>431</v>
      </c>
      <c r="B250" s="44" t="s">
        <v>432</v>
      </c>
      <c r="C250" s="45">
        <v>4301051109</v>
      </c>
      <c r="D250" s="95">
        <v>4607091383942</v>
      </c>
      <c r="E250" s="95"/>
      <c r="F250" s="46">
        <v>0.42</v>
      </c>
      <c r="G250" s="47">
        <v>6</v>
      </c>
      <c r="H250" s="46">
        <v>2.52</v>
      </c>
      <c r="I250" s="46">
        <v>2.7919999999999998</v>
      </c>
      <c r="J250" s="47">
        <v>156</v>
      </c>
      <c r="K250" s="48" t="s">
        <v>131</v>
      </c>
      <c r="L250" s="47">
        <v>45</v>
      </c>
      <c r="M250" s="1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0" s="97"/>
      <c r="O250" s="97"/>
      <c r="P250" s="97"/>
      <c r="Q250" s="98"/>
      <c r="R250" s="49" t="s">
        <v>6</v>
      </c>
      <c r="S250" s="49" t="s">
        <v>6</v>
      </c>
      <c r="T250" s="50" t="s">
        <v>68</v>
      </c>
      <c r="U250" s="51">
        <v>635</v>
      </c>
      <c r="V250" s="52">
        <f>IFERROR(IF(U250="",0,CEILING((U250/$H250),1)*$H250),"")</f>
        <v>635.04</v>
      </c>
      <c r="W250" s="53">
        <f>IFERROR(IF(V250=0,"",ROUNDUP(V250/H250,0)*0.00753),"")</f>
        <v>1.8975600000000001</v>
      </c>
      <c r="X250" s="54" t="s">
        <v>6</v>
      </c>
      <c r="Y250" s="55" t="s">
        <v>6</v>
      </c>
      <c r="AC250" s="56" t="s">
        <v>1</v>
      </c>
    </row>
    <row r="251" spans="1:29" ht="27" customHeight="1" x14ac:dyDescent="0.25">
      <c r="A251" s="44" t="s">
        <v>433</v>
      </c>
      <c r="B251" s="44" t="s">
        <v>434</v>
      </c>
      <c r="C251" s="45">
        <v>4301051300</v>
      </c>
      <c r="D251" s="95">
        <v>4607091383959</v>
      </c>
      <c r="E251" s="95"/>
      <c r="F251" s="46">
        <v>0.42</v>
      </c>
      <c r="G251" s="47">
        <v>6</v>
      </c>
      <c r="H251" s="46">
        <v>2.52</v>
      </c>
      <c r="I251" s="46">
        <v>2.78</v>
      </c>
      <c r="J251" s="47">
        <v>156</v>
      </c>
      <c r="K251" s="48" t="s">
        <v>66</v>
      </c>
      <c r="L251" s="47">
        <v>35</v>
      </c>
      <c r="M251" s="10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1" s="97"/>
      <c r="O251" s="97"/>
      <c r="P251" s="97"/>
      <c r="Q251" s="98"/>
      <c r="R251" s="49" t="s">
        <v>6</v>
      </c>
      <c r="S251" s="49" t="s">
        <v>6</v>
      </c>
      <c r="T251" s="50" t="s">
        <v>68</v>
      </c>
      <c r="U251" s="51">
        <v>262</v>
      </c>
      <c r="V251" s="52">
        <f>IFERROR(IF(U251="",0,CEILING((U251/$H251),1)*$H251),"")</f>
        <v>262.08</v>
      </c>
      <c r="W251" s="53">
        <f>IFERROR(IF(V251=0,"",ROUNDUP(V251/H251,0)*0.00753),"")</f>
        <v>0.78312000000000004</v>
      </c>
      <c r="X251" s="54" t="s">
        <v>6</v>
      </c>
      <c r="Y251" s="55" t="s">
        <v>6</v>
      </c>
      <c r="AC251" s="56" t="s">
        <v>1</v>
      </c>
    </row>
    <row r="252" spans="1:29" x14ac:dyDescent="0.25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6"/>
      <c r="M252" s="87" t="s">
        <v>69</v>
      </c>
      <c r="N252" s="88"/>
      <c r="O252" s="88"/>
      <c r="P252" s="88"/>
      <c r="Q252" s="88"/>
      <c r="R252" s="88"/>
      <c r="S252" s="89"/>
      <c r="T252" s="57" t="s">
        <v>70</v>
      </c>
      <c r="U252" s="58">
        <f>IFERROR(U249/H249,"0")+IFERROR(U250/H250,"0")+IFERROR(U251/H251,"0")</f>
        <v>355.95238095238096</v>
      </c>
      <c r="V252" s="58">
        <f>IFERROR(V249/H249,"0")+IFERROR(V250/H250,"0")+IFERROR(V251/H251,"0")</f>
        <v>356</v>
      </c>
      <c r="W252" s="58">
        <f>IFERROR(IF(W249="",0,W249),"0")+IFERROR(IF(W250="",0,W250),"0")+IFERROR(IF(W251="",0,W251),"0")</f>
        <v>2.6806800000000002</v>
      </c>
      <c r="X252" s="59"/>
      <c r="Y252" s="59"/>
    </row>
    <row r="253" spans="1:29" x14ac:dyDescent="0.25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6"/>
      <c r="M253" s="87" t="s">
        <v>69</v>
      </c>
      <c r="N253" s="88"/>
      <c r="O253" s="88"/>
      <c r="P253" s="88"/>
      <c r="Q253" s="88"/>
      <c r="R253" s="88"/>
      <c r="S253" s="89"/>
      <c r="T253" s="57" t="s">
        <v>68</v>
      </c>
      <c r="U253" s="58">
        <f>IFERROR(SUM(U249:U251),"0")</f>
        <v>897</v>
      </c>
      <c r="V253" s="58">
        <f>IFERROR(SUM(V249:V251),"0")</f>
        <v>897.11999999999989</v>
      </c>
      <c r="W253" s="57"/>
      <c r="X253" s="59"/>
      <c r="Y253" s="59"/>
    </row>
    <row r="254" spans="1:29" ht="14.25" customHeight="1" x14ac:dyDescent="0.25">
      <c r="A254" s="94" t="s">
        <v>199</v>
      </c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43"/>
      <c r="Y254" s="43"/>
    </row>
    <row r="255" spans="1:29" ht="27" customHeight="1" x14ac:dyDescent="0.25">
      <c r="A255" s="44" t="s">
        <v>435</v>
      </c>
      <c r="B255" s="44" t="s">
        <v>436</v>
      </c>
      <c r="C255" s="45">
        <v>4301060324</v>
      </c>
      <c r="D255" s="95">
        <v>4607091388831</v>
      </c>
      <c r="E255" s="95"/>
      <c r="F255" s="46">
        <v>0.38</v>
      </c>
      <c r="G255" s="47">
        <v>6</v>
      </c>
      <c r="H255" s="46">
        <v>2.2799999999999998</v>
      </c>
      <c r="I255" s="46">
        <v>2.552</v>
      </c>
      <c r="J255" s="47">
        <v>156</v>
      </c>
      <c r="K255" s="48" t="s">
        <v>66</v>
      </c>
      <c r="L255" s="47">
        <v>40</v>
      </c>
      <c r="M255" s="1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97"/>
      <c r="O255" s="97"/>
      <c r="P255" s="97"/>
      <c r="Q255" s="98"/>
      <c r="R255" s="49" t="s">
        <v>6</v>
      </c>
      <c r="S255" s="49" t="s">
        <v>6</v>
      </c>
      <c r="T255" s="50" t="s">
        <v>68</v>
      </c>
      <c r="U255" s="51">
        <v>15</v>
      </c>
      <c r="V255" s="52">
        <f>IFERROR(IF(U255="",0,CEILING((U255/$H255),1)*$H255),"")</f>
        <v>15.959999999999999</v>
      </c>
      <c r="W255" s="53">
        <f>IFERROR(IF(V255=0,"",ROUNDUP(V255/H255,0)*0.00753),"")</f>
        <v>5.271E-2</v>
      </c>
      <c r="X255" s="54" t="s">
        <v>6</v>
      </c>
      <c r="Y255" s="55" t="s">
        <v>6</v>
      </c>
      <c r="AC255" s="56" t="s">
        <v>1</v>
      </c>
    </row>
    <row r="256" spans="1:29" x14ac:dyDescent="0.25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6"/>
      <c r="M256" s="87" t="s">
        <v>69</v>
      </c>
      <c r="N256" s="88"/>
      <c r="O256" s="88"/>
      <c r="P256" s="88"/>
      <c r="Q256" s="88"/>
      <c r="R256" s="88"/>
      <c r="S256" s="89"/>
      <c r="T256" s="57" t="s">
        <v>70</v>
      </c>
      <c r="U256" s="58">
        <f>IFERROR(U255/H255,"0")</f>
        <v>6.5789473684210531</v>
      </c>
      <c r="V256" s="58">
        <f>IFERROR(V255/H255,"0")</f>
        <v>7</v>
      </c>
      <c r="W256" s="58">
        <f>IFERROR(IF(W255="",0,W255),"0")</f>
        <v>5.271E-2</v>
      </c>
      <c r="X256" s="59"/>
      <c r="Y256" s="59"/>
    </row>
    <row r="257" spans="1:29" x14ac:dyDescent="0.25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6"/>
      <c r="M257" s="87" t="s">
        <v>69</v>
      </c>
      <c r="N257" s="88"/>
      <c r="O257" s="88"/>
      <c r="P257" s="88"/>
      <c r="Q257" s="88"/>
      <c r="R257" s="88"/>
      <c r="S257" s="89"/>
      <c r="T257" s="57" t="s">
        <v>68</v>
      </c>
      <c r="U257" s="58">
        <f>IFERROR(SUM(U255:U255),"0")</f>
        <v>15</v>
      </c>
      <c r="V257" s="58">
        <f>IFERROR(SUM(V255:V255),"0")</f>
        <v>15.959999999999999</v>
      </c>
      <c r="W257" s="57"/>
      <c r="X257" s="59"/>
      <c r="Y257" s="59"/>
    </row>
    <row r="258" spans="1:29" ht="14.25" customHeight="1" x14ac:dyDescent="0.25">
      <c r="A258" s="94" t="s">
        <v>85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43"/>
      <c r="Y258" s="43"/>
    </row>
    <row r="259" spans="1:29" ht="27" customHeight="1" x14ac:dyDescent="0.25">
      <c r="A259" s="44" t="s">
        <v>437</v>
      </c>
      <c r="B259" s="44" t="s">
        <v>438</v>
      </c>
      <c r="C259" s="45">
        <v>4301032015</v>
      </c>
      <c r="D259" s="95">
        <v>4607091383102</v>
      </c>
      <c r="E259" s="95"/>
      <c r="F259" s="46">
        <v>0.17</v>
      </c>
      <c r="G259" s="47">
        <v>15</v>
      </c>
      <c r="H259" s="46">
        <v>2.5499999999999998</v>
      </c>
      <c r="I259" s="46">
        <v>2.9750000000000001</v>
      </c>
      <c r="J259" s="47">
        <v>156</v>
      </c>
      <c r="K259" s="48" t="s">
        <v>88</v>
      </c>
      <c r="L259" s="47">
        <v>180</v>
      </c>
      <c r="M259" s="1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9" s="97"/>
      <c r="O259" s="97"/>
      <c r="P259" s="97"/>
      <c r="Q259" s="98"/>
      <c r="R259" s="49" t="s">
        <v>6</v>
      </c>
      <c r="S259" s="49" t="s">
        <v>6</v>
      </c>
      <c r="T259" s="50" t="s">
        <v>68</v>
      </c>
      <c r="U259" s="51">
        <v>0</v>
      </c>
      <c r="V259" s="52">
        <f>IFERROR(IF(U259="",0,CEILING((U259/$H259),1)*$H259),"")</f>
        <v>0</v>
      </c>
      <c r="W259" s="53" t="str">
        <f>IFERROR(IF(V259=0,"",ROUNDUP(V259/H259,0)*0.00753),"")</f>
        <v/>
      </c>
      <c r="X259" s="54" t="s">
        <v>6</v>
      </c>
      <c r="Y259" s="55" t="s">
        <v>6</v>
      </c>
      <c r="AC259" s="56" t="s">
        <v>1</v>
      </c>
    </row>
    <row r="260" spans="1:29" x14ac:dyDescent="0.25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6"/>
      <c r="M260" s="87" t="s">
        <v>69</v>
      </c>
      <c r="N260" s="88"/>
      <c r="O260" s="88"/>
      <c r="P260" s="88"/>
      <c r="Q260" s="88"/>
      <c r="R260" s="88"/>
      <c r="S260" s="89"/>
      <c r="T260" s="57" t="s">
        <v>70</v>
      </c>
      <c r="U260" s="58">
        <f>IFERROR(U259/H259,"0")</f>
        <v>0</v>
      </c>
      <c r="V260" s="58">
        <f>IFERROR(V259/H259,"0")</f>
        <v>0</v>
      </c>
      <c r="W260" s="58">
        <f>IFERROR(IF(W259="",0,W259),"0")</f>
        <v>0</v>
      </c>
      <c r="X260" s="59"/>
      <c r="Y260" s="59"/>
    </row>
    <row r="261" spans="1:29" x14ac:dyDescent="0.25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6"/>
      <c r="M261" s="87" t="s">
        <v>69</v>
      </c>
      <c r="N261" s="88"/>
      <c r="O261" s="88"/>
      <c r="P261" s="88"/>
      <c r="Q261" s="88"/>
      <c r="R261" s="88"/>
      <c r="S261" s="89"/>
      <c r="T261" s="57" t="s">
        <v>68</v>
      </c>
      <c r="U261" s="58">
        <f>IFERROR(SUM(U259:U259),"0")</f>
        <v>0</v>
      </c>
      <c r="V261" s="58">
        <f>IFERROR(SUM(V259:V259),"0")</f>
        <v>0</v>
      </c>
      <c r="W261" s="57"/>
      <c r="X261" s="59"/>
      <c r="Y261" s="59"/>
    </row>
    <row r="262" spans="1:29" ht="27.75" customHeight="1" x14ac:dyDescent="0.25">
      <c r="A262" s="101" t="s">
        <v>439</v>
      </c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41"/>
      <c r="Y262" s="41"/>
    </row>
    <row r="263" spans="1:29" ht="16.5" customHeight="1" x14ac:dyDescent="0.25">
      <c r="A263" s="99" t="s">
        <v>440</v>
      </c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42"/>
      <c r="Y263" s="42"/>
    </row>
    <row r="264" spans="1:29" ht="14.25" customHeight="1" x14ac:dyDescent="0.25">
      <c r="A264" s="94" t="s">
        <v>107</v>
      </c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43"/>
      <c r="Y264" s="43"/>
    </row>
    <row r="265" spans="1:29" ht="27" customHeight="1" x14ac:dyDescent="0.25">
      <c r="A265" s="44" t="s">
        <v>441</v>
      </c>
      <c r="B265" s="44" t="s">
        <v>442</v>
      </c>
      <c r="C265" s="45">
        <v>4301011239</v>
      </c>
      <c r="D265" s="95">
        <v>4607091383997</v>
      </c>
      <c r="E265" s="95"/>
      <c r="F265" s="46">
        <v>2.5</v>
      </c>
      <c r="G265" s="47">
        <v>6</v>
      </c>
      <c r="H265" s="46">
        <v>15</v>
      </c>
      <c r="I265" s="46">
        <v>15.48</v>
      </c>
      <c r="J265" s="47">
        <v>48</v>
      </c>
      <c r="K265" s="48" t="s">
        <v>232</v>
      </c>
      <c r="L265" s="47">
        <v>60</v>
      </c>
      <c r="M265" s="1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97"/>
      <c r="O265" s="97"/>
      <c r="P265" s="97"/>
      <c r="Q265" s="98"/>
      <c r="R265" s="49" t="s">
        <v>6</v>
      </c>
      <c r="S265" s="49" t="s">
        <v>6</v>
      </c>
      <c r="T265" s="50" t="s">
        <v>68</v>
      </c>
      <c r="U265" s="51">
        <v>3700</v>
      </c>
      <c r="V265" s="52">
        <f t="shared" ref="V265:V272" si="12">IFERROR(IF(U265="",0,CEILING((U265/$H265),1)*$H265),"")</f>
        <v>3705</v>
      </c>
      <c r="W265" s="53">
        <f>IFERROR(IF(V265=0,"",ROUNDUP(V265/H265,0)*0.02039),"")</f>
        <v>5.0363299999999995</v>
      </c>
      <c r="X265" s="54" t="s">
        <v>6</v>
      </c>
      <c r="Y265" s="55" t="s">
        <v>6</v>
      </c>
      <c r="AC265" s="56" t="s">
        <v>1</v>
      </c>
    </row>
    <row r="266" spans="1:29" ht="27" customHeight="1" x14ac:dyDescent="0.25">
      <c r="A266" s="44" t="s">
        <v>441</v>
      </c>
      <c r="B266" s="44" t="s">
        <v>443</v>
      </c>
      <c r="C266" s="45">
        <v>4301011339</v>
      </c>
      <c r="D266" s="95">
        <v>4607091383997</v>
      </c>
      <c r="E266" s="95"/>
      <c r="F266" s="46">
        <v>2.5</v>
      </c>
      <c r="G266" s="47">
        <v>6</v>
      </c>
      <c r="H266" s="46">
        <v>15</v>
      </c>
      <c r="I266" s="46">
        <v>15.48</v>
      </c>
      <c r="J266" s="47">
        <v>48</v>
      </c>
      <c r="K266" s="48" t="s">
        <v>66</v>
      </c>
      <c r="L266" s="47">
        <v>60</v>
      </c>
      <c r="M266" s="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6" s="97"/>
      <c r="O266" s="97"/>
      <c r="P266" s="97"/>
      <c r="Q266" s="98"/>
      <c r="R266" s="49" t="s">
        <v>6</v>
      </c>
      <c r="S266" s="49" t="s">
        <v>6</v>
      </c>
      <c r="T266" s="50" t="s">
        <v>68</v>
      </c>
      <c r="U266" s="51">
        <v>0</v>
      </c>
      <c r="V266" s="52">
        <f t="shared" si="12"/>
        <v>0</v>
      </c>
      <c r="W266" s="53" t="str">
        <f>IFERROR(IF(V266=0,"",ROUNDUP(V266/H266,0)*0.02175),"")</f>
        <v/>
      </c>
      <c r="X266" s="54" t="s">
        <v>6</v>
      </c>
      <c r="Y266" s="55" t="s">
        <v>6</v>
      </c>
      <c r="AC266" s="56" t="s">
        <v>1</v>
      </c>
    </row>
    <row r="267" spans="1:29" ht="27" customHeight="1" x14ac:dyDescent="0.25">
      <c r="A267" s="44" t="s">
        <v>444</v>
      </c>
      <c r="B267" s="44" t="s">
        <v>445</v>
      </c>
      <c r="C267" s="45">
        <v>4301011326</v>
      </c>
      <c r="D267" s="95">
        <v>4607091384130</v>
      </c>
      <c r="E267" s="95"/>
      <c r="F267" s="46">
        <v>2.5</v>
      </c>
      <c r="G267" s="47">
        <v>6</v>
      </c>
      <c r="H267" s="46">
        <v>15</v>
      </c>
      <c r="I267" s="46">
        <v>15.48</v>
      </c>
      <c r="J267" s="47">
        <v>48</v>
      </c>
      <c r="K267" s="48" t="s">
        <v>66</v>
      </c>
      <c r="L267" s="47">
        <v>60</v>
      </c>
      <c r="M267" s="1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97"/>
      <c r="O267" s="97"/>
      <c r="P267" s="97"/>
      <c r="Q267" s="98"/>
      <c r="R267" s="49" t="s">
        <v>6</v>
      </c>
      <c r="S267" s="49" t="s">
        <v>6</v>
      </c>
      <c r="T267" s="50" t="s">
        <v>68</v>
      </c>
      <c r="U267" s="51">
        <v>120</v>
      </c>
      <c r="V267" s="52">
        <f t="shared" si="12"/>
        <v>120</v>
      </c>
      <c r="W267" s="53">
        <f>IFERROR(IF(V267=0,"",ROUNDUP(V267/H267,0)*0.02175),"")</f>
        <v>0.17399999999999999</v>
      </c>
      <c r="X267" s="54" t="s">
        <v>6</v>
      </c>
      <c r="Y267" s="55" t="s">
        <v>6</v>
      </c>
      <c r="AC267" s="56" t="s">
        <v>1</v>
      </c>
    </row>
    <row r="268" spans="1:29" ht="27" customHeight="1" x14ac:dyDescent="0.25">
      <c r="A268" s="44" t="s">
        <v>444</v>
      </c>
      <c r="B268" s="44" t="s">
        <v>446</v>
      </c>
      <c r="C268" s="45">
        <v>4301011240</v>
      </c>
      <c r="D268" s="95">
        <v>4607091384130</v>
      </c>
      <c r="E268" s="95"/>
      <c r="F268" s="46">
        <v>2.5</v>
      </c>
      <c r="G268" s="47">
        <v>6</v>
      </c>
      <c r="H268" s="46">
        <v>15</v>
      </c>
      <c r="I268" s="46">
        <v>15.48</v>
      </c>
      <c r="J268" s="47">
        <v>48</v>
      </c>
      <c r="K268" s="48" t="s">
        <v>232</v>
      </c>
      <c r="L268" s="47">
        <v>60</v>
      </c>
      <c r="M268" s="10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8" s="97"/>
      <c r="O268" s="97"/>
      <c r="P268" s="97"/>
      <c r="Q268" s="98"/>
      <c r="R268" s="49" t="s">
        <v>6</v>
      </c>
      <c r="S268" s="49" t="s">
        <v>6</v>
      </c>
      <c r="T268" s="50" t="s">
        <v>68</v>
      </c>
      <c r="U268" s="51">
        <v>0</v>
      </c>
      <c r="V268" s="52">
        <f t="shared" si="12"/>
        <v>0</v>
      </c>
      <c r="W268" s="53" t="str">
        <f>IFERROR(IF(V268=0,"",ROUNDUP(V268/H268,0)*0.02039),"")</f>
        <v/>
      </c>
      <c r="X268" s="54" t="s">
        <v>6</v>
      </c>
      <c r="Y268" s="55" t="s">
        <v>6</v>
      </c>
      <c r="AC268" s="56" t="s">
        <v>1</v>
      </c>
    </row>
    <row r="269" spans="1:29" ht="16.5" customHeight="1" x14ac:dyDescent="0.25">
      <c r="A269" s="44" t="s">
        <v>447</v>
      </c>
      <c r="B269" s="44" t="s">
        <v>448</v>
      </c>
      <c r="C269" s="45">
        <v>4301011330</v>
      </c>
      <c r="D269" s="95">
        <v>4607091384147</v>
      </c>
      <c r="E269" s="95"/>
      <c r="F269" s="46">
        <v>2.5</v>
      </c>
      <c r="G269" s="47">
        <v>6</v>
      </c>
      <c r="H269" s="46">
        <v>15</v>
      </c>
      <c r="I269" s="46">
        <v>15.48</v>
      </c>
      <c r="J269" s="47">
        <v>48</v>
      </c>
      <c r="K269" s="48" t="s">
        <v>66</v>
      </c>
      <c r="L269" s="47">
        <v>60</v>
      </c>
      <c r="M269" s="1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9" s="97"/>
      <c r="O269" s="97"/>
      <c r="P269" s="97"/>
      <c r="Q269" s="98"/>
      <c r="R269" s="49" t="s">
        <v>6</v>
      </c>
      <c r="S269" s="49" t="s">
        <v>6</v>
      </c>
      <c r="T269" s="50" t="s">
        <v>68</v>
      </c>
      <c r="U269" s="69">
        <v>400</v>
      </c>
      <c r="V269" s="52">
        <f t="shared" si="12"/>
        <v>405</v>
      </c>
      <c r="W269" s="53">
        <f>IFERROR(IF(V269=0,"",ROUNDUP(V269/H269,0)*0.02175),"")</f>
        <v>0.58724999999999994</v>
      </c>
      <c r="X269" s="54" t="s">
        <v>6</v>
      </c>
      <c r="Y269" s="55" t="s">
        <v>6</v>
      </c>
      <c r="AC269" s="56" t="s">
        <v>1</v>
      </c>
    </row>
    <row r="270" spans="1:29" ht="16.5" customHeight="1" x14ac:dyDescent="0.25">
      <c r="A270" s="44" t="s">
        <v>447</v>
      </c>
      <c r="B270" s="44" t="s">
        <v>449</v>
      </c>
      <c r="C270" s="45">
        <v>4301011238</v>
      </c>
      <c r="D270" s="95">
        <v>4607091384147</v>
      </c>
      <c r="E270" s="95"/>
      <c r="F270" s="46">
        <v>2.5</v>
      </c>
      <c r="G270" s="47">
        <v>6</v>
      </c>
      <c r="H270" s="46">
        <v>15</v>
      </c>
      <c r="I270" s="46">
        <v>15.48</v>
      </c>
      <c r="J270" s="47">
        <v>48</v>
      </c>
      <c r="K270" s="48" t="s">
        <v>232</v>
      </c>
      <c r="L270" s="47">
        <v>60</v>
      </c>
      <c r="M270" s="96" t="s">
        <v>450</v>
      </c>
      <c r="N270" s="97"/>
      <c r="O270" s="97"/>
      <c r="P270" s="97"/>
      <c r="Q270" s="98"/>
      <c r="R270" s="49" t="s">
        <v>6</v>
      </c>
      <c r="S270" s="49" t="s">
        <v>6</v>
      </c>
      <c r="T270" s="50" t="s">
        <v>68</v>
      </c>
      <c r="U270" s="51">
        <v>0</v>
      </c>
      <c r="V270" s="52">
        <f t="shared" si="12"/>
        <v>0</v>
      </c>
      <c r="W270" s="53" t="str">
        <f>IFERROR(IF(V270=0,"",ROUNDUP(V270/H270,0)*0.02039),"")</f>
        <v/>
      </c>
      <c r="X270" s="54" t="s">
        <v>6</v>
      </c>
      <c r="Y270" s="55" t="s">
        <v>6</v>
      </c>
      <c r="AC270" s="56" t="s">
        <v>1</v>
      </c>
    </row>
    <row r="271" spans="1:29" ht="27" customHeight="1" x14ac:dyDescent="0.25">
      <c r="A271" s="44" t="s">
        <v>451</v>
      </c>
      <c r="B271" s="44" t="s">
        <v>452</v>
      </c>
      <c r="C271" s="45">
        <v>4301011327</v>
      </c>
      <c r="D271" s="95">
        <v>4607091384154</v>
      </c>
      <c r="E271" s="95"/>
      <c r="F271" s="46">
        <v>0.5</v>
      </c>
      <c r="G271" s="47">
        <v>10</v>
      </c>
      <c r="H271" s="46">
        <v>5</v>
      </c>
      <c r="I271" s="46">
        <v>5.21</v>
      </c>
      <c r="J271" s="47">
        <v>120</v>
      </c>
      <c r="K271" s="48" t="s">
        <v>66</v>
      </c>
      <c r="L271" s="47">
        <v>60</v>
      </c>
      <c r="M271" s="1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1" s="97"/>
      <c r="O271" s="97"/>
      <c r="P271" s="97"/>
      <c r="Q271" s="98"/>
      <c r="R271" s="49" t="s">
        <v>6</v>
      </c>
      <c r="S271" s="49" t="s">
        <v>6</v>
      </c>
      <c r="T271" s="50" t="s">
        <v>68</v>
      </c>
      <c r="U271" s="51">
        <v>10</v>
      </c>
      <c r="V271" s="52">
        <f t="shared" si="12"/>
        <v>10</v>
      </c>
      <c r="W271" s="53">
        <f>IFERROR(IF(V271=0,"",ROUNDUP(V271/H271,0)*0.00937),"")</f>
        <v>1.874E-2</v>
      </c>
      <c r="X271" s="54" t="s">
        <v>6</v>
      </c>
      <c r="Y271" s="55" t="s">
        <v>6</v>
      </c>
      <c r="AC271" s="56" t="s">
        <v>1</v>
      </c>
    </row>
    <row r="272" spans="1:29" ht="27" customHeight="1" x14ac:dyDescent="0.25">
      <c r="A272" s="44" t="s">
        <v>453</v>
      </c>
      <c r="B272" s="44" t="s">
        <v>454</v>
      </c>
      <c r="C272" s="45">
        <v>4301011332</v>
      </c>
      <c r="D272" s="95">
        <v>4607091384161</v>
      </c>
      <c r="E272" s="95"/>
      <c r="F272" s="46">
        <v>0.5</v>
      </c>
      <c r="G272" s="47">
        <v>10</v>
      </c>
      <c r="H272" s="46">
        <v>5</v>
      </c>
      <c r="I272" s="46">
        <v>5.21</v>
      </c>
      <c r="J272" s="47">
        <v>120</v>
      </c>
      <c r="K272" s="48" t="s">
        <v>66</v>
      </c>
      <c r="L272" s="47">
        <v>60</v>
      </c>
      <c r="M272" s="1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2" s="97"/>
      <c r="O272" s="97"/>
      <c r="P272" s="97"/>
      <c r="Q272" s="98"/>
      <c r="R272" s="49" t="s">
        <v>6</v>
      </c>
      <c r="S272" s="49" t="s">
        <v>6</v>
      </c>
      <c r="T272" s="50" t="s">
        <v>68</v>
      </c>
      <c r="U272" s="51">
        <v>0</v>
      </c>
      <c r="V272" s="52">
        <f t="shared" si="12"/>
        <v>0</v>
      </c>
      <c r="W272" s="53" t="str">
        <f>IFERROR(IF(V272=0,"",ROUNDUP(V272/H272,0)*0.00937),"")</f>
        <v/>
      </c>
      <c r="X272" s="54" t="s">
        <v>6</v>
      </c>
      <c r="Y272" s="55" t="s">
        <v>6</v>
      </c>
      <c r="AC272" s="56" t="s">
        <v>1</v>
      </c>
    </row>
    <row r="273" spans="1:29" x14ac:dyDescent="0.25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6"/>
      <c r="M273" s="87" t="s">
        <v>69</v>
      </c>
      <c r="N273" s="88"/>
      <c r="O273" s="88"/>
      <c r="P273" s="88"/>
      <c r="Q273" s="88"/>
      <c r="R273" s="88"/>
      <c r="S273" s="89"/>
      <c r="T273" s="57" t="s">
        <v>70</v>
      </c>
      <c r="U273" s="58">
        <f>IFERROR(U265/H265,"0")+IFERROR(U266/H266,"0")+IFERROR(U267/H267,"0")+IFERROR(U268/H268,"0")+IFERROR(U269/H269,"0")+IFERROR(U270/H270,"0")+IFERROR(U271/H271,"0")+IFERROR(U272/H272,"0")</f>
        <v>283.33333333333331</v>
      </c>
      <c r="V273" s="58">
        <f>IFERROR(V265/H265,"0")+IFERROR(V266/H266,"0")+IFERROR(V267/H267,"0")+IFERROR(V268/H268,"0")+IFERROR(V269/H269,"0")+IFERROR(V270/H270,"0")+IFERROR(V271/H271,"0")+IFERROR(V272/H272,"0")</f>
        <v>284</v>
      </c>
      <c r="W273" s="58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5.8163200000000002</v>
      </c>
      <c r="X273" s="59"/>
      <c r="Y273" s="59"/>
    </row>
    <row r="274" spans="1:29" x14ac:dyDescent="0.25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6"/>
      <c r="M274" s="87" t="s">
        <v>69</v>
      </c>
      <c r="N274" s="88"/>
      <c r="O274" s="88"/>
      <c r="P274" s="88"/>
      <c r="Q274" s="88"/>
      <c r="R274" s="88"/>
      <c r="S274" s="89"/>
      <c r="T274" s="57" t="s">
        <v>68</v>
      </c>
      <c r="U274" s="58">
        <f>IFERROR(SUM(U265:U272),"0")</f>
        <v>4230</v>
      </c>
      <c r="V274" s="58">
        <f>IFERROR(SUM(V265:V272),"0")</f>
        <v>4240</v>
      </c>
      <c r="W274" s="57"/>
      <c r="X274" s="59"/>
      <c r="Y274" s="59"/>
    </row>
    <row r="275" spans="1:29" ht="14.25" customHeight="1" x14ac:dyDescent="0.25">
      <c r="A275" s="94" t="s">
        <v>102</v>
      </c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43"/>
      <c r="Y275" s="43"/>
    </row>
    <row r="276" spans="1:29" ht="27" customHeight="1" x14ac:dyDescent="0.25">
      <c r="A276" s="44" t="s">
        <v>455</v>
      </c>
      <c r="B276" s="44" t="s">
        <v>456</v>
      </c>
      <c r="C276" s="45">
        <v>4301020178</v>
      </c>
      <c r="D276" s="95">
        <v>4607091383980</v>
      </c>
      <c r="E276" s="95"/>
      <c r="F276" s="46">
        <v>2.5</v>
      </c>
      <c r="G276" s="47">
        <v>6</v>
      </c>
      <c r="H276" s="46">
        <v>15</v>
      </c>
      <c r="I276" s="46">
        <v>15.48</v>
      </c>
      <c r="J276" s="47">
        <v>48</v>
      </c>
      <c r="K276" s="48" t="s">
        <v>105</v>
      </c>
      <c r="L276" s="47">
        <v>50</v>
      </c>
      <c r="M276" s="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6" s="97"/>
      <c r="O276" s="97"/>
      <c r="P276" s="97"/>
      <c r="Q276" s="98"/>
      <c r="R276" s="49" t="s">
        <v>6</v>
      </c>
      <c r="S276" s="49" t="s">
        <v>6</v>
      </c>
      <c r="T276" s="50" t="s">
        <v>68</v>
      </c>
      <c r="U276" s="69">
        <v>555</v>
      </c>
      <c r="V276" s="52">
        <f>IFERROR(IF(U276="",0,CEILING((U276/$H276),1)*$H276),"")</f>
        <v>555</v>
      </c>
      <c r="W276" s="53">
        <f>IFERROR(IF(V276=0,"",ROUNDUP(V276/H276,0)*0.02175),"")</f>
        <v>0.80474999999999997</v>
      </c>
      <c r="X276" s="54" t="s">
        <v>6</v>
      </c>
      <c r="Y276" s="55" t="s">
        <v>6</v>
      </c>
      <c r="AC276" s="56" t="s">
        <v>1</v>
      </c>
    </row>
    <row r="277" spans="1:29" ht="27" customHeight="1" x14ac:dyDescent="0.25">
      <c r="A277" s="44" t="s">
        <v>457</v>
      </c>
      <c r="B277" s="44" t="s">
        <v>458</v>
      </c>
      <c r="C277" s="45">
        <v>4301020179</v>
      </c>
      <c r="D277" s="95">
        <v>4607091384178</v>
      </c>
      <c r="E277" s="95"/>
      <c r="F277" s="46">
        <v>0.4</v>
      </c>
      <c r="G277" s="47">
        <v>10</v>
      </c>
      <c r="H277" s="46">
        <v>4</v>
      </c>
      <c r="I277" s="46">
        <v>4.24</v>
      </c>
      <c r="J277" s="47">
        <v>120</v>
      </c>
      <c r="K277" s="48" t="s">
        <v>105</v>
      </c>
      <c r="L277" s="47">
        <v>50</v>
      </c>
      <c r="M277" s="1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7" s="97"/>
      <c r="O277" s="97"/>
      <c r="P277" s="97"/>
      <c r="Q277" s="98"/>
      <c r="R277" s="49" t="s">
        <v>6</v>
      </c>
      <c r="S277" s="49" t="s">
        <v>6</v>
      </c>
      <c r="T277" s="50" t="s">
        <v>68</v>
      </c>
      <c r="U277" s="51">
        <v>0</v>
      </c>
      <c r="V277" s="52">
        <f>IFERROR(IF(U277="",0,CEILING((U277/$H277),1)*$H277),"")</f>
        <v>0</v>
      </c>
      <c r="W277" s="53" t="str">
        <f>IFERROR(IF(V277=0,"",ROUNDUP(V277/H277,0)*0.00937),"")</f>
        <v/>
      </c>
      <c r="X277" s="54" t="s">
        <v>6</v>
      </c>
      <c r="Y277" s="55" t="s">
        <v>6</v>
      </c>
      <c r="AC277" s="56" t="s">
        <v>1</v>
      </c>
    </row>
    <row r="278" spans="1:29" x14ac:dyDescent="0.25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6"/>
      <c r="M278" s="87" t="s">
        <v>69</v>
      </c>
      <c r="N278" s="88"/>
      <c r="O278" s="88"/>
      <c r="P278" s="88"/>
      <c r="Q278" s="88"/>
      <c r="R278" s="88"/>
      <c r="S278" s="89"/>
      <c r="T278" s="57" t="s">
        <v>70</v>
      </c>
      <c r="U278" s="58">
        <f>IFERROR(U276/H276,"0")+IFERROR(U277/H277,"0")</f>
        <v>37</v>
      </c>
      <c r="V278" s="58">
        <f>IFERROR(V276/H276,"0")+IFERROR(V277/H277,"0")</f>
        <v>37</v>
      </c>
      <c r="W278" s="58">
        <f>IFERROR(IF(W276="",0,W276),"0")+IFERROR(IF(W277="",0,W277),"0")</f>
        <v>0.80474999999999997</v>
      </c>
      <c r="X278" s="59"/>
      <c r="Y278" s="59"/>
    </row>
    <row r="279" spans="1:29" x14ac:dyDescent="0.25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6"/>
      <c r="M279" s="87" t="s">
        <v>69</v>
      </c>
      <c r="N279" s="88"/>
      <c r="O279" s="88"/>
      <c r="P279" s="88"/>
      <c r="Q279" s="88"/>
      <c r="R279" s="88"/>
      <c r="S279" s="89"/>
      <c r="T279" s="57" t="s">
        <v>68</v>
      </c>
      <c r="U279" s="58">
        <f>IFERROR(SUM(U276:U277),"0")</f>
        <v>555</v>
      </c>
      <c r="V279" s="58">
        <f>IFERROR(SUM(V276:V277),"0")</f>
        <v>555</v>
      </c>
      <c r="W279" s="57"/>
      <c r="X279" s="59"/>
      <c r="Y279" s="59"/>
    </row>
    <row r="280" spans="1:29" ht="14.25" customHeight="1" x14ac:dyDescent="0.25">
      <c r="A280" s="94" t="s">
        <v>63</v>
      </c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43"/>
      <c r="Y280" s="43"/>
    </row>
    <row r="281" spans="1:29" ht="27" customHeight="1" x14ac:dyDescent="0.25">
      <c r="A281" s="44" t="s">
        <v>459</v>
      </c>
      <c r="B281" s="44" t="s">
        <v>460</v>
      </c>
      <c r="C281" s="45">
        <v>4301031137</v>
      </c>
      <c r="D281" s="95">
        <v>4607091384857</v>
      </c>
      <c r="E281" s="95"/>
      <c r="F281" s="46">
        <v>0.73</v>
      </c>
      <c r="G281" s="47">
        <v>6</v>
      </c>
      <c r="H281" s="46">
        <v>4.38</v>
      </c>
      <c r="I281" s="46">
        <v>4.58</v>
      </c>
      <c r="J281" s="47">
        <v>156</v>
      </c>
      <c r="K281" s="48" t="s">
        <v>66</v>
      </c>
      <c r="L281" s="47">
        <v>35</v>
      </c>
      <c r="M281" s="10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97"/>
      <c r="O281" s="97"/>
      <c r="P281" s="97"/>
      <c r="Q281" s="98"/>
      <c r="R281" s="49" t="s">
        <v>6</v>
      </c>
      <c r="S281" s="49" t="s">
        <v>6</v>
      </c>
      <c r="T281" s="50" t="s">
        <v>68</v>
      </c>
      <c r="U281" s="51">
        <v>0</v>
      </c>
      <c r="V281" s="52">
        <f>IFERROR(IF(U281="",0,CEILING((U281/$H281),1)*$H281),"")</f>
        <v>0</v>
      </c>
      <c r="W281" s="53" t="str">
        <f>IFERROR(IF(V281=0,"",ROUNDUP(V281/H281,0)*0.00753),"")</f>
        <v/>
      </c>
      <c r="X281" s="54" t="s">
        <v>6</v>
      </c>
      <c r="Y281" s="55" t="s">
        <v>6</v>
      </c>
      <c r="AC281" s="56" t="s">
        <v>1</v>
      </c>
    </row>
    <row r="282" spans="1:29" x14ac:dyDescent="0.25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6"/>
      <c r="M282" s="87" t="s">
        <v>69</v>
      </c>
      <c r="N282" s="88"/>
      <c r="O282" s="88"/>
      <c r="P282" s="88"/>
      <c r="Q282" s="88"/>
      <c r="R282" s="88"/>
      <c r="S282" s="89"/>
      <c r="T282" s="57" t="s">
        <v>70</v>
      </c>
      <c r="U282" s="58">
        <f>IFERROR(U281/H281,"0")</f>
        <v>0</v>
      </c>
      <c r="V282" s="58">
        <f>IFERROR(V281/H281,"0")</f>
        <v>0</v>
      </c>
      <c r="W282" s="58">
        <f>IFERROR(IF(W281="",0,W281),"0")</f>
        <v>0</v>
      </c>
      <c r="X282" s="59"/>
      <c r="Y282" s="59"/>
    </row>
    <row r="283" spans="1:29" x14ac:dyDescent="0.25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6"/>
      <c r="M283" s="87" t="s">
        <v>69</v>
      </c>
      <c r="N283" s="88"/>
      <c r="O283" s="88"/>
      <c r="P283" s="88"/>
      <c r="Q283" s="88"/>
      <c r="R283" s="88"/>
      <c r="S283" s="89"/>
      <c r="T283" s="57" t="s">
        <v>68</v>
      </c>
      <c r="U283" s="58">
        <f>IFERROR(SUM(U281:U281),"0")</f>
        <v>0</v>
      </c>
      <c r="V283" s="58">
        <f>IFERROR(SUM(V281:V281),"0")</f>
        <v>0</v>
      </c>
      <c r="W283" s="57"/>
      <c r="X283" s="59"/>
      <c r="Y283" s="59"/>
    </row>
    <row r="284" spans="1:29" ht="14.25" customHeight="1" x14ac:dyDescent="0.25">
      <c r="A284" s="94" t="s">
        <v>71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43"/>
      <c r="Y284" s="43"/>
    </row>
    <row r="285" spans="1:29" ht="27" customHeight="1" x14ac:dyDescent="0.25">
      <c r="A285" s="44" t="s">
        <v>461</v>
      </c>
      <c r="B285" s="44" t="s">
        <v>462</v>
      </c>
      <c r="C285" s="45">
        <v>4301051298</v>
      </c>
      <c r="D285" s="95">
        <v>4607091384260</v>
      </c>
      <c r="E285" s="95"/>
      <c r="F285" s="46">
        <v>1.3</v>
      </c>
      <c r="G285" s="47">
        <v>6</v>
      </c>
      <c r="H285" s="46">
        <v>7.8</v>
      </c>
      <c r="I285" s="46">
        <v>8.3640000000000008</v>
      </c>
      <c r="J285" s="47">
        <v>56</v>
      </c>
      <c r="K285" s="48" t="s">
        <v>66</v>
      </c>
      <c r="L285" s="47">
        <v>35</v>
      </c>
      <c r="M285" s="1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97"/>
      <c r="O285" s="97"/>
      <c r="P285" s="97"/>
      <c r="Q285" s="98"/>
      <c r="R285" s="49" t="s">
        <v>6</v>
      </c>
      <c r="S285" s="49" t="s">
        <v>6</v>
      </c>
      <c r="T285" s="50" t="s">
        <v>68</v>
      </c>
      <c r="U285" s="51">
        <v>93</v>
      </c>
      <c r="V285" s="52">
        <f>IFERROR(IF(U285="",0,CEILING((U285/$H285),1)*$H285),"")</f>
        <v>93.6</v>
      </c>
      <c r="W285" s="53">
        <f>IFERROR(IF(V285=0,"",ROUNDUP(V285/H285,0)*0.02175),"")</f>
        <v>0.26100000000000001</v>
      </c>
      <c r="X285" s="54" t="s">
        <v>6</v>
      </c>
      <c r="Y285" s="55" t="s">
        <v>6</v>
      </c>
      <c r="AC285" s="56" t="s">
        <v>1</v>
      </c>
    </row>
    <row r="286" spans="1:29" x14ac:dyDescent="0.25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6"/>
      <c r="M286" s="87" t="s">
        <v>69</v>
      </c>
      <c r="N286" s="88"/>
      <c r="O286" s="88"/>
      <c r="P286" s="88"/>
      <c r="Q286" s="88"/>
      <c r="R286" s="88"/>
      <c r="S286" s="89"/>
      <c r="T286" s="57" t="s">
        <v>70</v>
      </c>
      <c r="U286" s="58">
        <f>IFERROR(U285/H285,"0")</f>
        <v>11.923076923076923</v>
      </c>
      <c r="V286" s="58">
        <f>IFERROR(V285/H285,"0")</f>
        <v>12</v>
      </c>
      <c r="W286" s="58">
        <f>IFERROR(IF(W285="",0,W285),"0")</f>
        <v>0.26100000000000001</v>
      </c>
      <c r="X286" s="59"/>
      <c r="Y286" s="59"/>
    </row>
    <row r="287" spans="1:29" x14ac:dyDescent="0.25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6"/>
      <c r="M287" s="87" t="s">
        <v>69</v>
      </c>
      <c r="N287" s="88"/>
      <c r="O287" s="88"/>
      <c r="P287" s="88"/>
      <c r="Q287" s="88"/>
      <c r="R287" s="88"/>
      <c r="S287" s="89"/>
      <c r="T287" s="57" t="s">
        <v>68</v>
      </c>
      <c r="U287" s="58">
        <f>IFERROR(SUM(U285:U285),"0")</f>
        <v>93</v>
      </c>
      <c r="V287" s="58">
        <f>IFERROR(SUM(V285:V285),"0")</f>
        <v>93.6</v>
      </c>
      <c r="W287" s="57"/>
      <c r="X287" s="59"/>
      <c r="Y287" s="59"/>
    </row>
    <row r="288" spans="1:29" ht="14.25" customHeight="1" x14ac:dyDescent="0.25">
      <c r="A288" s="94" t="s">
        <v>199</v>
      </c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43"/>
      <c r="Y288" s="43"/>
    </row>
    <row r="289" spans="1:29" ht="16.5" customHeight="1" x14ac:dyDescent="0.25">
      <c r="A289" s="44" t="s">
        <v>463</v>
      </c>
      <c r="B289" s="44" t="s">
        <v>464</v>
      </c>
      <c r="C289" s="45">
        <v>4301060314</v>
      </c>
      <c r="D289" s="95">
        <v>4607091384673</v>
      </c>
      <c r="E289" s="95"/>
      <c r="F289" s="46">
        <v>1.3</v>
      </c>
      <c r="G289" s="47">
        <v>6</v>
      </c>
      <c r="H289" s="46">
        <v>7.8</v>
      </c>
      <c r="I289" s="46">
        <v>8.3640000000000008</v>
      </c>
      <c r="J289" s="47">
        <v>56</v>
      </c>
      <c r="K289" s="48" t="s">
        <v>66</v>
      </c>
      <c r="L289" s="47">
        <v>30</v>
      </c>
      <c r="M289" s="1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97"/>
      <c r="O289" s="97"/>
      <c r="P289" s="97"/>
      <c r="Q289" s="98"/>
      <c r="R289" s="49" t="s">
        <v>6</v>
      </c>
      <c r="S289" s="49" t="s">
        <v>6</v>
      </c>
      <c r="T289" s="50" t="s">
        <v>68</v>
      </c>
      <c r="U289" s="51">
        <v>0</v>
      </c>
      <c r="V289" s="52">
        <f>IFERROR(IF(U289="",0,CEILING((U289/$H289),1)*$H289),"")</f>
        <v>0</v>
      </c>
      <c r="W289" s="53" t="str">
        <f>IFERROR(IF(V289=0,"",ROUNDUP(V289/H289,0)*0.02175),"")</f>
        <v/>
      </c>
      <c r="X289" s="54" t="s">
        <v>6</v>
      </c>
      <c r="Y289" s="55" t="s">
        <v>6</v>
      </c>
      <c r="AC289" s="56" t="s">
        <v>1</v>
      </c>
    </row>
    <row r="290" spans="1:29" x14ac:dyDescent="0.25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6"/>
      <c r="M290" s="87" t="s">
        <v>69</v>
      </c>
      <c r="N290" s="88"/>
      <c r="O290" s="88"/>
      <c r="P290" s="88"/>
      <c r="Q290" s="88"/>
      <c r="R290" s="88"/>
      <c r="S290" s="89"/>
      <c r="T290" s="57" t="s">
        <v>70</v>
      </c>
      <c r="U290" s="58">
        <f>IFERROR(U289/H289,"0")</f>
        <v>0</v>
      </c>
      <c r="V290" s="58">
        <f>IFERROR(V289/H289,"0")</f>
        <v>0</v>
      </c>
      <c r="W290" s="58">
        <f>IFERROR(IF(W289="",0,W289),"0")</f>
        <v>0</v>
      </c>
      <c r="X290" s="59"/>
      <c r="Y290" s="59"/>
    </row>
    <row r="291" spans="1:29" x14ac:dyDescent="0.25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6"/>
      <c r="M291" s="87" t="s">
        <v>69</v>
      </c>
      <c r="N291" s="88"/>
      <c r="O291" s="88"/>
      <c r="P291" s="88"/>
      <c r="Q291" s="88"/>
      <c r="R291" s="88"/>
      <c r="S291" s="89"/>
      <c r="T291" s="57" t="s">
        <v>68</v>
      </c>
      <c r="U291" s="58">
        <f>IFERROR(SUM(U289:U289),"0")</f>
        <v>0</v>
      </c>
      <c r="V291" s="58">
        <f>IFERROR(SUM(V289:V289),"0")</f>
        <v>0</v>
      </c>
      <c r="W291" s="57"/>
      <c r="X291" s="59"/>
      <c r="Y291" s="59"/>
    </row>
    <row r="292" spans="1:29" ht="16.5" customHeight="1" x14ac:dyDescent="0.25">
      <c r="A292" s="99" t="s">
        <v>465</v>
      </c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42"/>
      <c r="Y292" s="42"/>
    </row>
    <row r="293" spans="1:29" ht="14.25" customHeight="1" x14ac:dyDescent="0.25">
      <c r="A293" s="94" t="s">
        <v>107</v>
      </c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43"/>
      <c r="Y293" s="43"/>
    </row>
    <row r="294" spans="1:29" ht="27" customHeight="1" x14ac:dyDescent="0.25">
      <c r="A294" s="44" t="s">
        <v>466</v>
      </c>
      <c r="B294" s="44" t="s">
        <v>467</v>
      </c>
      <c r="C294" s="45">
        <v>4301011324</v>
      </c>
      <c r="D294" s="95">
        <v>4607091384185</v>
      </c>
      <c r="E294" s="95"/>
      <c r="F294" s="46">
        <v>0.8</v>
      </c>
      <c r="G294" s="47">
        <v>15</v>
      </c>
      <c r="H294" s="46">
        <v>12</v>
      </c>
      <c r="I294" s="46">
        <v>12.48</v>
      </c>
      <c r="J294" s="47">
        <v>56</v>
      </c>
      <c r="K294" s="48" t="s">
        <v>66</v>
      </c>
      <c r="L294" s="47">
        <v>60</v>
      </c>
      <c r="M294" s="1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97"/>
      <c r="O294" s="97"/>
      <c r="P294" s="97"/>
      <c r="Q294" s="98"/>
      <c r="R294" s="49" t="s">
        <v>6</v>
      </c>
      <c r="S294" s="49" t="s">
        <v>6</v>
      </c>
      <c r="T294" s="50" t="s">
        <v>68</v>
      </c>
      <c r="U294" s="51">
        <v>0</v>
      </c>
      <c r="V294" s="52">
        <f>IFERROR(IF(U294="",0,CEILING((U294/$H294),1)*$H294),"")</f>
        <v>0</v>
      </c>
      <c r="W294" s="53" t="str">
        <f>IFERROR(IF(V294=0,"",ROUNDUP(V294/H294,0)*0.02175),"")</f>
        <v/>
      </c>
      <c r="X294" s="54" t="s">
        <v>6</v>
      </c>
      <c r="Y294" s="55" t="s">
        <v>6</v>
      </c>
      <c r="AC294" s="56" t="s">
        <v>1</v>
      </c>
    </row>
    <row r="295" spans="1:29" ht="27" customHeight="1" x14ac:dyDescent="0.25">
      <c r="A295" s="44" t="s">
        <v>468</v>
      </c>
      <c r="B295" s="44" t="s">
        <v>469</v>
      </c>
      <c r="C295" s="45">
        <v>4301011312</v>
      </c>
      <c r="D295" s="95">
        <v>4607091384192</v>
      </c>
      <c r="E295" s="95"/>
      <c r="F295" s="46">
        <v>1.8</v>
      </c>
      <c r="G295" s="47">
        <v>6</v>
      </c>
      <c r="H295" s="46">
        <v>10.8</v>
      </c>
      <c r="I295" s="46">
        <v>11.28</v>
      </c>
      <c r="J295" s="47">
        <v>56</v>
      </c>
      <c r="K295" s="48" t="s">
        <v>105</v>
      </c>
      <c r="L295" s="47">
        <v>60</v>
      </c>
      <c r="M295" s="1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97"/>
      <c r="O295" s="97"/>
      <c r="P295" s="97"/>
      <c r="Q295" s="98"/>
      <c r="R295" s="49" t="s">
        <v>6</v>
      </c>
      <c r="S295" s="49" t="s">
        <v>6</v>
      </c>
      <c r="T295" s="50" t="s">
        <v>68</v>
      </c>
      <c r="U295" s="51">
        <v>76</v>
      </c>
      <c r="V295" s="52">
        <f>IFERROR(IF(U295="",0,CEILING((U295/$H295),1)*$H295),"")</f>
        <v>86.4</v>
      </c>
      <c r="W295" s="53">
        <f>IFERROR(IF(V295=0,"",ROUNDUP(V295/H295,0)*0.02175),"")</f>
        <v>0.17399999999999999</v>
      </c>
      <c r="X295" s="54" t="s">
        <v>6</v>
      </c>
      <c r="Y295" s="55" t="s">
        <v>6</v>
      </c>
      <c r="AC295" s="56" t="s">
        <v>1</v>
      </c>
    </row>
    <row r="296" spans="1:29" ht="27" customHeight="1" x14ac:dyDescent="0.25">
      <c r="A296" s="44" t="s">
        <v>470</v>
      </c>
      <c r="B296" s="44" t="s">
        <v>471</v>
      </c>
      <c r="C296" s="45">
        <v>4301011483</v>
      </c>
      <c r="D296" s="95">
        <v>4680115881907</v>
      </c>
      <c r="E296" s="95"/>
      <c r="F296" s="46">
        <v>1.8</v>
      </c>
      <c r="G296" s="47">
        <v>6</v>
      </c>
      <c r="H296" s="46">
        <v>10.8</v>
      </c>
      <c r="I296" s="46">
        <v>11.28</v>
      </c>
      <c r="J296" s="47">
        <v>56</v>
      </c>
      <c r="K296" s="48" t="s">
        <v>66</v>
      </c>
      <c r="L296" s="47">
        <v>60</v>
      </c>
      <c r="M296" s="96" t="s">
        <v>472</v>
      </c>
      <c r="N296" s="97"/>
      <c r="O296" s="97"/>
      <c r="P296" s="97"/>
      <c r="Q296" s="98"/>
      <c r="R296" s="49" t="s">
        <v>6</v>
      </c>
      <c r="S296" s="49" t="s">
        <v>6</v>
      </c>
      <c r="T296" s="50" t="s">
        <v>68</v>
      </c>
      <c r="U296" s="51">
        <v>0</v>
      </c>
      <c r="V296" s="52">
        <f>IFERROR(IF(U296="",0,CEILING((U296/$H296),1)*$H296),"")</f>
        <v>0</v>
      </c>
      <c r="W296" s="53" t="str">
        <f>IFERROR(IF(V296=0,"",ROUNDUP(V296/H296,0)*0.02175),"")</f>
        <v/>
      </c>
      <c r="X296" s="54" t="s">
        <v>6</v>
      </c>
      <c r="Y296" s="55" t="s">
        <v>6</v>
      </c>
      <c r="AC296" s="56" t="s">
        <v>1</v>
      </c>
    </row>
    <row r="297" spans="1:29" ht="27" customHeight="1" x14ac:dyDescent="0.25">
      <c r="A297" s="44" t="s">
        <v>473</v>
      </c>
      <c r="B297" s="44" t="s">
        <v>474</v>
      </c>
      <c r="C297" s="45">
        <v>4301011303</v>
      </c>
      <c r="D297" s="95">
        <v>4607091384680</v>
      </c>
      <c r="E297" s="95"/>
      <c r="F297" s="46">
        <v>0.4</v>
      </c>
      <c r="G297" s="47">
        <v>10</v>
      </c>
      <c r="H297" s="46">
        <v>4</v>
      </c>
      <c r="I297" s="46">
        <v>4.21</v>
      </c>
      <c r="J297" s="47">
        <v>120</v>
      </c>
      <c r="K297" s="48" t="s">
        <v>66</v>
      </c>
      <c r="L297" s="47">
        <v>60</v>
      </c>
      <c r="M297" s="1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97"/>
      <c r="O297" s="97"/>
      <c r="P297" s="97"/>
      <c r="Q297" s="98"/>
      <c r="R297" s="49" t="s">
        <v>6</v>
      </c>
      <c r="S297" s="49" t="s">
        <v>6</v>
      </c>
      <c r="T297" s="50" t="s">
        <v>68</v>
      </c>
      <c r="U297" s="51">
        <v>0</v>
      </c>
      <c r="V297" s="52">
        <f>IFERROR(IF(U297="",0,CEILING((U297/$H297),1)*$H297),"")</f>
        <v>0</v>
      </c>
      <c r="W297" s="53" t="str">
        <f>IFERROR(IF(V297=0,"",ROUNDUP(V297/H297,0)*0.00937),"")</f>
        <v/>
      </c>
      <c r="X297" s="54" t="s">
        <v>6</v>
      </c>
      <c r="Y297" s="55" t="s">
        <v>6</v>
      </c>
      <c r="AC297" s="56" t="s">
        <v>1</v>
      </c>
    </row>
    <row r="298" spans="1:29" x14ac:dyDescent="0.25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6"/>
      <c r="M298" s="87" t="s">
        <v>69</v>
      </c>
      <c r="N298" s="88"/>
      <c r="O298" s="88"/>
      <c r="P298" s="88"/>
      <c r="Q298" s="88"/>
      <c r="R298" s="88"/>
      <c r="S298" s="89"/>
      <c r="T298" s="57" t="s">
        <v>70</v>
      </c>
      <c r="U298" s="58">
        <f>IFERROR(U294/H294,"0")+IFERROR(U295/H295,"0")+IFERROR(U296/H296,"0")+IFERROR(U297/H297,"0")</f>
        <v>7.0370370370370363</v>
      </c>
      <c r="V298" s="58">
        <f>IFERROR(V294/H294,"0")+IFERROR(V295/H295,"0")+IFERROR(V296/H296,"0")+IFERROR(V297/H297,"0")</f>
        <v>8</v>
      </c>
      <c r="W298" s="58">
        <f>IFERROR(IF(W294="",0,W294),"0")+IFERROR(IF(W295="",0,W295),"0")+IFERROR(IF(W296="",0,W296),"0")+IFERROR(IF(W297="",0,W297),"0")</f>
        <v>0.17399999999999999</v>
      </c>
      <c r="X298" s="59"/>
      <c r="Y298" s="59"/>
    </row>
    <row r="299" spans="1:29" x14ac:dyDescent="0.25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6"/>
      <c r="M299" s="87" t="s">
        <v>69</v>
      </c>
      <c r="N299" s="88"/>
      <c r="O299" s="88"/>
      <c r="P299" s="88"/>
      <c r="Q299" s="88"/>
      <c r="R299" s="88"/>
      <c r="S299" s="89"/>
      <c r="T299" s="57" t="s">
        <v>68</v>
      </c>
      <c r="U299" s="58">
        <f>IFERROR(SUM(U294:U297),"0")</f>
        <v>76</v>
      </c>
      <c r="V299" s="58">
        <f>IFERROR(SUM(V294:V297),"0")</f>
        <v>86.4</v>
      </c>
      <c r="W299" s="57"/>
      <c r="X299" s="59"/>
      <c r="Y299" s="59"/>
    </row>
    <row r="300" spans="1:29" ht="14.25" customHeight="1" x14ac:dyDescent="0.25">
      <c r="A300" s="94" t="s">
        <v>63</v>
      </c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43"/>
      <c r="Y300" s="43"/>
    </row>
    <row r="301" spans="1:29" ht="27" customHeight="1" x14ac:dyDescent="0.25">
      <c r="A301" s="44" t="s">
        <v>475</v>
      </c>
      <c r="B301" s="44" t="s">
        <v>476</v>
      </c>
      <c r="C301" s="45">
        <v>4301031139</v>
      </c>
      <c r="D301" s="95">
        <v>4607091384802</v>
      </c>
      <c r="E301" s="95"/>
      <c r="F301" s="46">
        <v>0.73</v>
      </c>
      <c r="G301" s="47">
        <v>6</v>
      </c>
      <c r="H301" s="46">
        <v>4.38</v>
      </c>
      <c r="I301" s="46">
        <v>4.58</v>
      </c>
      <c r="J301" s="47">
        <v>156</v>
      </c>
      <c r="K301" s="48" t="s">
        <v>66</v>
      </c>
      <c r="L301" s="47">
        <v>35</v>
      </c>
      <c r="M301" s="1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97"/>
      <c r="O301" s="97"/>
      <c r="P301" s="97"/>
      <c r="Q301" s="98"/>
      <c r="R301" s="49" t="s">
        <v>6</v>
      </c>
      <c r="S301" s="49" t="s">
        <v>6</v>
      </c>
      <c r="T301" s="50" t="s">
        <v>68</v>
      </c>
      <c r="U301" s="51">
        <v>0</v>
      </c>
      <c r="V301" s="52">
        <f>IFERROR(IF(U301="",0,CEILING((U301/$H301),1)*$H301),"")</f>
        <v>0</v>
      </c>
      <c r="W301" s="53" t="str">
        <f>IFERROR(IF(V301=0,"",ROUNDUP(V301/H301,0)*0.00753),"")</f>
        <v/>
      </c>
      <c r="X301" s="54" t="s">
        <v>6</v>
      </c>
      <c r="Y301" s="55" t="s">
        <v>6</v>
      </c>
      <c r="AC301" s="56" t="s">
        <v>1</v>
      </c>
    </row>
    <row r="302" spans="1:29" ht="27" customHeight="1" x14ac:dyDescent="0.25">
      <c r="A302" s="44" t="s">
        <v>477</v>
      </c>
      <c r="B302" s="44" t="s">
        <v>478</v>
      </c>
      <c r="C302" s="45">
        <v>4301031140</v>
      </c>
      <c r="D302" s="95">
        <v>4607091384826</v>
      </c>
      <c r="E302" s="95"/>
      <c r="F302" s="46">
        <v>0.35</v>
      </c>
      <c r="G302" s="47">
        <v>8</v>
      </c>
      <c r="H302" s="46">
        <v>2.8</v>
      </c>
      <c r="I302" s="46">
        <v>2.9</v>
      </c>
      <c r="J302" s="47">
        <v>234</v>
      </c>
      <c r="K302" s="48" t="s">
        <v>66</v>
      </c>
      <c r="L302" s="47">
        <v>35</v>
      </c>
      <c r="M302" s="1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97"/>
      <c r="O302" s="97"/>
      <c r="P302" s="97"/>
      <c r="Q302" s="98"/>
      <c r="R302" s="49" t="s">
        <v>6</v>
      </c>
      <c r="S302" s="49" t="s">
        <v>6</v>
      </c>
      <c r="T302" s="50" t="s">
        <v>68</v>
      </c>
      <c r="U302" s="51">
        <v>0</v>
      </c>
      <c r="V302" s="52">
        <f>IFERROR(IF(U302="",0,CEILING((U302/$H302),1)*$H302),"")</f>
        <v>0</v>
      </c>
      <c r="W302" s="53" t="str">
        <f>IFERROR(IF(V302=0,"",ROUNDUP(V302/H302,0)*0.00502),"")</f>
        <v/>
      </c>
      <c r="X302" s="54" t="s">
        <v>6</v>
      </c>
      <c r="Y302" s="55" t="s">
        <v>6</v>
      </c>
      <c r="AC302" s="56" t="s">
        <v>1</v>
      </c>
    </row>
    <row r="303" spans="1:29" x14ac:dyDescent="0.25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6"/>
      <c r="M303" s="87" t="s">
        <v>69</v>
      </c>
      <c r="N303" s="88"/>
      <c r="O303" s="88"/>
      <c r="P303" s="88"/>
      <c r="Q303" s="88"/>
      <c r="R303" s="88"/>
      <c r="S303" s="89"/>
      <c r="T303" s="57" t="s">
        <v>70</v>
      </c>
      <c r="U303" s="58">
        <f>IFERROR(U301/H301,"0")+IFERROR(U302/H302,"0")</f>
        <v>0</v>
      </c>
      <c r="V303" s="58">
        <f>IFERROR(V301/H301,"0")+IFERROR(V302/H302,"0")</f>
        <v>0</v>
      </c>
      <c r="W303" s="58">
        <f>IFERROR(IF(W301="",0,W301),"0")+IFERROR(IF(W302="",0,W302),"0")</f>
        <v>0</v>
      </c>
      <c r="X303" s="59"/>
      <c r="Y303" s="59"/>
    </row>
    <row r="304" spans="1:29" x14ac:dyDescent="0.25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6"/>
      <c r="M304" s="87" t="s">
        <v>69</v>
      </c>
      <c r="N304" s="88"/>
      <c r="O304" s="88"/>
      <c r="P304" s="88"/>
      <c r="Q304" s="88"/>
      <c r="R304" s="88"/>
      <c r="S304" s="89"/>
      <c r="T304" s="57" t="s">
        <v>68</v>
      </c>
      <c r="U304" s="58">
        <f>IFERROR(SUM(U301:U302),"0")</f>
        <v>0</v>
      </c>
      <c r="V304" s="58">
        <f>IFERROR(SUM(V301:V302),"0")</f>
        <v>0</v>
      </c>
      <c r="W304" s="57"/>
      <c r="X304" s="59"/>
      <c r="Y304" s="59"/>
    </row>
    <row r="305" spans="1:29" ht="14.25" customHeight="1" x14ac:dyDescent="0.25">
      <c r="A305" s="94" t="s">
        <v>71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43"/>
      <c r="Y305" s="43"/>
    </row>
    <row r="306" spans="1:29" ht="27" customHeight="1" x14ac:dyDescent="0.25">
      <c r="A306" s="44" t="s">
        <v>479</v>
      </c>
      <c r="B306" s="44" t="s">
        <v>480</v>
      </c>
      <c r="C306" s="45">
        <v>4301051303</v>
      </c>
      <c r="D306" s="95">
        <v>4607091384246</v>
      </c>
      <c r="E306" s="95"/>
      <c r="F306" s="46">
        <v>1.3</v>
      </c>
      <c r="G306" s="47">
        <v>6</v>
      </c>
      <c r="H306" s="46">
        <v>7.8</v>
      </c>
      <c r="I306" s="46">
        <v>8.3640000000000008</v>
      </c>
      <c r="J306" s="47">
        <v>56</v>
      </c>
      <c r="K306" s="48" t="s">
        <v>66</v>
      </c>
      <c r="L306" s="47">
        <v>40</v>
      </c>
      <c r="M306" s="1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6" s="97"/>
      <c r="O306" s="97"/>
      <c r="P306" s="97"/>
      <c r="Q306" s="98"/>
      <c r="R306" s="49" t="s">
        <v>6</v>
      </c>
      <c r="S306" s="49" t="s">
        <v>6</v>
      </c>
      <c r="T306" s="50" t="s">
        <v>68</v>
      </c>
      <c r="U306" s="51">
        <v>0</v>
      </c>
      <c r="V306" s="52">
        <f>IFERROR(IF(U306="",0,CEILING((U306/$H306),1)*$H306),"")</f>
        <v>0</v>
      </c>
      <c r="W306" s="53" t="str">
        <f>IFERROR(IF(V306=0,"",ROUNDUP(V306/H306,0)*0.02175),"")</f>
        <v/>
      </c>
      <c r="X306" s="54" t="s">
        <v>6</v>
      </c>
      <c r="Y306" s="55" t="s">
        <v>6</v>
      </c>
      <c r="AC306" s="56" t="s">
        <v>1</v>
      </c>
    </row>
    <row r="307" spans="1:29" ht="27" customHeight="1" x14ac:dyDescent="0.25">
      <c r="A307" s="44" t="s">
        <v>481</v>
      </c>
      <c r="B307" s="44" t="s">
        <v>482</v>
      </c>
      <c r="C307" s="45">
        <v>4301051445</v>
      </c>
      <c r="D307" s="95">
        <v>4680115881976</v>
      </c>
      <c r="E307" s="95"/>
      <c r="F307" s="46">
        <v>1.3</v>
      </c>
      <c r="G307" s="47">
        <v>6</v>
      </c>
      <c r="H307" s="46">
        <v>7.8</v>
      </c>
      <c r="I307" s="46">
        <v>8.2799999999999994</v>
      </c>
      <c r="J307" s="47">
        <v>56</v>
      </c>
      <c r="K307" s="48" t="s">
        <v>66</v>
      </c>
      <c r="L307" s="47">
        <v>40</v>
      </c>
      <c r="M307" s="96" t="s">
        <v>483</v>
      </c>
      <c r="N307" s="97"/>
      <c r="O307" s="97"/>
      <c r="P307" s="97"/>
      <c r="Q307" s="98"/>
      <c r="R307" s="49" t="s">
        <v>6</v>
      </c>
      <c r="S307" s="49" t="s">
        <v>6</v>
      </c>
      <c r="T307" s="50" t="s">
        <v>68</v>
      </c>
      <c r="U307" s="51">
        <v>0</v>
      </c>
      <c r="V307" s="52">
        <f>IFERROR(IF(U307="",0,CEILING((U307/$H307),1)*$H307),"")</f>
        <v>0</v>
      </c>
      <c r="W307" s="53" t="str">
        <f>IFERROR(IF(V307=0,"",ROUNDUP(V307/H307,0)*0.02175),"")</f>
        <v/>
      </c>
      <c r="X307" s="54" t="s">
        <v>6</v>
      </c>
      <c r="Y307" s="55" t="s">
        <v>6</v>
      </c>
      <c r="AC307" s="56" t="s">
        <v>1</v>
      </c>
    </row>
    <row r="308" spans="1:29" ht="27" customHeight="1" x14ac:dyDescent="0.25">
      <c r="A308" s="44" t="s">
        <v>484</v>
      </c>
      <c r="B308" s="44" t="s">
        <v>485</v>
      </c>
      <c r="C308" s="45">
        <v>4301051297</v>
      </c>
      <c r="D308" s="95">
        <v>4607091384253</v>
      </c>
      <c r="E308" s="95"/>
      <c r="F308" s="46">
        <v>0.4</v>
      </c>
      <c r="G308" s="47">
        <v>6</v>
      </c>
      <c r="H308" s="46">
        <v>2.4</v>
      </c>
      <c r="I308" s="46">
        <v>2.6840000000000002</v>
      </c>
      <c r="J308" s="47">
        <v>156</v>
      </c>
      <c r="K308" s="48" t="s">
        <v>66</v>
      </c>
      <c r="L308" s="47">
        <v>40</v>
      </c>
      <c r="M308" s="1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97"/>
      <c r="O308" s="97"/>
      <c r="P308" s="97"/>
      <c r="Q308" s="98"/>
      <c r="R308" s="49" t="s">
        <v>6</v>
      </c>
      <c r="S308" s="49" t="s">
        <v>6</v>
      </c>
      <c r="T308" s="50" t="s">
        <v>68</v>
      </c>
      <c r="U308" s="51">
        <v>0</v>
      </c>
      <c r="V308" s="52">
        <f>IFERROR(IF(U308="",0,CEILING((U308/$H308),1)*$H308),"")</f>
        <v>0</v>
      </c>
      <c r="W308" s="53" t="str">
        <f>IFERROR(IF(V308=0,"",ROUNDUP(V308/H308,0)*0.00753),"")</f>
        <v/>
      </c>
      <c r="X308" s="54" t="s">
        <v>6</v>
      </c>
      <c r="Y308" s="55" t="s">
        <v>6</v>
      </c>
      <c r="AC308" s="56" t="s">
        <v>1</v>
      </c>
    </row>
    <row r="309" spans="1:29" ht="27" customHeight="1" x14ac:dyDescent="0.25">
      <c r="A309" s="44" t="s">
        <v>486</v>
      </c>
      <c r="B309" s="44" t="s">
        <v>487</v>
      </c>
      <c r="C309" s="45">
        <v>4301051444</v>
      </c>
      <c r="D309" s="95">
        <v>4680115881969</v>
      </c>
      <c r="E309" s="95"/>
      <c r="F309" s="46">
        <v>0.4</v>
      </c>
      <c r="G309" s="47">
        <v>6</v>
      </c>
      <c r="H309" s="46">
        <v>2.4</v>
      </c>
      <c r="I309" s="46">
        <v>2.6</v>
      </c>
      <c r="J309" s="47">
        <v>156</v>
      </c>
      <c r="K309" s="48" t="s">
        <v>66</v>
      </c>
      <c r="L309" s="47">
        <v>40</v>
      </c>
      <c r="M309" s="96" t="s">
        <v>488</v>
      </c>
      <c r="N309" s="97"/>
      <c r="O309" s="97"/>
      <c r="P309" s="97"/>
      <c r="Q309" s="98"/>
      <c r="R309" s="49" t="s">
        <v>6</v>
      </c>
      <c r="S309" s="49" t="s">
        <v>6</v>
      </c>
      <c r="T309" s="50" t="s">
        <v>68</v>
      </c>
      <c r="U309" s="51">
        <v>0</v>
      </c>
      <c r="V309" s="52">
        <f>IFERROR(IF(U309="",0,CEILING((U309/$H309),1)*$H309),"")</f>
        <v>0</v>
      </c>
      <c r="W309" s="53" t="str">
        <f>IFERROR(IF(V309=0,"",ROUNDUP(V309/H309,0)*0.00753),"")</f>
        <v/>
      </c>
      <c r="X309" s="54" t="s">
        <v>6</v>
      </c>
      <c r="Y309" s="55" t="s">
        <v>6</v>
      </c>
      <c r="AC309" s="56" t="s">
        <v>1</v>
      </c>
    </row>
    <row r="310" spans="1:29" x14ac:dyDescent="0.25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6"/>
      <c r="M310" s="87" t="s">
        <v>69</v>
      </c>
      <c r="N310" s="88"/>
      <c r="O310" s="88"/>
      <c r="P310" s="88"/>
      <c r="Q310" s="88"/>
      <c r="R310" s="88"/>
      <c r="S310" s="89"/>
      <c r="T310" s="57" t="s">
        <v>70</v>
      </c>
      <c r="U310" s="58">
        <f>IFERROR(U306/H306,"0")+IFERROR(U307/H307,"0")+IFERROR(U308/H308,"0")+IFERROR(U309/H309,"0")</f>
        <v>0</v>
      </c>
      <c r="V310" s="58">
        <f>IFERROR(V306/H306,"0")+IFERROR(V307/H307,"0")+IFERROR(V308/H308,"0")+IFERROR(V309/H309,"0")</f>
        <v>0</v>
      </c>
      <c r="W310" s="58">
        <f>IFERROR(IF(W306="",0,W306),"0")+IFERROR(IF(W307="",0,W307),"0")+IFERROR(IF(W308="",0,W308),"0")+IFERROR(IF(W309="",0,W309),"0")</f>
        <v>0</v>
      </c>
      <c r="X310" s="59"/>
      <c r="Y310" s="59"/>
    </row>
    <row r="311" spans="1:29" x14ac:dyDescent="0.25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6"/>
      <c r="M311" s="87" t="s">
        <v>69</v>
      </c>
      <c r="N311" s="88"/>
      <c r="O311" s="88"/>
      <c r="P311" s="88"/>
      <c r="Q311" s="88"/>
      <c r="R311" s="88"/>
      <c r="S311" s="89"/>
      <c r="T311" s="57" t="s">
        <v>68</v>
      </c>
      <c r="U311" s="58">
        <f>IFERROR(SUM(U306:U309),"0")</f>
        <v>0</v>
      </c>
      <c r="V311" s="58">
        <f>IFERROR(SUM(V306:V309),"0")</f>
        <v>0</v>
      </c>
      <c r="W311" s="57"/>
      <c r="X311" s="59"/>
      <c r="Y311" s="59"/>
    </row>
    <row r="312" spans="1:29" ht="14.25" customHeight="1" x14ac:dyDescent="0.25">
      <c r="A312" s="94" t="s">
        <v>199</v>
      </c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43"/>
      <c r="Y312" s="43"/>
    </row>
    <row r="313" spans="1:29" ht="27" customHeight="1" x14ac:dyDescent="0.25">
      <c r="A313" s="44" t="s">
        <v>489</v>
      </c>
      <c r="B313" s="44" t="s">
        <v>490</v>
      </c>
      <c r="C313" s="45">
        <v>4301060322</v>
      </c>
      <c r="D313" s="95">
        <v>4607091389357</v>
      </c>
      <c r="E313" s="95"/>
      <c r="F313" s="46">
        <v>1.3</v>
      </c>
      <c r="G313" s="47">
        <v>6</v>
      </c>
      <c r="H313" s="46">
        <v>7.8</v>
      </c>
      <c r="I313" s="46">
        <v>8.2799999999999994</v>
      </c>
      <c r="J313" s="47">
        <v>56</v>
      </c>
      <c r="K313" s="48" t="s">
        <v>66</v>
      </c>
      <c r="L313" s="47">
        <v>40</v>
      </c>
      <c r="M313" s="96" t="s">
        <v>491</v>
      </c>
      <c r="N313" s="97"/>
      <c r="O313" s="97"/>
      <c r="P313" s="97"/>
      <c r="Q313" s="98"/>
      <c r="R313" s="49" t="s">
        <v>6</v>
      </c>
      <c r="S313" s="49" t="s">
        <v>6</v>
      </c>
      <c r="T313" s="50" t="s">
        <v>68</v>
      </c>
      <c r="U313" s="51">
        <v>0</v>
      </c>
      <c r="V313" s="52">
        <f>IFERROR(IF(U313="",0,CEILING((U313/$H313),1)*$H313),"")</f>
        <v>0</v>
      </c>
      <c r="W313" s="53" t="str">
        <f>IFERROR(IF(V313=0,"",ROUNDUP(V313/H313,0)*0.02175),"")</f>
        <v/>
      </c>
      <c r="X313" s="54" t="s">
        <v>6</v>
      </c>
      <c r="Y313" s="55" t="s">
        <v>6</v>
      </c>
      <c r="AC313" s="56" t="s">
        <v>1</v>
      </c>
    </row>
    <row r="314" spans="1:29" x14ac:dyDescent="0.25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6"/>
      <c r="M314" s="87" t="s">
        <v>69</v>
      </c>
      <c r="N314" s="88"/>
      <c r="O314" s="88"/>
      <c r="P314" s="88"/>
      <c r="Q314" s="88"/>
      <c r="R314" s="88"/>
      <c r="S314" s="89"/>
      <c r="T314" s="57" t="s">
        <v>70</v>
      </c>
      <c r="U314" s="58">
        <f>IFERROR(U313/H313,"0")</f>
        <v>0</v>
      </c>
      <c r="V314" s="58">
        <f>IFERROR(V313/H313,"0")</f>
        <v>0</v>
      </c>
      <c r="W314" s="58">
        <f>IFERROR(IF(W313="",0,W313),"0")</f>
        <v>0</v>
      </c>
      <c r="X314" s="59"/>
      <c r="Y314" s="59"/>
    </row>
    <row r="315" spans="1:29" x14ac:dyDescent="0.2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6"/>
      <c r="M315" s="87" t="s">
        <v>69</v>
      </c>
      <c r="N315" s="88"/>
      <c r="O315" s="88"/>
      <c r="P315" s="88"/>
      <c r="Q315" s="88"/>
      <c r="R315" s="88"/>
      <c r="S315" s="89"/>
      <c r="T315" s="57" t="s">
        <v>68</v>
      </c>
      <c r="U315" s="58">
        <f>IFERROR(SUM(U313:U313),"0")</f>
        <v>0</v>
      </c>
      <c r="V315" s="58">
        <f>IFERROR(SUM(V313:V313),"0")</f>
        <v>0</v>
      </c>
      <c r="W315" s="57"/>
      <c r="X315" s="59"/>
      <c r="Y315" s="59"/>
    </row>
    <row r="316" spans="1:29" ht="27.75" customHeight="1" x14ac:dyDescent="0.25">
      <c r="A316" s="101" t="s">
        <v>492</v>
      </c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41"/>
      <c r="Y316" s="41"/>
    </row>
    <row r="317" spans="1:29" ht="16.5" customHeight="1" x14ac:dyDescent="0.25">
      <c r="A317" s="99" t="s">
        <v>493</v>
      </c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42"/>
      <c r="Y317" s="42"/>
    </row>
    <row r="318" spans="1:29" ht="14.25" customHeight="1" x14ac:dyDescent="0.25">
      <c r="A318" s="94" t="s">
        <v>107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43"/>
      <c r="Y318" s="43"/>
    </row>
    <row r="319" spans="1:29" ht="27" customHeight="1" x14ac:dyDescent="0.25">
      <c r="A319" s="44" t="s">
        <v>494</v>
      </c>
      <c r="B319" s="44" t="s">
        <v>495</v>
      </c>
      <c r="C319" s="45">
        <v>4301011428</v>
      </c>
      <c r="D319" s="95">
        <v>4607091389708</v>
      </c>
      <c r="E319" s="95"/>
      <c r="F319" s="46">
        <v>0.45</v>
      </c>
      <c r="G319" s="47">
        <v>6</v>
      </c>
      <c r="H319" s="46">
        <v>2.7</v>
      </c>
      <c r="I319" s="46">
        <v>2.9</v>
      </c>
      <c r="J319" s="47">
        <v>156</v>
      </c>
      <c r="K319" s="48" t="s">
        <v>105</v>
      </c>
      <c r="L319" s="47">
        <v>50</v>
      </c>
      <c r="M319" s="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97"/>
      <c r="O319" s="97"/>
      <c r="P319" s="97"/>
      <c r="Q319" s="98"/>
      <c r="R319" s="49" t="s">
        <v>6</v>
      </c>
      <c r="S319" s="49" t="s">
        <v>6</v>
      </c>
      <c r="T319" s="50" t="s">
        <v>68</v>
      </c>
      <c r="U319" s="51">
        <v>0</v>
      </c>
      <c r="V319" s="52">
        <f>IFERROR(IF(U319="",0,CEILING((U319/$H319),1)*$H319),"")</f>
        <v>0</v>
      </c>
      <c r="W319" s="53" t="str">
        <f>IFERROR(IF(V319=0,"",ROUNDUP(V319/H319,0)*0.00753),"")</f>
        <v/>
      </c>
      <c r="X319" s="54" t="s">
        <v>6</v>
      </c>
      <c r="Y319" s="55" t="s">
        <v>6</v>
      </c>
      <c r="AC319" s="56" t="s">
        <v>1</v>
      </c>
    </row>
    <row r="320" spans="1:29" ht="27" customHeight="1" x14ac:dyDescent="0.25">
      <c r="A320" s="44" t="s">
        <v>496</v>
      </c>
      <c r="B320" s="44" t="s">
        <v>497</v>
      </c>
      <c r="C320" s="45">
        <v>4301011427</v>
      </c>
      <c r="D320" s="95">
        <v>4607091389692</v>
      </c>
      <c r="E320" s="95"/>
      <c r="F320" s="46">
        <v>0.45</v>
      </c>
      <c r="G320" s="47">
        <v>6</v>
      </c>
      <c r="H320" s="46">
        <v>2.7</v>
      </c>
      <c r="I320" s="46">
        <v>2.9</v>
      </c>
      <c r="J320" s="47">
        <v>156</v>
      </c>
      <c r="K320" s="48" t="s">
        <v>105</v>
      </c>
      <c r="L320" s="47">
        <v>50</v>
      </c>
      <c r="M320" s="96" t="s">
        <v>498</v>
      </c>
      <c r="N320" s="97"/>
      <c r="O320" s="97"/>
      <c r="P320" s="97"/>
      <c r="Q320" s="98"/>
      <c r="R320" s="49" t="s">
        <v>6</v>
      </c>
      <c r="S320" s="49" t="s">
        <v>6</v>
      </c>
      <c r="T320" s="50" t="s">
        <v>68</v>
      </c>
      <c r="U320" s="51">
        <v>0</v>
      </c>
      <c r="V320" s="52">
        <f>IFERROR(IF(U320="",0,CEILING((U320/$H320),1)*$H320),"")</f>
        <v>0</v>
      </c>
      <c r="W320" s="53" t="str">
        <f>IFERROR(IF(V320=0,"",ROUNDUP(V320/H320,0)*0.00753),"")</f>
        <v/>
      </c>
      <c r="X320" s="54" t="s">
        <v>6</v>
      </c>
      <c r="Y320" s="55" t="s">
        <v>6</v>
      </c>
      <c r="AC320" s="56" t="s">
        <v>1</v>
      </c>
    </row>
    <row r="321" spans="1:29" x14ac:dyDescent="0.25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6"/>
      <c r="M321" s="87" t="s">
        <v>69</v>
      </c>
      <c r="N321" s="88"/>
      <c r="O321" s="88"/>
      <c r="P321" s="88"/>
      <c r="Q321" s="88"/>
      <c r="R321" s="88"/>
      <c r="S321" s="89"/>
      <c r="T321" s="57" t="s">
        <v>70</v>
      </c>
      <c r="U321" s="58">
        <f>IFERROR(U319/H319,"0")+IFERROR(U320/H320,"0")</f>
        <v>0</v>
      </c>
      <c r="V321" s="58">
        <f>IFERROR(V319/H319,"0")+IFERROR(V320/H320,"0")</f>
        <v>0</v>
      </c>
      <c r="W321" s="58">
        <f>IFERROR(IF(W319="",0,W319),"0")+IFERROR(IF(W320="",0,W320),"0")</f>
        <v>0</v>
      </c>
      <c r="X321" s="59"/>
      <c r="Y321" s="59"/>
    </row>
    <row r="322" spans="1:29" x14ac:dyDescent="0.25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6"/>
      <c r="M322" s="87" t="s">
        <v>69</v>
      </c>
      <c r="N322" s="88"/>
      <c r="O322" s="88"/>
      <c r="P322" s="88"/>
      <c r="Q322" s="88"/>
      <c r="R322" s="88"/>
      <c r="S322" s="89"/>
      <c r="T322" s="57" t="s">
        <v>68</v>
      </c>
      <c r="U322" s="58">
        <f>IFERROR(SUM(U319:U320),"0")</f>
        <v>0</v>
      </c>
      <c r="V322" s="58">
        <f>IFERROR(SUM(V319:V320),"0")</f>
        <v>0</v>
      </c>
      <c r="W322" s="57"/>
      <c r="X322" s="59"/>
      <c r="Y322" s="59"/>
    </row>
    <row r="323" spans="1:29" ht="14.25" customHeight="1" x14ac:dyDescent="0.25">
      <c r="A323" s="94" t="s">
        <v>63</v>
      </c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43"/>
      <c r="Y323" s="43"/>
    </row>
    <row r="324" spans="1:29" ht="37.5" customHeight="1" x14ac:dyDescent="0.25">
      <c r="A324" s="44" t="s">
        <v>499</v>
      </c>
      <c r="B324" s="44" t="s">
        <v>500</v>
      </c>
      <c r="C324" s="45">
        <v>4301031236</v>
      </c>
      <c r="D324" s="95">
        <v>4680115882928</v>
      </c>
      <c r="E324" s="95"/>
      <c r="F324" s="46">
        <v>0.28000000000000003</v>
      </c>
      <c r="G324" s="47">
        <v>6</v>
      </c>
      <c r="H324" s="46">
        <v>1.68</v>
      </c>
      <c r="I324" s="46">
        <v>2.6</v>
      </c>
      <c r="J324" s="47">
        <v>156</v>
      </c>
      <c r="K324" s="48" t="s">
        <v>66</v>
      </c>
      <c r="L324" s="47">
        <v>35</v>
      </c>
      <c r="M324" s="96" t="s">
        <v>501</v>
      </c>
      <c r="N324" s="97"/>
      <c r="O324" s="97"/>
      <c r="P324" s="97"/>
      <c r="Q324" s="98"/>
      <c r="R324" s="49" t="s">
        <v>6</v>
      </c>
      <c r="S324" s="49" t="s">
        <v>6</v>
      </c>
      <c r="T324" s="50" t="s">
        <v>68</v>
      </c>
      <c r="U324" s="51">
        <v>0</v>
      </c>
      <c r="V324" s="52">
        <f t="shared" ref="V324:V336" si="13">IFERROR(IF(U324="",0,CEILING((U324/$H324),1)*$H324),"")</f>
        <v>0</v>
      </c>
      <c r="W324" s="53" t="str">
        <f>IFERROR(IF(V324=0,"",ROUNDUP(V324/H324,0)*0.00753),"")</f>
        <v/>
      </c>
      <c r="X324" s="54" t="s">
        <v>6</v>
      </c>
      <c r="Y324" s="55" t="s">
        <v>266</v>
      </c>
      <c r="AC324" s="56" t="s">
        <v>1</v>
      </c>
    </row>
    <row r="325" spans="1:29" ht="27" customHeight="1" x14ac:dyDescent="0.25">
      <c r="A325" s="44" t="s">
        <v>502</v>
      </c>
      <c r="B325" s="44" t="s">
        <v>503</v>
      </c>
      <c r="C325" s="45">
        <v>4301031257</v>
      </c>
      <c r="D325" s="95">
        <v>4680115883147</v>
      </c>
      <c r="E325" s="95"/>
      <c r="F325" s="46">
        <v>0.28000000000000003</v>
      </c>
      <c r="G325" s="47">
        <v>6</v>
      </c>
      <c r="H325" s="46">
        <v>1.68</v>
      </c>
      <c r="I325" s="46">
        <v>1.81</v>
      </c>
      <c r="J325" s="47">
        <v>234</v>
      </c>
      <c r="K325" s="48" t="s">
        <v>66</v>
      </c>
      <c r="L325" s="47">
        <v>45</v>
      </c>
      <c r="M325" s="96" t="s">
        <v>504</v>
      </c>
      <c r="N325" s="97"/>
      <c r="O325" s="97"/>
      <c r="P325" s="97"/>
      <c r="Q325" s="98"/>
      <c r="R325" s="49" t="s">
        <v>6</v>
      </c>
      <c r="S325" s="49" t="s">
        <v>6</v>
      </c>
      <c r="T325" s="50" t="s">
        <v>68</v>
      </c>
      <c r="U325" s="51">
        <v>0</v>
      </c>
      <c r="V325" s="52">
        <f t="shared" si="13"/>
        <v>0</v>
      </c>
      <c r="W325" s="53" t="str">
        <f>IFERROR(IF(V325=0,"",ROUNDUP(V325/H325,0)*0.00502),"")</f>
        <v/>
      </c>
      <c r="X325" s="54" t="s">
        <v>6</v>
      </c>
      <c r="Y325" s="55" t="s">
        <v>266</v>
      </c>
      <c r="AC325" s="56" t="s">
        <v>1</v>
      </c>
    </row>
    <row r="326" spans="1:29" ht="37.5" customHeight="1" x14ac:dyDescent="0.25">
      <c r="A326" s="44" t="s">
        <v>505</v>
      </c>
      <c r="B326" s="44" t="s">
        <v>506</v>
      </c>
      <c r="C326" s="45">
        <v>4301031254</v>
      </c>
      <c r="D326" s="95">
        <v>4680115883154</v>
      </c>
      <c r="E326" s="95"/>
      <c r="F326" s="46">
        <v>0.28000000000000003</v>
      </c>
      <c r="G326" s="47">
        <v>6</v>
      </c>
      <c r="H326" s="46">
        <v>1.68</v>
      </c>
      <c r="I326" s="46">
        <v>1.81</v>
      </c>
      <c r="J326" s="47">
        <v>234</v>
      </c>
      <c r="K326" s="48" t="s">
        <v>66</v>
      </c>
      <c r="L326" s="47">
        <v>45</v>
      </c>
      <c r="M326" s="96" t="s">
        <v>507</v>
      </c>
      <c r="N326" s="97"/>
      <c r="O326" s="97"/>
      <c r="P326" s="97"/>
      <c r="Q326" s="98"/>
      <c r="R326" s="49" t="s">
        <v>6</v>
      </c>
      <c r="S326" s="49" t="s">
        <v>6</v>
      </c>
      <c r="T326" s="50" t="s">
        <v>68</v>
      </c>
      <c r="U326" s="51">
        <v>0</v>
      </c>
      <c r="V326" s="52">
        <f t="shared" si="13"/>
        <v>0</v>
      </c>
      <c r="W326" s="53" t="str">
        <f>IFERROR(IF(V326=0,"",ROUNDUP(V326/H326,0)*0.00502),"")</f>
        <v/>
      </c>
      <c r="X326" s="54" t="s">
        <v>6</v>
      </c>
      <c r="Y326" s="55" t="s">
        <v>266</v>
      </c>
      <c r="AC326" s="56" t="s">
        <v>1</v>
      </c>
    </row>
    <row r="327" spans="1:29" ht="27" customHeight="1" x14ac:dyDescent="0.25">
      <c r="A327" s="44" t="s">
        <v>508</v>
      </c>
      <c r="B327" s="44" t="s">
        <v>509</v>
      </c>
      <c r="C327" s="45">
        <v>4301031258</v>
      </c>
      <c r="D327" s="95">
        <v>4680115883161</v>
      </c>
      <c r="E327" s="95"/>
      <c r="F327" s="46">
        <v>0.28000000000000003</v>
      </c>
      <c r="G327" s="47">
        <v>6</v>
      </c>
      <c r="H327" s="46">
        <v>1.68</v>
      </c>
      <c r="I327" s="46">
        <v>1.81</v>
      </c>
      <c r="J327" s="47">
        <v>234</v>
      </c>
      <c r="K327" s="48" t="s">
        <v>66</v>
      </c>
      <c r="L327" s="47">
        <v>45</v>
      </c>
      <c r="M327" s="96" t="s">
        <v>510</v>
      </c>
      <c r="N327" s="97"/>
      <c r="O327" s="97"/>
      <c r="P327" s="97"/>
      <c r="Q327" s="98"/>
      <c r="R327" s="49" t="s">
        <v>6</v>
      </c>
      <c r="S327" s="49" t="s">
        <v>6</v>
      </c>
      <c r="T327" s="50" t="s">
        <v>68</v>
      </c>
      <c r="U327" s="51">
        <v>0</v>
      </c>
      <c r="V327" s="52">
        <f t="shared" si="13"/>
        <v>0</v>
      </c>
      <c r="W327" s="53" t="str">
        <f>IFERROR(IF(V327=0,"",ROUNDUP(V327/H327,0)*0.00502),"")</f>
        <v/>
      </c>
      <c r="X327" s="54" t="s">
        <v>6</v>
      </c>
      <c r="Y327" s="55" t="s">
        <v>266</v>
      </c>
      <c r="AC327" s="56" t="s">
        <v>1</v>
      </c>
    </row>
    <row r="328" spans="1:29" ht="27" customHeight="1" x14ac:dyDescent="0.25">
      <c r="A328" s="44" t="s">
        <v>511</v>
      </c>
      <c r="B328" s="44" t="s">
        <v>512</v>
      </c>
      <c r="C328" s="45">
        <v>4301031256</v>
      </c>
      <c r="D328" s="95">
        <v>4680115883178</v>
      </c>
      <c r="E328" s="95"/>
      <c r="F328" s="46">
        <v>0.28000000000000003</v>
      </c>
      <c r="G328" s="47">
        <v>6</v>
      </c>
      <c r="H328" s="46">
        <v>1.68</v>
      </c>
      <c r="I328" s="46">
        <v>1.81</v>
      </c>
      <c r="J328" s="47">
        <v>234</v>
      </c>
      <c r="K328" s="48" t="s">
        <v>66</v>
      </c>
      <c r="L328" s="47">
        <v>45</v>
      </c>
      <c r="M328" s="96" t="s">
        <v>513</v>
      </c>
      <c r="N328" s="97"/>
      <c r="O328" s="97"/>
      <c r="P328" s="97"/>
      <c r="Q328" s="98"/>
      <c r="R328" s="49" t="s">
        <v>6</v>
      </c>
      <c r="S328" s="49" t="s">
        <v>6</v>
      </c>
      <c r="T328" s="50" t="s">
        <v>68</v>
      </c>
      <c r="U328" s="51">
        <v>0</v>
      </c>
      <c r="V328" s="52">
        <f t="shared" si="13"/>
        <v>0</v>
      </c>
      <c r="W328" s="53" t="str">
        <f>IFERROR(IF(V328=0,"",ROUNDUP(V328/H328,0)*0.00502),"")</f>
        <v/>
      </c>
      <c r="X328" s="54" t="s">
        <v>6</v>
      </c>
      <c r="Y328" s="55" t="s">
        <v>266</v>
      </c>
      <c r="AC328" s="56" t="s">
        <v>1</v>
      </c>
    </row>
    <row r="329" spans="1:29" ht="27" customHeight="1" x14ac:dyDescent="0.25">
      <c r="A329" s="44" t="s">
        <v>514</v>
      </c>
      <c r="B329" s="44" t="s">
        <v>515</v>
      </c>
      <c r="C329" s="45">
        <v>4301031255</v>
      </c>
      <c r="D329" s="95">
        <v>4680115883185</v>
      </c>
      <c r="E329" s="95"/>
      <c r="F329" s="46">
        <v>0.28000000000000003</v>
      </c>
      <c r="G329" s="47">
        <v>6</v>
      </c>
      <c r="H329" s="46">
        <v>1.68</v>
      </c>
      <c r="I329" s="46">
        <v>1.81</v>
      </c>
      <c r="J329" s="47">
        <v>234</v>
      </c>
      <c r="K329" s="48" t="s">
        <v>66</v>
      </c>
      <c r="L329" s="47">
        <v>45</v>
      </c>
      <c r="M329" s="96" t="s">
        <v>516</v>
      </c>
      <c r="N329" s="97"/>
      <c r="O329" s="97"/>
      <c r="P329" s="97"/>
      <c r="Q329" s="98"/>
      <c r="R329" s="49" t="s">
        <v>6</v>
      </c>
      <c r="S329" s="49" t="s">
        <v>6</v>
      </c>
      <c r="T329" s="50" t="s">
        <v>68</v>
      </c>
      <c r="U329" s="51">
        <v>0</v>
      </c>
      <c r="V329" s="52">
        <f t="shared" si="13"/>
        <v>0</v>
      </c>
      <c r="W329" s="53" t="str">
        <f>IFERROR(IF(V329=0,"",ROUNDUP(V329/H329,0)*0.00502),"")</f>
        <v/>
      </c>
      <c r="X329" s="54" t="s">
        <v>6</v>
      </c>
      <c r="Y329" s="55" t="s">
        <v>266</v>
      </c>
      <c r="AC329" s="56" t="s">
        <v>1</v>
      </c>
    </row>
    <row r="330" spans="1:29" ht="27" customHeight="1" x14ac:dyDescent="0.25">
      <c r="A330" s="44" t="s">
        <v>517</v>
      </c>
      <c r="B330" s="44" t="s">
        <v>518</v>
      </c>
      <c r="C330" s="45">
        <v>4301031177</v>
      </c>
      <c r="D330" s="95">
        <v>4607091389753</v>
      </c>
      <c r="E330" s="95"/>
      <c r="F330" s="46">
        <v>0.7</v>
      </c>
      <c r="G330" s="47">
        <v>6</v>
      </c>
      <c r="H330" s="46">
        <v>4.2</v>
      </c>
      <c r="I330" s="46">
        <v>4.43</v>
      </c>
      <c r="J330" s="47">
        <v>156</v>
      </c>
      <c r="K330" s="48" t="s">
        <v>66</v>
      </c>
      <c r="L330" s="47">
        <v>45</v>
      </c>
      <c r="M330" s="1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97"/>
      <c r="O330" s="97"/>
      <c r="P330" s="97"/>
      <c r="Q330" s="98"/>
      <c r="R330" s="49" t="s">
        <v>6</v>
      </c>
      <c r="S330" s="49" t="s">
        <v>6</v>
      </c>
      <c r="T330" s="50" t="s">
        <v>68</v>
      </c>
      <c r="U330" s="51">
        <v>84</v>
      </c>
      <c r="V330" s="52">
        <f t="shared" si="13"/>
        <v>84</v>
      </c>
      <c r="W330" s="53">
        <f>IFERROR(IF(V330=0,"",ROUNDUP(V330/H330,0)*0.00753),"")</f>
        <v>0.15060000000000001</v>
      </c>
      <c r="X330" s="54" t="s">
        <v>6</v>
      </c>
      <c r="Y330" s="55" t="s">
        <v>6</v>
      </c>
      <c r="AC330" s="56" t="s">
        <v>1</v>
      </c>
    </row>
    <row r="331" spans="1:29" ht="27" customHeight="1" x14ac:dyDescent="0.25">
      <c r="A331" s="44" t="s">
        <v>519</v>
      </c>
      <c r="B331" s="44" t="s">
        <v>520</v>
      </c>
      <c r="C331" s="45">
        <v>4301031174</v>
      </c>
      <c r="D331" s="95">
        <v>4607091389760</v>
      </c>
      <c r="E331" s="95"/>
      <c r="F331" s="46">
        <v>0.7</v>
      </c>
      <c r="G331" s="47">
        <v>6</v>
      </c>
      <c r="H331" s="46">
        <v>4.2</v>
      </c>
      <c r="I331" s="46">
        <v>4.43</v>
      </c>
      <c r="J331" s="47">
        <v>156</v>
      </c>
      <c r="K331" s="48" t="s">
        <v>66</v>
      </c>
      <c r="L331" s="47">
        <v>45</v>
      </c>
      <c r="M331" s="1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97"/>
      <c r="O331" s="97"/>
      <c r="P331" s="97"/>
      <c r="Q331" s="98"/>
      <c r="R331" s="49" t="s">
        <v>6</v>
      </c>
      <c r="S331" s="49" t="s">
        <v>6</v>
      </c>
      <c r="T331" s="50" t="s">
        <v>68</v>
      </c>
      <c r="U331" s="51">
        <v>0</v>
      </c>
      <c r="V331" s="52">
        <f t="shared" si="13"/>
        <v>0</v>
      </c>
      <c r="W331" s="53" t="str">
        <f>IFERROR(IF(V331=0,"",ROUNDUP(V331/H331,0)*0.00753),"")</f>
        <v/>
      </c>
      <c r="X331" s="54" t="s">
        <v>6</v>
      </c>
      <c r="Y331" s="55" t="s">
        <v>6</v>
      </c>
      <c r="AC331" s="56" t="s">
        <v>1</v>
      </c>
    </row>
    <row r="332" spans="1:29" ht="27" customHeight="1" x14ac:dyDescent="0.25">
      <c r="A332" s="44" t="s">
        <v>521</v>
      </c>
      <c r="B332" s="44" t="s">
        <v>522</v>
      </c>
      <c r="C332" s="45">
        <v>4301031175</v>
      </c>
      <c r="D332" s="95">
        <v>4607091389746</v>
      </c>
      <c r="E332" s="95"/>
      <c r="F332" s="46">
        <v>0.7</v>
      </c>
      <c r="G332" s="47">
        <v>6</v>
      </c>
      <c r="H332" s="46">
        <v>4.2</v>
      </c>
      <c r="I332" s="46">
        <v>4.43</v>
      </c>
      <c r="J332" s="47">
        <v>156</v>
      </c>
      <c r="K332" s="48" t="s">
        <v>66</v>
      </c>
      <c r="L332" s="47">
        <v>45</v>
      </c>
      <c r="M332" s="1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97"/>
      <c r="O332" s="97"/>
      <c r="P332" s="97"/>
      <c r="Q332" s="98"/>
      <c r="R332" s="49" t="s">
        <v>6</v>
      </c>
      <c r="S332" s="49" t="s">
        <v>6</v>
      </c>
      <c r="T332" s="50" t="s">
        <v>68</v>
      </c>
      <c r="U332" s="51">
        <v>21</v>
      </c>
      <c r="V332" s="52">
        <f t="shared" si="13"/>
        <v>21</v>
      </c>
      <c r="W332" s="53">
        <f>IFERROR(IF(V332=0,"",ROUNDUP(V332/H332,0)*0.00753),"")</f>
        <v>3.7650000000000003E-2</v>
      </c>
      <c r="X332" s="54" t="s">
        <v>6</v>
      </c>
      <c r="Y332" s="55" t="s">
        <v>6</v>
      </c>
      <c r="AC332" s="56" t="s">
        <v>1</v>
      </c>
    </row>
    <row r="333" spans="1:29" ht="27" customHeight="1" x14ac:dyDescent="0.25">
      <c r="A333" s="44" t="s">
        <v>523</v>
      </c>
      <c r="B333" s="44" t="s">
        <v>524</v>
      </c>
      <c r="C333" s="45">
        <v>4301031178</v>
      </c>
      <c r="D333" s="95">
        <v>4607091384338</v>
      </c>
      <c r="E333" s="95"/>
      <c r="F333" s="46">
        <v>0.35</v>
      </c>
      <c r="G333" s="47">
        <v>6</v>
      </c>
      <c r="H333" s="46">
        <v>2.1</v>
      </c>
      <c r="I333" s="46">
        <v>2.23</v>
      </c>
      <c r="J333" s="47">
        <v>234</v>
      </c>
      <c r="K333" s="48" t="s">
        <v>66</v>
      </c>
      <c r="L333" s="47">
        <v>45</v>
      </c>
      <c r="M333" s="1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97"/>
      <c r="O333" s="97"/>
      <c r="P333" s="97"/>
      <c r="Q333" s="98"/>
      <c r="R333" s="49" t="s">
        <v>6</v>
      </c>
      <c r="S333" s="49" t="s">
        <v>6</v>
      </c>
      <c r="T333" s="50" t="s">
        <v>68</v>
      </c>
      <c r="U333" s="51">
        <v>56</v>
      </c>
      <c r="V333" s="52">
        <f t="shared" si="13"/>
        <v>56.7</v>
      </c>
      <c r="W333" s="53">
        <f>IFERROR(IF(V333=0,"",ROUNDUP(V333/H333,0)*0.00502),"")</f>
        <v>0.13553999999999999</v>
      </c>
      <c r="X333" s="54" t="s">
        <v>6</v>
      </c>
      <c r="Y333" s="55" t="s">
        <v>6</v>
      </c>
      <c r="AC333" s="56" t="s">
        <v>1</v>
      </c>
    </row>
    <row r="334" spans="1:29" ht="37.5" customHeight="1" x14ac:dyDescent="0.25">
      <c r="A334" s="44" t="s">
        <v>525</v>
      </c>
      <c r="B334" s="44" t="s">
        <v>526</v>
      </c>
      <c r="C334" s="45">
        <v>4301031171</v>
      </c>
      <c r="D334" s="95">
        <v>4607091389524</v>
      </c>
      <c r="E334" s="95"/>
      <c r="F334" s="46">
        <v>0.35</v>
      </c>
      <c r="G334" s="47">
        <v>6</v>
      </c>
      <c r="H334" s="46">
        <v>2.1</v>
      </c>
      <c r="I334" s="46">
        <v>2.23</v>
      </c>
      <c r="J334" s="47">
        <v>234</v>
      </c>
      <c r="K334" s="48" t="s">
        <v>66</v>
      </c>
      <c r="L334" s="47">
        <v>45</v>
      </c>
      <c r="M334" s="1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97"/>
      <c r="O334" s="97"/>
      <c r="P334" s="97"/>
      <c r="Q334" s="98"/>
      <c r="R334" s="49" t="s">
        <v>6</v>
      </c>
      <c r="S334" s="49" t="s">
        <v>6</v>
      </c>
      <c r="T334" s="50" t="s">
        <v>68</v>
      </c>
      <c r="U334" s="51">
        <v>8</v>
      </c>
      <c r="V334" s="52">
        <f t="shared" si="13"/>
        <v>8.4</v>
      </c>
      <c r="W334" s="53">
        <f>IFERROR(IF(V334=0,"",ROUNDUP(V334/H334,0)*0.00502),"")</f>
        <v>2.0080000000000001E-2</v>
      </c>
      <c r="X334" s="54" t="s">
        <v>6</v>
      </c>
      <c r="Y334" s="55" t="s">
        <v>6</v>
      </c>
      <c r="AC334" s="56" t="s">
        <v>1</v>
      </c>
    </row>
    <row r="335" spans="1:29" ht="27" customHeight="1" x14ac:dyDescent="0.25">
      <c r="A335" s="44" t="s">
        <v>527</v>
      </c>
      <c r="B335" s="44" t="s">
        <v>528</v>
      </c>
      <c r="C335" s="45">
        <v>4301031170</v>
      </c>
      <c r="D335" s="95">
        <v>4607091384345</v>
      </c>
      <c r="E335" s="95"/>
      <c r="F335" s="46">
        <v>0.35</v>
      </c>
      <c r="G335" s="47">
        <v>6</v>
      </c>
      <c r="H335" s="46">
        <v>2.1</v>
      </c>
      <c r="I335" s="46">
        <v>2.23</v>
      </c>
      <c r="J335" s="47">
        <v>234</v>
      </c>
      <c r="K335" s="48" t="s">
        <v>66</v>
      </c>
      <c r="L335" s="47">
        <v>45</v>
      </c>
      <c r="M335" s="1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97"/>
      <c r="O335" s="97"/>
      <c r="P335" s="97"/>
      <c r="Q335" s="98"/>
      <c r="R335" s="49" t="s">
        <v>6</v>
      </c>
      <c r="S335" s="49" t="s">
        <v>6</v>
      </c>
      <c r="T335" s="50" t="s">
        <v>68</v>
      </c>
      <c r="U335" s="51">
        <v>0</v>
      </c>
      <c r="V335" s="52">
        <f t="shared" si="13"/>
        <v>0</v>
      </c>
      <c r="W335" s="53" t="str">
        <f>IFERROR(IF(V335=0,"",ROUNDUP(V335/H335,0)*0.00502),"")</f>
        <v/>
      </c>
      <c r="X335" s="54" t="s">
        <v>6</v>
      </c>
      <c r="Y335" s="55" t="s">
        <v>6</v>
      </c>
      <c r="AC335" s="56" t="s">
        <v>1</v>
      </c>
    </row>
    <row r="336" spans="1:29" ht="27" customHeight="1" x14ac:dyDescent="0.25">
      <c r="A336" s="44" t="s">
        <v>529</v>
      </c>
      <c r="B336" s="44" t="s">
        <v>530</v>
      </c>
      <c r="C336" s="45">
        <v>4301031172</v>
      </c>
      <c r="D336" s="95">
        <v>4607091389531</v>
      </c>
      <c r="E336" s="95"/>
      <c r="F336" s="46">
        <v>0.35</v>
      </c>
      <c r="G336" s="47">
        <v>6</v>
      </c>
      <c r="H336" s="46">
        <v>2.1</v>
      </c>
      <c r="I336" s="46">
        <v>2.23</v>
      </c>
      <c r="J336" s="47">
        <v>234</v>
      </c>
      <c r="K336" s="48" t="s">
        <v>66</v>
      </c>
      <c r="L336" s="47">
        <v>45</v>
      </c>
      <c r="M336" s="1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97"/>
      <c r="O336" s="97"/>
      <c r="P336" s="97"/>
      <c r="Q336" s="98"/>
      <c r="R336" s="49" t="s">
        <v>6</v>
      </c>
      <c r="S336" s="49" t="s">
        <v>6</v>
      </c>
      <c r="T336" s="50" t="s">
        <v>68</v>
      </c>
      <c r="U336" s="51">
        <v>21</v>
      </c>
      <c r="V336" s="52">
        <f t="shared" si="13"/>
        <v>21</v>
      </c>
      <c r="W336" s="53">
        <f>IFERROR(IF(V336=0,"",ROUNDUP(V336/H336,0)*0.00502),"")</f>
        <v>5.0200000000000002E-2</v>
      </c>
      <c r="X336" s="54" t="s">
        <v>6</v>
      </c>
      <c r="Y336" s="55" t="s">
        <v>6</v>
      </c>
      <c r="AC336" s="56" t="s">
        <v>1</v>
      </c>
    </row>
    <row r="337" spans="1:29" x14ac:dyDescent="0.25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6"/>
      <c r="M337" s="87" t="s">
        <v>69</v>
      </c>
      <c r="N337" s="88"/>
      <c r="O337" s="88"/>
      <c r="P337" s="88"/>
      <c r="Q337" s="88"/>
      <c r="R337" s="88"/>
      <c r="S337" s="89"/>
      <c r="T337" s="57" t="s">
        <v>70</v>
      </c>
      <c r="U337" s="58">
        <f>IFERROR(U324/H324,"0")+IFERROR(U325/H325,"0")+IFERROR(U326/H326,"0")+IFERROR(U327/H327,"0")+IFERROR(U328/H328,"0")+IFERROR(U329/H329,"0")+IFERROR(U330/H330,"0")+IFERROR(U331/H331,"0")+IFERROR(U332/H332,"0")+IFERROR(U333/H333,"0")+IFERROR(U334/H334,"0")+IFERROR(U335/H335,"0")+IFERROR(U336/H336,"0")</f>
        <v>65.476190476190482</v>
      </c>
      <c r="V337" s="58">
        <f>IFERROR(V324/H324,"0")+IFERROR(V325/H325,"0")+IFERROR(V326/H326,"0")+IFERROR(V327/H327,"0")+IFERROR(V328/H328,"0")+IFERROR(V329/H329,"0")+IFERROR(V330/H330,"0")+IFERROR(V331/H331,"0")+IFERROR(V332/H332,"0")+IFERROR(V333/H333,"0")+IFERROR(V334/H334,"0")+IFERROR(V335/H335,"0")+IFERROR(V336/H336,"0")</f>
        <v>66</v>
      </c>
      <c r="W337" s="58">
        <f>IFERROR(IF(W324="",0,W324),"0")+IFERROR(IF(W325="",0,W325),"0")+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0.39407000000000003</v>
      </c>
      <c r="X337" s="59"/>
      <c r="Y337" s="59"/>
    </row>
    <row r="338" spans="1:29" x14ac:dyDescent="0.25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6"/>
      <c r="M338" s="87" t="s">
        <v>69</v>
      </c>
      <c r="N338" s="88"/>
      <c r="O338" s="88"/>
      <c r="P338" s="88"/>
      <c r="Q338" s="88"/>
      <c r="R338" s="88"/>
      <c r="S338" s="89"/>
      <c r="T338" s="57" t="s">
        <v>68</v>
      </c>
      <c r="U338" s="58">
        <f>IFERROR(SUM(U324:U336),"0")</f>
        <v>190</v>
      </c>
      <c r="V338" s="58">
        <f>IFERROR(SUM(V324:V336),"0")</f>
        <v>191.1</v>
      </c>
      <c r="W338" s="57"/>
      <c r="X338" s="59"/>
      <c r="Y338" s="59"/>
    </row>
    <row r="339" spans="1:29" ht="14.25" customHeight="1" x14ac:dyDescent="0.25">
      <c r="A339" s="94" t="s">
        <v>71</v>
      </c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43"/>
      <c r="Y339" s="43"/>
    </row>
    <row r="340" spans="1:29" ht="27" customHeight="1" x14ac:dyDescent="0.25">
      <c r="A340" s="44" t="s">
        <v>531</v>
      </c>
      <c r="B340" s="44" t="s">
        <v>532</v>
      </c>
      <c r="C340" s="45">
        <v>4301051258</v>
      </c>
      <c r="D340" s="95">
        <v>4607091389685</v>
      </c>
      <c r="E340" s="95"/>
      <c r="F340" s="46">
        <v>1.3</v>
      </c>
      <c r="G340" s="47">
        <v>6</v>
      </c>
      <c r="H340" s="46">
        <v>7.8</v>
      </c>
      <c r="I340" s="46">
        <v>8.3460000000000001</v>
      </c>
      <c r="J340" s="47">
        <v>56</v>
      </c>
      <c r="K340" s="48" t="s">
        <v>131</v>
      </c>
      <c r="L340" s="47">
        <v>45</v>
      </c>
      <c r="M340" s="1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97"/>
      <c r="O340" s="97"/>
      <c r="P340" s="97"/>
      <c r="Q340" s="98"/>
      <c r="R340" s="49" t="s">
        <v>6</v>
      </c>
      <c r="S340" s="49" t="s">
        <v>6</v>
      </c>
      <c r="T340" s="50" t="s">
        <v>68</v>
      </c>
      <c r="U340" s="51">
        <v>0</v>
      </c>
      <c r="V340" s="52">
        <f>IFERROR(IF(U340="",0,CEILING((U340/$H340),1)*$H340),"")</f>
        <v>0</v>
      </c>
      <c r="W340" s="53" t="str">
        <f>IFERROR(IF(V340=0,"",ROUNDUP(V340/H340,0)*0.02175),"")</f>
        <v/>
      </c>
      <c r="X340" s="54" t="s">
        <v>6</v>
      </c>
      <c r="Y340" s="55" t="s">
        <v>6</v>
      </c>
      <c r="AC340" s="56" t="s">
        <v>1</v>
      </c>
    </row>
    <row r="341" spans="1:29" ht="27" customHeight="1" x14ac:dyDescent="0.25">
      <c r="A341" s="44" t="s">
        <v>533</v>
      </c>
      <c r="B341" s="44" t="s">
        <v>534</v>
      </c>
      <c r="C341" s="45">
        <v>4301051431</v>
      </c>
      <c r="D341" s="95">
        <v>4607091389654</v>
      </c>
      <c r="E341" s="95"/>
      <c r="F341" s="46">
        <v>0.33</v>
      </c>
      <c r="G341" s="47">
        <v>6</v>
      </c>
      <c r="H341" s="46">
        <v>1.98</v>
      </c>
      <c r="I341" s="46">
        <v>2.258</v>
      </c>
      <c r="J341" s="47">
        <v>156</v>
      </c>
      <c r="K341" s="48" t="s">
        <v>131</v>
      </c>
      <c r="L341" s="47">
        <v>45</v>
      </c>
      <c r="M341" s="96" t="s">
        <v>535</v>
      </c>
      <c r="N341" s="97"/>
      <c r="O341" s="97"/>
      <c r="P341" s="97"/>
      <c r="Q341" s="98"/>
      <c r="R341" s="49" t="s">
        <v>6</v>
      </c>
      <c r="S341" s="49" t="s">
        <v>6</v>
      </c>
      <c r="T341" s="50" t="s">
        <v>68</v>
      </c>
      <c r="U341" s="51">
        <v>0</v>
      </c>
      <c r="V341" s="52">
        <f>IFERROR(IF(U341="",0,CEILING((U341/$H341),1)*$H341),"")</f>
        <v>0</v>
      </c>
      <c r="W341" s="53" t="str">
        <f>IFERROR(IF(V341=0,"",ROUNDUP(V341/H341,0)*0.00753),"")</f>
        <v/>
      </c>
      <c r="X341" s="54" t="s">
        <v>6</v>
      </c>
      <c r="Y341" s="55" t="s">
        <v>6</v>
      </c>
      <c r="AC341" s="56" t="s">
        <v>1</v>
      </c>
    </row>
    <row r="342" spans="1:29" ht="27" customHeight="1" x14ac:dyDescent="0.25">
      <c r="A342" s="44" t="s">
        <v>536</v>
      </c>
      <c r="B342" s="44" t="s">
        <v>537</v>
      </c>
      <c r="C342" s="45">
        <v>4301051284</v>
      </c>
      <c r="D342" s="95">
        <v>4607091384352</v>
      </c>
      <c r="E342" s="95"/>
      <c r="F342" s="46">
        <v>0.6</v>
      </c>
      <c r="G342" s="47">
        <v>4</v>
      </c>
      <c r="H342" s="46">
        <v>2.4</v>
      </c>
      <c r="I342" s="46">
        <v>2.6459999999999999</v>
      </c>
      <c r="J342" s="47">
        <v>120</v>
      </c>
      <c r="K342" s="48" t="s">
        <v>131</v>
      </c>
      <c r="L342" s="47">
        <v>45</v>
      </c>
      <c r="M342" s="1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97"/>
      <c r="O342" s="97"/>
      <c r="P342" s="97"/>
      <c r="Q342" s="98"/>
      <c r="R342" s="49" t="s">
        <v>6</v>
      </c>
      <c r="S342" s="49" t="s">
        <v>6</v>
      </c>
      <c r="T342" s="50" t="s">
        <v>68</v>
      </c>
      <c r="U342" s="51">
        <v>0</v>
      </c>
      <c r="V342" s="52">
        <f>IFERROR(IF(U342="",0,CEILING((U342/$H342),1)*$H342),"")</f>
        <v>0</v>
      </c>
      <c r="W342" s="53" t="str">
        <f>IFERROR(IF(V342=0,"",ROUNDUP(V342/H342,0)*0.00937),"")</f>
        <v/>
      </c>
      <c r="X342" s="54" t="s">
        <v>6</v>
      </c>
      <c r="Y342" s="55" t="s">
        <v>6</v>
      </c>
      <c r="AC342" s="56" t="s">
        <v>1</v>
      </c>
    </row>
    <row r="343" spans="1:29" ht="27" customHeight="1" x14ac:dyDescent="0.25">
      <c r="A343" s="44" t="s">
        <v>538</v>
      </c>
      <c r="B343" s="44" t="s">
        <v>539</v>
      </c>
      <c r="C343" s="45">
        <v>4301051257</v>
      </c>
      <c r="D343" s="95">
        <v>4607091389661</v>
      </c>
      <c r="E343" s="95"/>
      <c r="F343" s="46">
        <v>0.55000000000000004</v>
      </c>
      <c r="G343" s="47">
        <v>4</v>
      </c>
      <c r="H343" s="46">
        <v>2.2000000000000002</v>
      </c>
      <c r="I343" s="46">
        <v>2.492</v>
      </c>
      <c r="J343" s="47">
        <v>120</v>
      </c>
      <c r="K343" s="48" t="s">
        <v>131</v>
      </c>
      <c r="L343" s="47">
        <v>45</v>
      </c>
      <c r="M343" s="1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97"/>
      <c r="O343" s="97"/>
      <c r="P343" s="97"/>
      <c r="Q343" s="98"/>
      <c r="R343" s="49" t="s">
        <v>6</v>
      </c>
      <c r="S343" s="49" t="s">
        <v>6</v>
      </c>
      <c r="T343" s="50" t="s">
        <v>68</v>
      </c>
      <c r="U343" s="51">
        <v>0</v>
      </c>
      <c r="V343" s="52">
        <f>IFERROR(IF(U343="",0,CEILING((U343/$H343),1)*$H343),"")</f>
        <v>0</v>
      </c>
      <c r="W343" s="53" t="str">
        <f>IFERROR(IF(V343=0,"",ROUNDUP(V343/H343,0)*0.00937),"")</f>
        <v/>
      </c>
      <c r="X343" s="54" t="s">
        <v>6</v>
      </c>
      <c r="Y343" s="55" t="s">
        <v>6</v>
      </c>
      <c r="AC343" s="56" t="s">
        <v>1</v>
      </c>
    </row>
    <row r="344" spans="1:29" x14ac:dyDescent="0.25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6"/>
      <c r="M344" s="87" t="s">
        <v>69</v>
      </c>
      <c r="N344" s="88"/>
      <c r="O344" s="88"/>
      <c r="P344" s="88"/>
      <c r="Q344" s="88"/>
      <c r="R344" s="88"/>
      <c r="S344" s="89"/>
      <c r="T344" s="57" t="s">
        <v>70</v>
      </c>
      <c r="U344" s="58">
        <f>IFERROR(U340/H340,"0")+IFERROR(U341/H341,"0")+IFERROR(U342/H342,"0")+IFERROR(U343/H343,"0")</f>
        <v>0</v>
      </c>
      <c r="V344" s="58">
        <f>IFERROR(V340/H340,"0")+IFERROR(V341/H341,"0")+IFERROR(V342/H342,"0")+IFERROR(V343/H343,"0")</f>
        <v>0</v>
      </c>
      <c r="W344" s="58">
        <f>IFERROR(IF(W340="",0,W340),"0")+IFERROR(IF(W341="",0,W341),"0")+IFERROR(IF(W342="",0,W342),"0")+IFERROR(IF(W343="",0,W343),"0")</f>
        <v>0</v>
      </c>
      <c r="X344" s="59"/>
      <c r="Y344" s="59"/>
    </row>
    <row r="345" spans="1:29" x14ac:dyDescent="0.2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6"/>
      <c r="M345" s="87" t="s">
        <v>69</v>
      </c>
      <c r="N345" s="88"/>
      <c r="O345" s="88"/>
      <c r="P345" s="88"/>
      <c r="Q345" s="88"/>
      <c r="R345" s="88"/>
      <c r="S345" s="89"/>
      <c r="T345" s="57" t="s">
        <v>68</v>
      </c>
      <c r="U345" s="58">
        <f>IFERROR(SUM(U340:U343),"0")</f>
        <v>0</v>
      </c>
      <c r="V345" s="58">
        <f>IFERROR(SUM(V340:V343),"0")</f>
        <v>0</v>
      </c>
      <c r="W345" s="57"/>
      <c r="X345" s="59"/>
      <c r="Y345" s="59"/>
    </row>
    <row r="346" spans="1:29" ht="14.25" customHeight="1" x14ac:dyDescent="0.25">
      <c r="A346" s="94" t="s">
        <v>199</v>
      </c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43"/>
      <c r="Y346" s="43"/>
    </row>
    <row r="347" spans="1:29" ht="27" customHeight="1" x14ac:dyDescent="0.25">
      <c r="A347" s="44" t="s">
        <v>540</v>
      </c>
      <c r="B347" s="44" t="s">
        <v>541</v>
      </c>
      <c r="C347" s="45">
        <v>4301060352</v>
      </c>
      <c r="D347" s="95">
        <v>4680115881648</v>
      </c>
      <c r="E347" s="95"/>
      <c r="F347" s="46">
        <v>1</v>
      </c>
      <c r="G347" s="47">
        <v>4</v>
      </c>
      <c r="H347" s="46">
        <v>4</v>
      </c>
      <c r="I347" s="46">
        <v>4.4039999999999999</v>
      </c>
      <c r="J347" s="47">
        <v>104</v>
      </c>
      <c r="K347" s="48" t="s">
        <v>66</v>
      </c>
      <c r="L347" s="47">
        <v>35</v>
      </c>
      <c r="M347" s="96" t="s">
        <v>542</v>
      </c>
      <c r="N347" s="97"/>
      <c r="O347" s="97"/>
      <c r="P347" s="97"/>
      <c r="Q347" s="98"/>
      <c r="R347" s="49" t="s">
        <v>6</v>
      </c>
      <c r="S347" s="49" t="s">
        <v>6</v>
      </c>
      <c r="T347" s="50" t="s">
        <v>68</v>
      </c>
      <c r="U347" s="51">
        <v>0</v>
      </c>
      <c r="V347" s="52">
        <f>IFERROR(IF(U347="",0,CEILING((U347/$H347),1)*$H347),"")</f>
        <v>0</v>
      </c>
      <c r="W347" s="53" t="str">
        <f>IFERROR(IF(V347=0,"",ROUNDUP(V347/H347,0)*0.01196),"")</f>
        <v/>
      </c>
      <c r="X347" s="54" t="s">
        <v>6</v>
      </c>
      <c r="Y347" s="55" t="s">
        <v>6</v>
      </c>
      <c r="AC347" s="56" t="s">
        <v>1</v>
      </c>
    </row>
    <row r="348" spans="1:29" x14ac:dyDescent="0.25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6"/>
      <c r="M348" s="87" t="s">
        <v>69</v>
      </c>
      <c r="N348" s="88"/>
      <c r="O348" s="88"/>
      <c r="P348" s="88"/>
      <c r="Q348" s="88"/>
      <c r="R348" s="88"/>
      <c r="S348" s="89"/>
      <c r="T348" s="57" t="s">
        <v>70</v>
      </c>
      <c r="U348" s="58">
        <f>IFERROR(U347/H347,"0")</f>
        <v>0</v>
      </c>
      <c r="V348" s="58">
        <f>IFERROR(V347/H347,"0")</f>
        <v>0</v>
      </c>
      <c r="W348" s="58">
        <f>IFERROR(IF(W347="",0,W347),"0")</f>
        <v>0</v>
      </c>
      <c r="X348" s="59"/>
      <c r="Y348" s="59"/>
    </row>
    <row r="349" spans="1:29" x14ac:dyDescent="0.25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6"/>
      <c r="M349" s="87" t="s">
        <v>69</v>
      </c>
      <c r="N349" s="88"/>
      <c r="O349" s="88"/>
      <c r="P349" s="88"/>
      <c r="Q349" s="88"/>
      <c r="R349" s="88"/>
      <c r="S349" s="89"/>
      <c r="T349" s="57" t="s">
        <v>68</v>
      </c>
      <c r="U349" s="58">
        <f>IFERROR(SUM(U347:U347),"0")</f>
        <v>0</v>
      </c>
      <c r="V349" s="58">
        <f>IFERROR(SUM(V347:V347),"0")</f>
        <v>0</v>
      </c>
      <c r="W349" s="57"/>
      <c r="X349" s="59"/>
      <c r="Y349" s="59"/>
    </row>
    <row r="350" spans="1:29" ht="14.25" customHeight="1" x14ac:dyDescent="0.25">
      <c r="A350" s="94" t="s">
        <v>85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43"/>
      <c r="Y350" s="43"/>
    </row>
    <row r="351" spans="1:29" ht="27" customHeight="1" x14ac:dyDescent="0.25">
      <c r="A351" s="44" t="s">
        <v>543</v>
      </c>
      <c r="B351" s="44" t="s">
        <v>544</v>
      </c>
      <c r="C351" s="45">
        <v>4301032042</v>
      </c>
      <c r="D351" s="95">
        <v>4680115883017</v>
      </c>
      <c r="E351" s="95"/>
      <c r="F351" s="46">
        <v>0.03</v>
      </c>
      <c r="G351" s="47">
        <v>20</v>
      </c>
      <c r="H351" s="46">
        <v>0.6</v>
      </c>
      <c r="I351" s="46">
        <v>0.63</v>
      </c>
      <c r="J351" s="47">
        <v>350</v>
      </c>
      <c r="K351" s="48" t="s">
        <v>545</v>
      </c>
      <c r="L351" s="47">
        <v>60</v>
      </c>
      <c r="M351" s="96" t="s">
        <v>546</v>
      </c>
      <c r="N351" s="97"/>
      <c r="O351" s="97"/>
      <c r="P351" s="97"/>
      <c r="Q351" s="98"/>
      <c r="R351" s="49" t="s">
        <v>6</v>
      </c>
      <c r="S351" s="49" t="s">
        <v>6</v>
      </c>
      <c r="T351" s="50" t="s">
        <v>68</v>
      </c>
      <c r="U351" s="51">
        <v>0</v>
      </c>
      <c r="V351" s="52">
        <f>IFERROR(IF(U351="",0,CEILING((U351/$H351),1)*$H351),"")</f>
        <v>0</v>
      </c>
      <c r="W351" s="53" t="str">
        <f>IFERROR(IF(V351=0,"",ROUNDUP(V351/H351,0)*0.00349),"")</f>
        <v/>
      </c>
      <c r="X351" s="54" t="s">
        <v>6</v>
      </c>
      <c r="Y351" s="55" t="s">
        <v>266</v>
      </c>
      <c r="AC351" s="56" t="s">
        <v>1</v>
      </c>
    </row>
    <row r="352" spans="1:29" ht="27" customHeight="1" x14ac:dyDescent="0.25">
      <c r="A352" s="44" t="s">
        <v>547</v>
      </c>
      <c r="B352" s="44" t="s">
        <v>548</v>
      </c>
      <c r="C352" s="45">
        <v>4301032043</v>
      </c>
      <c r="D352" s="95">
        <v>4680115883031</v>
      </c>
      <c r="E352" s="95"/>
      <c r="F352" s="46">
        <v>0.03</v>
      </c>
      <c r="G352" s="47">
        <v>20</v>
      </c>
      <c r="H352" s="46">
        <v>0.6</v>
      </c>
      <c r="I352" s="46">
        <v>0.63</v>
      </c>
      <c r="J352" s="47">
        <v>350</v>
      </c>
      <c r="K352" s="48" t="s">
        <v>545</v>
      </c>
      <c r="L352" s="47">
        <v>60</v>
      </c>
      <c r="M352" s="96" t="s">
        <v>549</v>
      </c>
      <c r="N352" s="97"/>
      <c r="O352" s="97"/>
      <c r="P352" s="97"/>
      <c r="Q352" s="98"/>
      <c r="R352" s="49" t="s">
        <v>6</v>
      </c>
      <c r="S352" s="49" t="s">
        <v>6</v>
      </c>
      <c r="T352" s="50" t="s">
        <v>68</v>
      </c>
      <c r="U352" s="51">
        <v>0</v>
      </c>
      <c r="V352" s="52">
        <f>IFERROR(IF(U352="",0,CEILING((U352/$H352),1)*$H352),"")</f>
        <v>0</v>
      </c>
      <c r="W352" s="53" t="str">
        <f>IFERROR(IF(V352=0,"",ROUNDUP(V352/H352,0)*0.00349),"")</f>
        <v/>
      </c>
      <c r="X352" s="54" t="s">
        <v>6</v>
      </c>
      <c r="Y352" s="55" t="s">
        <v>266</v>
      </c>
      <c r="AC352" s="56" t="s">
        <v>1</v>
      </c>
    </row>
    <row r="353" spans="1:29" ht="27" customHeight="1" x14ac:dyDescent="0.25">
      <c r="A353" s="44" t="s">
        <v>550</v>
      </c>
      <c r="B353" s="44" t="s">
        <v>551</v>
      </c>
      <c r="C353" s="45">
        <v>4301032041</v>
      </c>
      <c r="D353" s="95">
        <v>4680115883024</v>
      </c>
      <c r="E353" s="95"/>
      <c r="F353" s="46">
        <v>0.03</v>
      </c>
      <c r="G353" s="47">
        <v>20</v>
      </c>
      <c r="H353" s="46">
        <v>0.6</v>
      </c>
      <c r="I353" s="46">
        <v>0.63</v>
      </c>
      <c r="J353" s="47">
        <v>350</v>
      </c>
      <c r="K353" s="48" t="s">
        <v>545</v>
      </c>
      <c r="L353" s="47">
        <v>60</v>
      </c>
      <c r="M353" s="96" t="s">
        <v>552</v>
      </c>
      <c r="N353" s="97"/>
      <c r="O353" s="97"/>
      <c r="P353" s="97"/>
      <c r="Q353" s="98"/>
      <c r="R353" s="49" t="s">
        <v>6</v>
      </c>
      <c r="S353" s="49" t="s">
        <v>6</v>
      </c>
      <c r="T353" s="50" t="s">
        <v>68</v>
      </c>
      <c r="U353" s="51">
        <v>0</v>
      </c>
      <c r="V353" s="52">
        <f>IFERROR(IF(U353="",0,CEILING((U353/$H353),1)*$H353),"")</f>
        <v>0</v>
      </c>
      <c r="W353" s="53" t="str">
        <f>IFERROR(IF(V353=0,"",ROUNDUP(V353/H353,0)*0.00349),"")</f>
        <v/>
      </c>
      <c r="X353" s="54" t="s">
        <v>6</v>
      </c>
      <c r="Y353" s="55" t="s">
        <v>266</v>
      </c>
      <c r="AC353" s="56" t="s">
        <v>1</v>
      </c>
    </row>
    <row r="354" spans="1:29" x14ac:dyDescent="0.25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6"/>
      <c r="M354" s="87" t="s">
        <v>69</v>
      </c>
      <c r="N354" s="88"/>
      <c r="O354" s="88"/>
      <c r="P354" s="88"/>
      <c r="Q354" s="88"/>
      <c r="R354" s="88"/>
      <c r="S354" s="89"/>
      <c r="T354" s="57" t="s">
        <v>70</v>
      </c>
      <c r="U354" s="58">
        <f>IFERROR(U351/H351,"0")+IFERROR(U352/H352,"0")+IFERROR(U353/H353,"0")</f>
        <v>0</v>
      </c>
      <c r="V354" s="58">
        <f>IFERROR(V351/H351,"0")+IFERROR(V352/H352,"0")+IFERROR(V353/H353,"0")</f>
        <v>0</v>
      </c>
      <c r="W354" s="58">
        <f>IFERROR(IF(W351="",0,W351),"0")+IFERROR(IF(W352="",0,W352),"0")+IFERROR(IF(W353="",0,W353),"0")</f>
        <v>0</v>
      </c>
      <c r="X354" s="59"/>
      <c r="Y354" s="59"/>
    </row>
    <row r="355" spans="1:29" x14ac:dyDescent="0.2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6"/>
      <c r="M355" s="87" t="s">
        <v>69</v>
      </c>
      <c r="N355" s="88"/>
      <c r="O355" s="88"/>
      <c r="P355" s="88"/>
      <c r="Q355" s="88"/>
      <c r="R355" s="88"/>
      <c r="S355" s="89"/>
      <c r="T355" s="57" t="s">
        <v>68</v>
      </c>
      <c r="U355" s="58">
        <f>IFERROR(SUM(U351:U353),"0")</f>
        <v>0</v>
      </c>
      <c r="V355" s="58">
        <f>IFERROR(SUM(V351:V353),"0")</f>
        <v>0</v>
      </c>
      <c r="W355" s="57"/>
      <c r="X355" s="59"/>
      <c r="Y355" s="59"/>
    </row>
    <row r="356" spans="1:29" ht="14.25" customHeight="1" x14ac:dyDescent="0.25">
      <c r="A356" s="94" t="s">
        <v>97</v>
      </c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43"/>
      <c r="Y356" s="43"/>
    </row>
    <row r="357" spans="1:29" ht="27" customHeight="1" x14ac:dyDescent="0.25">
      <c r="A357" s="44" t="s">
        <v>553</v>
      </c>
      <c r="B357" s="44" t="s">
        <v>554</v>
      </c>
      <c r="C357" s="45">
        <v>4301170009</v>
      </c>
      <c r="D357" s="95">
        <v>4680115882997</v>
      </c>
      <c r="E357" s="95"/>
      <c r="F357" s="46">
        <v>0.13</v>
      </c>
      <c r="G357" s="47">
        <v>10</v>
      </c>
      <c r="H357" s="46">
        <v>1.3</v>
      </c>
      <c r="I357" s="46">
        <v>1.43</v>
      </c>
      <c r="J357" s="47">
        <v>320</v>
      </c>
      <c r="K357" s="48" t="s">
        <v>545</v>
      </c>
      <c r="L357" s="47">
        <v>150</v>
      </c>
      <c r="M357" s="96" t="s">
        <v>555</v>
      </c>
      <c r="N357" s="97"/>
      <c r="O357" s="97"/>
      <c r="P357" s="97"/>
      <c r="Q357" s="98"/>
      <c r="R357" s="49" t="s">
        <v>6</v>
      </c>
      <c r="S357" s="49" t="s">
        <v>6</v>
      </c>
      <c r="T357" s="50" t="s">
        <v>68</v>
      </c>
      <c r="U357" s="51">
        <v>0</v>
      </c>
      <c r="V357" s="52">
        <f>IFERROR(IF(U357="",0,CEILING((U357/$H357),1)*$H357),"")</f>
        <v>0</v>
      </c>
      <c r="W357" s="53" t="str">
        <f>IFERROR(IF(V357=0,"",ROUNDUP(V357/H357,0)*0.00266),"")</f>
        <v/>
      </c>
      <c r="X357" s="54" t="s">
        <v>6</v>
      </c>
      <c r="Y357" s="55" t="s">
        <v>266</v>
      </c>
      <c r="AC357" s="56" t="s">
        <v>1</v>
      </c>
    </row>
    <row r="358" spans="1:29" x14ac:dyDescent="0.25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6"/>
      <c r="M358" s="87" t="s">
        <v>69</v>
      </c>
      <c r="N358" s="88"/>
      <c r="O358" s="88"/>
      <c r="P358" s="88"/>
      <c r="Q358" s="88"/>
      <c r="R358" s="88"/>
      <c r="S358" s="89"/>
      <c r="T358" s="57" t="s">
        <v>70</v>
      </c>
      <c r="U358" s="58">
        <f>IFERROR(U357/H357,"0")</f>
        <v>0</v>
      </c>
      <c r="V358" s="58">
        <f>IFERROR(V357/H357,"0")</f>
        <v>0</v>
      </c>
      <c r="W358" s="58">
        <f>IFERROR(IF(W357="",0,W357),"0")</f>
        <v>0</v>
      </c>
      <c r="X358" s="59"/>
      <c r="Y358" s="59"/>
    </row>
    <row r="359" spans="1:29" x14ac:dyDescent="0.25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6"/>
      <c r="M359" s="87" t="s">
        <v>69</v>
      </c>
      <c r="N359" s="88"/>
      <c r="O359" s="88"/>
      <c r="P359" s="88"/>
      <c r="Q359" s="88"/>
      <c r="R359" s="88"/>
      <c r="S359" s="89"/>
      <c r="T359" s="57" t="s">
        <v>68</v>
      </c>
      <c r="U359" s="58">
        <f>IFERROR(SUM(U357:U357),"0")</f>
        <v>0</v>
      </c>
      <c r="V359" s="58">
        <f>IFERROR(SUM(V357:V357),"0")</f>
        <v>0</v>
      </c>
      <c r="W359" s="57"/>
      <c r="X359" s="59"/>
      <c r="Y359" s="59"/>
    </row>
    <row r="360" spans="1:29" ht="16.5" customHeight="1" x14ac:dyDescent="0.25">
      <c r="A360" s="99" t="s">
        <v>556</v>
      </c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42"/>
      <c r="Y360" s="42"/>
    </row>
    <row r="361" spans="1:29" ht="14.25" customHeight="1" x14ac:dyDescent="0.25">
      <c r="A361" s="94" t="s">
        <v>102</v>
      </c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43"/>
      <c r="Y361" s="43"/>
    </row>
    <row r="362" spans="1:29" ht="27" customHeight="1" x14ac:dyDescent="0.25">
      <c r="A362" s="44" t="s">
        <v>557</v>
      </c>
      <c r="B362" s="44" t="s">
        <v>558</v>
      </c>
      <c r="C362" s="45">
        <v>4301020196</v>
      </c>
      <c r="D362" s="95">
        <v>4607091389388</v>
      </c>
      <c r="E362" s="95"/>
      <c r="F362" s="46">
        <v>1.3</v>
      </c>
      <c r="G362" s="47">
        <v>4</v>
      </c>
      <c r="H362" s="46">
        <v>5.2</v>
      </c>
      <c r="I362" s="46">
        <v>5.6079999999999997</v>
      </c>
      <c r="J362" s="47">
        <v>104</v>
      </c>
      <c r="K362" s="48" t="s">
        <v>131</v>
      </c>
      <c r="L362" s="47">
        <v>35</v>
      </c>
      <c r="M362" s="1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2" s="97"/>
      <c r="O362" s="97"/>
      <c r="P362" s="97"/>
      <c r="Q362" s="98"/>
      <c r="R362" s="49" t="s">
        <v>6</v>
      </c>
      <c r="S362" s="49" t="s">
        <v>6</v>
      </c>
      <c r="T362" s="50" t="s">
        <v>68</v>
      </c>
      <c r="U362" s="51">
        <v>0</v>
      </c>
      <c r="V362" s="52">
        <f>IFERROR(IF(U362="",0,CEILING((U362/$H362),1)*$H362),"")</f>
        <v>0</v>
      </c>
      <c r="W362" s="53" t="str">
        <f>IFERROR(IF(V362=0,"",ROUNDUP(V362/H362,0)*0.01196),"")</f>
        <v/>
      </c>
      <c r="X362" s="54" t="s">
        <v>6</v>
      </c>
      <c r="Y362" s="55" t="s">
        <v>6</v>
      </c>
      <c r="AC362" s="56" t="s">
        <v>1</v>
      </c>
    </row>
    <row r="363" spans="1:29" ht="27" customHeight="1" x14ac:dyDescent="0.25">
      <c r="A363" s="44" t="s">
        <v>559</v>
      </c>
      <c r="B363" s="44" t="s">
        <v>560</v>
      </c>
      <c r="C363" s="45">
        <v>4301020185</v>
      </c>
      <c r="D363" s="95">
        <v>4607091389364</v>
      </c>
      <c r="E363" s="95"/>
      <c r="F363" s="46">
        <v>0.42</v>
      </c>
      <c r="G363" s="47">
        <v>6</v>
      </c>
      <c r="H363" s="46">
        <v>2.52</v>
      </c>
      <c r="I363" s="46">
        <v>2.75</v>
      </c>
      <c r="J363" s="47">
        <v>156</v>
      </c>
      <c r="K363" s="48" t="s">
        <v>131</v>
      </c>
      <c r="L363" s="47">
        <v>35</v>
      </c>
      <c r="M363" s="1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3" s="97"/>
      <c r="O363" s="97"/>
      <c r="P363" s="97"/>
      <c r="Q363" s="98"/>
      <c r="R363" s="49" t="s">
        <v>6</v>
      </c>
      <c r="S363" s="49" t="s">
        <v>6</v>
      </c>
      <c r="T363" s="50" t="s">
        <v>68</v>
      </c>
      <c r="U363" s="51">
        <v>0</v>
      </c>
      <c r="V363" s="52">
        <f>IFERROR(IF(U363="",0,CEILING((U363/$H363),1)*$H363),"")</f>
        <v>0</v>
      </c>
      <c r="W363" s="53" t="str">
        <f>IFERROR(IF(V363=0,"",ROUNDUP(V363/H363,0)*0.00753),"")</f>
        <v/>
      </c>
      <c r="X363" s="54" t="s">
        <v>6</v>
      </c>
      <c r="Y363" s="55" t="s">
        <v>6</v>
      </c>
      <c r="AC363" s="56" t="s">
        <v>1</v>
      </c>
    </row>
    <row r="364" spans="1:29" x14ac:dyDescent="0.25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6"/>
      <c r="M364" s="87" t="s">
        <v>69</v>
      </c>
      <c r="N364" s="88"/>
      <c r="O364" s="88"/>
      <c r="P364" s="88"/>
      <c r="Q364" s="88"/>
      <c r="R364" s="88"/>
      <c r="S364" s="89"/>
      <c r="T364" s="57" t="s">
        <v>70</v>
      </c>
      <c r="U364" s="58">
        <f>IFERROR(U362/H362,"0")+IFERROR(U363/H363,"0")</f>
        <v>0</v>
      </c>
      <c r="V364" s="58">
        <f>IFERROR(V362/H362,"0")+IFERROR(V363/H363,"0")</f>
        <v>0</v>
      </c>
      <c r="W364" s="58">
        <f>IFERROR(IF(W362="",0,W362),"0")+IFERROR(IF(W363="",0,W363),"0")</f>
        <v>0</v>
      </c>
      <c r="X364" s="59"/>
      <c r="Y364" s="59"/>
    </row>
    <row r="365" spans="1:29" x14ac:dyDescent="0.2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6"/>
      <c r="M365" s="87" t="s">
        <v>69</v>
      </c>
      <c r="N365" s="88"/>
      <c r="O365" s="88"/>
      <c r="P365" s="88"/>
      <c r="Q365" s="88"/>
      <c r="R365" s="88"/>
      <c r="S365" s="89"/>
      <c r="T365" s="57" t="s">
        <v>68</v>
      </c>
      <c r="U365" s="58">
        <f>IFERROR(SUM(U362:U363),"0")</f>
        <v>0</v>
      </c>
      <c r="V365" s="58">
        <f>IFERROR(SUM(V362:V363),"0")</f>
        <v>0</v>
      </c>
      <c r="W365" s="57"/>
      <c r="X365" s="59"/>
      <c r="Y365" s="59"/>
    </row>
    <row r="366" spans="1:29" ht="14.25" customHeight="1" x14ac:dyDescent="0.25">
      <c r="A366" s="94" t="s">
        <v>63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43"/>
      <c r="Y366" s="43"/>
    </row>
    <row r="367" spans="1:29" ht="27" customHeight="1" x14ac:dyDescent="0.25">
      <c r="A367" s="44" t="s">
        <v>561</v>
      </c>
      <c r="B367" s="44" t="s">
        <v>562</v>
      </c>
      <c r="C367" s="45">
        <v>4301031179</v>
      </c>
      <c r="D367" s="95">
        <v>4607091389739</v>
      </c>
      <c r="E367" s="95"/>
      <c r="F367" s="46">
        <v>0.7</v>
      </c>
      <c r="G367" s="47">
        <v>6</v>
      </c>
      <c r="H367" s="46">
        <v>4.2</v>
      </c>
      <c r="I367" s="46">
        <v>4.43</v>
      </c>
      <c r="J367" s="47">
        <v>156</v>
      </c>
      <c r="K367" s="48" t="s">
        <v>66</v>
      </c>
      <c r="L367" s="47">
        <v>45</v>
      </c>
      <c r="M367" s="100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7" s="97"/>
      <c r="O367" s="97"/>
      <c r="P367" s="97"/>
      <c r="Q367" s="98"/>
      <c r="R367" s="49" t="s">
        <v>6</v>
      </c>
      <c r="S367" s="49" t="s">
        <v>6</v>
      </c>
      <c r="T367" s="50" t="s">
        <v>68</v>
      </c>
      <c r="U367" s="51">
        <v>71</v>
      </c>
      <c r="V367" s="52">
        <f>IFERROR(IF(U367="",0,CEILING((U367/$H367),1)*$H367),"")</f>
        <v>71.400000000000006</v>
      </c>
      <c r="W367" s="53">
        <f>IFERROR(IF(V367=0,"",ROUNDUP(V367/H367,0)*0.00753),"")</f>
        <v>0.12801000000000001</v>
      </c>
      <c r="X367" s="54" t="s">
        <v>6</v>
      </c>
      <c r="Y367" s="55" t="s">
        <v>6</v>
      </c>
      <c r="AC367" s="56" t="s">
        <v>1</v>
      </c>
    </row>
    <row r="368" spans="1:29" ht="27" customHeight="1" x14ac:dyDescent="0.25">
      <c r="A368" s="44" t="s">
        <v>563</v>
      </c>
      <c r="B368" s="44" t="s">
        <v>564</v>
      </c>
      <c r="C368" s="45">
        <v>4301031176</v>
      </c>
      <c r="D368" s="95">
        <v>4607091389425</v>
      </c>
      <c r="E368" s="95"/>
      <c r="F368" s="46">
        <v>0.35</v>
      </c>
      <c r="G368" s="47">
        <v>6</v>
      </c>
      <c r="H368" s="46">
        <v>2.1</v>
      </c>
      <c r="I368" s="46">
        <v>2.23</v>
      </c>
      <c r="J368" s="47">
        <v>234</v>
      </c>
      <c r="K368" s="48" t="s">
        <v>66</v>
      </c>
      <c r="L368" s="47">
        <v>45</v>
      </c>
      <c r="M368" s="1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97"/>
      <c r="O368" s="97"/>
      <c r="P368" s="97"/>
      <c r="Q368" s="98"/>
      <c r="R368" s="49" t="s">
        <v>6</v>
      </c>
      <c r="S368" s="49" t="s">
        <v>6</v>
      </c>
      <c r="T368" s="50" t="s">
        <v>68</v>
      </c>
      <c r="U368" s="51">
        <v>0</v>
      </c>
      <c r="V368" s="52">
        <f>IFERROR(IF(U368="",0,CEILING((U368/$H368),1)*$H368),"")</f>
        <v>0</v>
      </c>
      <c r="W368" s="53" t="str">
        <f>IFERROR(IF(V368=0,"",ROUNDUP(V368/H368,0)*0.00502),"")</f>
        <v/>
      </c>
      <c r="X368" s="54" t="s">
        <v>6</v>
      </c>
      <c r="Y368" s="55" t="s">
        <v>6</v>
      </c>
      <c r="AC368" s="56" t="s">
        <v>1</v>
      </c>
    </row>
    <row r="369" spans="1:29" ht="27" customHeight="1" x14ac:dyDescent="0.25">
      <c r="A369" s="44" t="s">
        <v>565</v>
      </c>
      <c r="B369" s="44" t="s">
        <v>566</v>
      </c>
      <c r="C369" s="45">
        <v>4301031167</v>
      </c>
      <c r="D369" s="95">
        <v>4680115880771</v>
      </c>
      <c r="E369" s="95"/>
      <c r="F369" s="46">
        <v>0.28000000000000003</v>
      </c>
      <c r="G369" s="47">
        <v>6</v>
      </c>
      <c r="H369" s="46">
        <v>1.68</v>
      </c>
      <c r="I369" s="46">
        <v>1.81</v>
      </c>
      <c r="J369" s="47">
        <v>234</v>
      </c>
      <c r="K369" s="48" t="s">
        <v>66</v>
      </c>
      <c r="L369" s="47">
        <v>45</v>
      </c>
      <c r="M369" s="1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97"/>
      <c r="O369" s="97"/>
      <c r="P369" s="97"/>
      <c r="Q369" s="98"/>
      <c r="R369" s="49" t="s">
        <v>6</v>
      </c>
      <c r="S369" s="49" t="s">
        <v>6</v>
      </c>
      <c r="T369" s="50" t="s">
        <v>68</v>
      </c>
      <c r="U369" s="51">
        <v>0</v>
      </c>
      <c r="V369" s="52">
        <f>IFERROR(IF(U369="",0,CEILING((U369/$H369),1)*$H369),"")</f>
        <v>0</v>
      </c>
      <c r="W369" s="53" t="str">
        <f>IFERROR(IF(V369=0,"",ROUNDUP(V369/H369,0)*0.00502),"")</f>
        <v/>
      </c>
      <c r="X369" s="54" t="s">
        <v>6</v>
      </c>
      <c r="Y369" s="55" t="s">
        <v>6</v>
      </c>
      <c r="AC369" s="56" t="s">
        <v>1</v>
      </c>
    </row>
    <row r="370" spans="1:29" ht="27" customHeight="1" x14ac:dyDescent="0.25">
      <c r="A370" s="44" t="s">
        <v>567</v>
      </c>
      <c r="B370" s="44" t="s">
        <v>568</v>
      </c>
      <c r="C370" s="45">
        <v>4301031173</v>
      </c>
      <c r="D370" s="95">
        <v>4607091389500</v>
      </c>
      <c r="E370" s="95"/>
      <c r="F370" s="46">
        <v>0.35</v>
      </c>
      <c r="G370" s="47">
        <v>6</v>
      </c>
      <c r="H370" s="46">
        <v>2.1</v>
      </c>
      <c r="I370" s="46">
        <v>2.23</v>
      </c>
      <c r="J370" s="47">
        <v>234</v>
      </c>
      <c r="K370" s="48" t="s">
        <v>66</v>
      </c>
      <c r="L370" s="47">
        <v>45</v>
      </c>
      <c r="M370" s="1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97"/>
      <c r="O370" s="97"/>
      <c r="P370" s="97"/>
      <c r="Q370" s="98"/>
      <c r="R370" s="49" t="s">
        <v>6</v>
      </c>
      <c r="S370" s="49" t="s">
        <v>6</v>
      </c>
      <c r="T370" s="50" t="s">
        <v>68</v>
      </c>
      <c r="U370" s="51">
        <v>0</v>
      </c>
      <c r="V370" s="52">
        <f>IFERROR(IF(U370="",0,CEILING((U370/$H370),1)*$H370),"")</f>
        <v>0</v>
      </c>
      <c r="W370" s="53" t="str">
        <f>IFERROR(IF(V370=0,"",ROUNDUP(V370/H370,0)*0.00502),"")</f>
        <v/>
      </c>
      <c r="X370" s="54" t="s">
        <v>6</v>
      </c>
      <c r="Y370" s="55" t="s">
        <v>6</v>
      </c>
      <c r="AC370" s="56" t="s">
        <v>1</v>
      </c>
    </row>
    <row r="371" spans="1:29" ht="27" customHeight="1" x14ac:dyDescent="0.25">
      <c r="A371" s="44" t="s">
        <v>569</v>
      </c>
      <c r="B371" s="44" t="s">
        <v>570</v>
      </c>
      <c r="C371" s="45">
        <v>4301031103</v>
      </c>
      <c r="D371" s="95">
        <v>4680115881983</v>
      </c>
      <c r="E371" s="95"/>
      <c r="F371" s="46">
        <v>0.28000000000000003</v>
      </c>
      <c r="G371" s="47">
        <v>4</v>
      </c>
      <c r="H371" s="46">
        <v>1.1200000000000001</v>
      </c>
      <c r="I371" s="46">
        <v>1.252</v>
      </c>
      <c r="J371" s="47">
        <v>234</v>
      </c>
      <c r="K371" s="48" t="s">
        <v>66</v>
      </c>
      <c r="L371" s="47">
        <v>40</v>
      </c>
      <c r="M371" s="96" t="s">
        <v>571</v>
      </c>
      <c r="N371" s="97"/>
      <c r="O371" s="97"/>
      <c r="P371" s="97"/>
      <c r="Q371" s="98"/>
      <c r="R371" s="49" t="s">
        <v>6</v>
      </c>
      <c r="S371" s="49" t="s">
        <v>6</v>
      </c>
      <c r="T371" s="50" t="s">
        <v>68</v>
      </c>
      <c r="U371" s="51">
        <v>0</v>
      </c>
      <c r="V371" s="52">
        <f>IFERROR(IF(U371="",0,CEILING((U371/$H371),1)*$H371),"")</f>
        <v>0</v>
      </c>
      <c r="W371" s="53" t="str">
        <f>IFERROR(IF(V371=0,"",ROUNDUP(V371/H371,0)*0.00502),"")</f>
        <v/>
      </c>
      <c r="X371" s="54" t="s">
        <v>6</v>
      </c>
      <c r="Y371" s="55" t="s">
        <v>6</v>
      </c>
      <c r="AC371" s="56" t="s">
        <v>1</v>
      </c>
    </row>
    <row r="372" spans="1:29" x14ac:dyDescent="0.25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6"/>
      <c r="M372" s="87" t="s">
        <v>69</v>
      </c>
      <c r="N372" s="88"/>
      <c r="O372" s="88"/>
      <c r="P372" s="88"/>
      <c r="Q372" s="88"/>
      <c r="R372" s="88"/>
      <c r="S372" s="89"/>
      <c r="T372" s="57" t="s">
        <v>70</v>
      </c>
      <c r="U372" s="58">
        <f>IFERROR(U367/H367,"0")+IFERROR(U368/H368,"0")+IFERROR(U369/H369,"0")+IFERROR(U370/H370,"0")+IFERROR(U371/H371,"0")</f>
        <v>16.904761904761905</v>
      </c>
      <c r="V372" s="58">
        <f>IFERROR(V367/H367,"0")+IFERROR(V368/H368,"0")+IFERROR(V369/H369,"0")+IFERROR(V370/H370,"0")+IFERROR(V371/H371,"0")</f>
        <v>17</v>
      </c>
      <c r="W372" s="58">
        <f>IFERROR(IF(W367="",0,W367),"0")+IFERROR(IF(W368="",0,W368),"0")+IFERROR(IF(W369="",0,W369),"0")+IFERROR(IF(W370="",0,W370),"0")+IFERROR(IF(W371="",0,W371),"0")</f>
        <v>0.12801000000000001</v>
      </c>
      <c r="X372" s="59"/>
      <c r="Y372" s="59"/>
    </row>
    <row r="373" spans="1:29" x14ac:dyDescent="0.25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6"/>
      <c r="M373" s="87" t="s">
        <v>69</v>
      </c>
      <c r="N373" s="88"/>
      <c r="O373" s="88"/>
      <c r="P373" s="88"/>
      <c r="Q373" s="88"/>
      <c r="R373" s="88"/>
      <c r="S373" s="89"/>
      <c r="T373" s="57" t="s">
        <v>68</v>
      </c>
      <c r="U373" s="58">
        <f>IFERROR(SUM(U367:U371),"0")</f>
        <v>71</v>
      </c>
      <c r="V373" s="58">
        <f>IFERROR(SUM(V367:V371),"0")</f>
        <v>71.400000000000006</v>
      </c>
      <c r="W373" s="57"/>
      <c r="X373" s="59"/>
      <c r="Y373" s="59"/>
    </row>
    <row r="374" spans="1:29" ht="14.25" customHeight="1" x14ac:dyDescent="0.25">
      <c r="A374" s="94" t="s">
        <v>85</v>
      </c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43"/>
      <c r="Y374" s="43"/>
    </row>
    <row r="375" spans="1:29" ht="27" customHeight="1" x14ac:dyDescent="0.25">
      <c r="A375" s="44" t="s">
        <v>572</v>
      </c>
      <c r="B375" s="44" t="s">
        <v>573</v>
      </c>
      <c r="C375" s="45">
        <v>4301032044</v>
      </c>
      <c r="D375" s="95">
        <v>4680115883000</v>
      </c>
      <c r="E375" s="95"/>
      <c r="F375" s="46">
        <v>0.03</v>
      </c>
      <c r="G375" s="47">
        <v>20</v>
      </c>
      <c r="H375" s="46">
        <v>0.6</v>
      </c>
      <c r="I375" s="46">
        <v>0.63</v>
      </c>
      <c r="J375" s="47">
        <v>350</v>
      </c>
      <c r="K375" s="48" t="s">
        <v>545</v>
      </c>
      <c r="L375" s="47">
        <v>60</v>
      </c>
      <c r="M375" s="96" t="s">
        <v>574</v>
      </c>
      <c r="N375" s="97"/>
      <c r="O375" s="97"/>
      <c r="P375" s="97"/>
      <c r="Q375" s="98"/>
      <c r="R375" s="49" t="s">
        <v>6</v>
      </c>
      <c r="S375" s="49" t="s">
        <v>6</v>
      </c>
      <c r="T375" s="50" t="s">
        <v>68</v>
      </c>
      <c r="U375" s="51">
        <v>0</v>
      </c>
      <c r="V375" s="52">
        <f>IFERROR(IF(U375="",0,CEILING((U375/$H375),1)*$H375),"")</f>
        <v>0</v>
      </c>
      <c r="W375" s="53" t="str">
        <f>IFERROR(IF(V375=0,"",ROUNDUP(V375/H375,0)*0.00349),"")</f>
        <v/>
      </c>
      <c r="X375" s="54" t="s">
        <v>6</v>
      </c>
      <c r="Y375" s="55" t="s">
        <v>266</v>
      </c>
      <c r="AC375" s="56" t="s">
        <v>1</v>
      </c>
    </row>
    <row r="376" spans="1:29" x14ac:dyDescent="0.25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6"/>
      <c r="M376" s="87" t="s">
        <v>69</v>
      </c>
      <c r="N376" s="88"/>
      <c r="O376" s="88"/>
      <c r="P376" s="88"/>
      <c r="Q376" s="88"/>
      <c r="R376" s="88"/>
      <c r="S376" s="89"/>
      <c r="T376" s="57" t="s">
        <v>70</v>
      </c>
      <c r="U376" s="58">
        <f>IFERROR(U375/H375,"0")</f>
        <v>0</v>
      </c>
      <c r="V376" s="58">
        <f>IFERROR(V375/H375,"0")</f>
        <v>0</v>
      </c>
      <c r="W376" s="58">
        <f>IFERROR(IF(W375="",0,W375),"0")</f>
        <v>0</v>
      </c>
      <c r="X376" s="59"/>
      <c r="Y376" s="59"/>
    </row>
    <row r="377" spans="1:29" x14ac:dyDescent="0.25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6"/>
      <c r="M377" s="87" t="s">
        <v>69</v>
      </c>
      <c r="N377" s="88"/>
      <c r="O377" s="88"/>
      <c r="P377" s="88"/>
      <c r="Q377" s="88"/>
      <c r="R377" s="88"/>
      <c r="S377" s="89"/>
      <c r="T377" s="57" t="s">
        <v>68</v>
      </c>
      <c r="U377" s="58">
        <f>IFERROR(SUM(U375:U375),"0")</f>
        <v>0</v>
      </c>
      <c r="V377" s="58">
        <f>IFERROR(SUM(V375:V375),"0")</f>
        <v>0</v>
      </c>
      <c r="W377" s="57"/>
      <c r="X377" s="59"/>
      <c r="Y377" s="59"/>
    </row>
    <row r="378" spans="1:29" ht="14.25" customHeight="1" x14ac:dyDescent="0.25">
      <c r="A378" s="94" t="s">
        <v>97</v>
      </c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43"/>
      <c r="Y378" s="43"/>
    </row>
    <row r="379" spans="1:29" ht="27" customHeight="1" x14ac:dyDescent="0.25">
      <c r="A379" s="44" t="s">
        <v>575</v>
      </c>
      <c r="B379" s="44" t="s">
        <v>576</v>
      </c>
      <c r="C379" s="45">
        <v>4301170008</v>
      </c>
      <c r="D379" s="95">
        <v>4680115882980</v>
      </c>
      <c r="E379" s="95"/>
      <c r="F379" s="46">
        <v>0.13</v>
      </c>
      <c r="G379" s="47">
        <v>10</v>
      </c>
      <c r="H379" s="46">
        <v>1.3</v>
      </c>
      <c r="I379" s="46">
        <v>1.43</v>
      </c>
      <c r="J379" s="47">
        <v>320</v>
      </c>
      <c r="K379" s="48" t="s">
        <v>545</v>
      </c>
      <c r="L379" s="47">
        <v>150</v>
      </c>
      <c r="M379" s="96" t="s">
        <v>577</v>
      </c>
      <c r="N379" s="97"/>
      <c r="O379" s="97"/>
      <c r="P379" s="97"/>
      <c r="Q379" s="98"/>
      <c r="R379" s="49" t="s">
        <v>6</v>
      </c>
      <c r="S379" s="49" t="s">
        <v>6</v>
      </c>
      <c r="T379" s="50" t="s">
        <v>68</v>
      </c>
      <c r="U379" s="51">
        <v>0</v>
      </c>
      <c r="V379" s="52">
        <f>IFERROR(IF(U379="",0,CEILING((U379/$H379),1)*$H379),"")</f>
        <v>0</v>
      </c>
      <c r="W379" s="53" t="str">
        <f>IFERROR(IF(V379=0,"",ROUNDUP(V379/H379,0)*0.00266),"")</f>
        <v/>
      </c>
      <c r="X379" s="54" t="s">
        <v>6</v>
      </c>
      <c r="Y379" s="55" t="s">
        <v>266</v>
      </c>
      <c r="AC379" s="56" t="s">
        <v>1</v>
      </c>
    </row>
    <row r="380" spans="1:29" x14ac:dyDescent="0.25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6"/>
      <c r="M380" s="87" t="s">
        <v>69</v>
      </c>
      <c r="N380" s="88"/>
      <c r="O380" s="88"/>
      <c r="P380" s="88"/>
      <c r="Q380" s="88"/>
      <c r="R380" s="88"/>
      <c r="S380" s="89"/>
      <c r="T380" s="57" t="s">
        <v>70</v>
      </c>
      <c r="U380" s="58">
        <f>IFERROR(U379/H379,"0")</f>
        <v>0</v>
      </c>
      <c r="V380" s="58">
        <f>IFERROR(V379/H379,"0")</f>
        <v>0</v>
      </c>
      <c r="W380" s="58">
        <f>IFERROR(IF(W379="",0,W379),"0")</f>
        <v>0</v>
      </c>
      <c r="X380" s="59"/>
      <c r="Y380" s="59"/>
    </row>
    <row r="381" spans="1:29" x14ac:dyDescent="0.25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6"/>
      <c r="M381" s="87" t="s">
        <v>69</v>
      </c>
      <c r="N381" s="88"/>
      <c r="O381" s="88"/>
      <c r="P381" s="88"/>
      <c r="Q381" s="88"/>
      <c r="R381" s="88"/>
      <c r="S381" s="89"/>
      <c r="T381" s="57" t="s">
        <v>68</v>
      </c>
      <c r="U381" s="58">
        <f>IFERROR(SUM(U379:U379),"0")</f>
        <v>0</v>
      </c>
      <c r="V381" s="58">
        <f>IFERROR(SUM(V379:V379),"0")</f>
        <v>0</v>
      </c>
      <c r="W381" s="57"/>
      <c r="X381" s="59"/>
      <c r="Y381" s="59"/>
    </row>
    <row r="382" spans="1:29" ht="27.75" customHeight="1" x14ac:dyDescent="0.25">
      <c r="A382" s="101" t="s">
        <v>578</v>
      </c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41"/>
      <c r="Y382" s="41"/>
    </row>
    <row r="383" spans="1:29" ht="16.5" customHeight="1" x14ac:dyDescent="0.25">
      <c r="A383" s="99" t="s">
        <v>578</v>
      </c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42"/>
      <c r="Y383" s="42"/>
    </row>
    <row r="384" spans="1:29" ht="14.25" customHeight="1" x14ac:dyDescent="0.25">
      <c r="A384" s="94" t="s">
        <v>107</v>
      </c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43"/>
      <c r="Y384" s="43"/>
    </row>
    <row r="385" spans="1:29" ht="27" customHeight="1" x14ac:dyDescent="0.25">
      <c r="A385" s="44" t="s">
        <v>579</v>
      </c>
      <c r="B385" s="44" t="s">
        <v>580</v>
      </c>
      <c r="C385" s="45">
        <v>4301011371</v>
      </c>
      <c r="D385" s="95">
        <v>4607091389067</v>
      </c>
      <c r="E385" s="95"/>
      <c r="F385" s="46">
        <v>0.88</v>
      </c>
      <c r="G385" s="47">
        <v>6</v>
      </c>
      <c r="H385" s="46">
        <v>5.28</v>
      </c>
      <c r="I385" s="46">
        <v>5.64</v>
      </c>
      <c r="J385" s="47">
        <v>104</v>
      </c>
      <c r="K385" s="48" t="s">
        <v>131</v>
      </c>
      <c r="L385" s="47">
        <v>55</v>
      </c>
      <c r="M385" s="1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97"/>
      <c r="O385" s="97"/>
      <c r="P385" s="97"/>
      <c r="Q385" s="98"/>
      <c r="R385" s="49" t="s">
        <v>6</v>
      </c>
      <c r="S385" s="49" t="s">
        <v>6</v>
      </c>
      <c r="T385" s="50" t="s">
        <v>68</v>
      </c>
      <c r="U385" s="51">
        <v>21</v>
      </c>
      <c r="V385" s="52">
        <f t="shared" ref="V385:V394" si="14">IFERROR(IF(U385="",0,CEILING((U385/$H385),1)*$H385),"")</f>
        <v>21.12</v>
      </c>
      <c r="W385" s="53">
        <f>IFERROR(IF(V385=0,"",ROUNDUP(V385/H385,0)*0.01196),"")</f>
        <v>4.7840000000000001E-2</v>
      </c>
      <c r="X385" s="54" t="s">
        <v>6</v>
      </c>
      <c r="Y385" s="55" t="s">
        <v>6</v>
      </c>
      <c r="AC385" s="56" t="s">
        <v>1</v>
      </c>
    </row>
    <row r="386" spans="1:29" ht="27" customHeight="1" x14ac:dyDescent="0.25">
      <c r="A386" s="44" t="s">
        <v>581</v>
      </c>
      <c r="B386" s="44" t="s">
        <v>582</v>
      </c>
      <c r="C386" s="45">
        <v>4301011363</v>
      </c>
      <c r="D386" s="95">
        <v>4607091383522</v>
      </c>
      <c r="E386" s="95"/>
      <c r="F386" s="46">
        <v>0.88</v>
      </c>
      <c r="G386" s="47">
        <v>6</v>
      </c>
      <c r="H386" s="46">
        <v>5.28</v>
      </c>
      <c r="I386" s="46">
        <v>5.64</v>
      </c>
      <c r="J386" s="47">
        <v>104</v>
      </c>
      <c r="K386" s="48" t="s">
        <v>105</v>
      </c>
      <c r="L386" s="47">
        <v>55</v>
      </c>
      <c r="M386" s="1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97"/>
      <c r="O386" s="97"/>
      <c r="P386" s="97"/>
      <c r="Q386" s="98"/>
      <c r="R386" s="49" t="s">
        <v>6</v>
      </c>
      <c r="S386" s="49" t="s">
        <v>6</v>
      </c>
      <c r="T386" s="50" t="s">
        <v>68</v>
      </c>
      <c r="U386" s="69">
        <v>216</v>
      </c>
      <c r="V386" s="52">
        <f t="shared" si="14"/>
        <v>216.48000000000002</v>
      </c>
      <c r="W386" s="53">
        <f>IFERROR(IF(V386=0,"",ROUNDUP(V386/H386,0)*0.01196),"")</f>
        <v>0.49036000000000002</v>
      </c>
      <c r="X386" s="54" t="s">
        <v>6</v>
      </c>
      <c r="Y386" s="55" t="s">
        <v>6</v>
      </c>
      <c r="AC386" s="56" t="s">
        <v>1</v>
      </c>
    </row>
    <row r="387" spans="1:29" ht="27" customHeight="1" x14ac:dyDescent="0.25">
      <c r="A387" s="44" t="s">
        <v>583</v>
      </c>
      <c r="B387" s="44" t="s">
        <v>584</v>
      </c>
      <c r="C387" s="45">
        <v>4301011431</v>
      </c>
      <c r="D387" s="95">
        <v>4607091384437</v>
      </c>
      <c r="E387" s="95"/>
      <c r="F387" s="46">
        <v>0.88</v>
      </c>
      <c r="G387" s="47">
        <v>6</v>
      </c>
      <c r="H387" s="46">
        <v>5.28</v>
      </c>
      <c r="I387" s="46">
        <v>5.64</v>
      </c>
      <c r="J387" s="47">
        <v>104</v>
      </c>
      <c r="K387" s="48" t="s">
        <v>105</v>
      </c>
      <c r="L387" s="47">
        <v>50</v>
      </c>
      <c r="M387" s="96" t="s">
        <v>585</v>
      </c>
      <c r="N387" s="97"/>
      <c r="O387" s="97"/>
      <c r="P387" s="97"/>
      <c r="Q387" s="98"/>
      <c r="R387" s="49" t="s">
        <v>6</v>
      </c>
      <c r="S387" s="49" t="s">
        <v>6</v>
      </c>
      <c r="T387" s="50" t="s">
        <v>68</v>
      </c>
      <c r="U387" s="51">
        <v>0</v>
      </c>
      <c r="V387" s="52">
        <f t="shared" si="14"/>
        <v>0</v>
      </c>
      <c r="W387" s="53" t="str">
        <f>IFERROR(IF(V387=0,"",ROUNDUP(V387/H387,0)*0.01196),"")</f>
        <v/>
      </c>
      <c r="X387" s="54" t="s">
        <v>6</v>
      </c>
      <c r="Y387" s="55" t="s">
        <v>6</v>
      </c>
      <c r="AC387" s="56" t="s">
        <v>1</v>
      </c>
    </row>
    <row r="388" spans="1:29" ht="27" customHeight="1" x14ac:dyDescent="0.25">
      <c r="A388" s="44" t="s">
        <v>586</v>
      </c>
      <c r="B388" s="44" t="s">
        <v>587</v>
      </c>
      <c r="C388" s="45">
        <v>4301011365</v>
      </c>
      <c r="D388" s="95">
        <v>4607091389104</v>
      </c>
      <c r="E388" s="95"/>
      <c r="F388" s="46">
        <v>0.88</v>
      </c>
      <c r="G388" s="47">
        <v>6</v>
      </c>
      <c r="H388" s="46">
        <v>5.28</v>
      </c>
      <c r="I388" s="46">
        <v>5.64</v>
      </c>
      <c r="J388" s="47">
        <v>104</v>
      </c>
      <c r="K388" s="48" t="s">
        <v>105</v>
      </c>
      <c r="L388" s="47">
        <v>55</v>
      </c>
      <c r="M388" s="1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97"/>
      <c r="O388" s="97"/>
      <c r="P388" s="97"/>
      <c r="Q388" s="98"/>
      <c r="R388" s="49" t="s">
        <v>6</v>
      </c>
      <c r="S388" s="49" t="s">
        <v>6</v>
      </c>
      <c r="T388" s="50" t="s">
        <v>68</v>
      </c>
      <c r="U388" s="69">
        <v>168</v>
      </c>
      <c r="V388" s="52">
        <f t="shared" si="14"/>
        <v>168.96</v>
      </c>
      <c r="W388" s="53">
        <f>IFERROR(IF(V388=0,"",ROUNDUP(V388/H388,0)*0.01196),"")</f>
        <v>0.38272</v>
      </c>
      <c r="X388" s="54" t="s">
        <v>6</v>
      </c>
      <c r="Y388" s="55" t="s">
        <v>6</v>
      </c>
      <c r="AC388" s="56" t="s">
        <v>1</v>
      </c>
    </row>
    <row r="389" spans="1:29" ht="27" customHeight="1" x14ac:dyDescent="0.25">
      <c r="A389" s="44" t="s">
        <v>588</v>
      </c>
      <c r="B389" s="44" t="s">
        <v>589</v>
      </c>
      <c r="C389" s="45">
        <v>4301011142</v>
      </c>
      <c r="D389" s="95">
        <v>4607091389036</v>
      </c>
      <c r="E389" s="95"/>
      <c r="F389" s="46">
        <v>0.4</v>
      </c>
      <c r="G389" s="47">
        <v>6</v>
      </c>
      <c r="H389" s="46">
        <v>2.4</v>
      </c>
      <c r="I389" s="46">
        <v>2.6</v>
      </c>
      <c r="J389" s="47">
        <v>156</v>
      </c>
      <c r="K389" s="48" t="s">
        <v>131</v>
      </c>
      <c r="L389" s="47">
        <v>50</v>
      </c>
      <c r="M389" s="10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97"/>
      <c r="O389" s="97"/>
      <c r="P389" s="97"/>
      <c r="Q389" s="98"/>
      <c r="R389" s="49" t="s">
        <v>6</v>
      </c>
      <c r="S389" s="49" t="s">
        <v>6</v>
      </c>
      <c r="T389" s="50" t="s">
        <v>68</v>
      </c>
      <c r="U389" s="51">
        <v>0</v>
      </c>
      <c r="V389" s="52">
        <f t="shared" si="14"/>
        <v>0</v>
      </c>
      <c r="W389" s="53" t="str">
        <f>IFERROR(IF(V389=0,"",ROUNDUP(V389/H389,0)*0.00753),"")</f>
        <v/>
      </c>
      <c r="X389" s="54" t="s">
        <v>6</v>
      </c>
      <c r="Y389" s="55" t="s">
        <v>6</v>
      </c>
      <c r="AC389" s="56" t="s">
        <v>1</v>
      </c>
    </row>
    <row r="390" spans="1:29" ht="27" customHeight="1" x14ac:dyDescent="0.25">
      <c r="A390" s="44" t="s">
        <v>590</v>
      </c>
      <c r="B390" s="44" t="s">
        <v>591</v>
      </c>
      <c r="C390" s="45">
        <v>4301011367</v>
      </c>
      <c r="D390" s="95">
        <v>4680115880603</v>
      </c>
      <c r="E390" s="95"/>
      <c r="F390" s="46">
        <v>0.6</v>
      </c>
      <c r="G390" s="47">
        <v>6</v>
      </c>
      <c r="H390" s="46">
        <v>3.6</v>
      </c>
      <c r="I390" s="46">
        <v>3.84</v>
      </c>
      <c r="J390" s="47">
        <v>120</v>
      </c>
      <c r="K390" s="48" t="s">
        <v>105</v>
      </c>
      <c r="L390" s="47">
        <v>55</v>
      </c>
      <c r="M390" s="96" t="s">
        <v>592</v>
      </c>
      <c r="N390" s="97"/>
      <c r="O390" s="97"/>
      <c r="P390" s="97"/>
      <c r="Q390" s="98"/>
      <c r="R390" s="49" t="s">
        <v>6</v>
      </c>
      <c r="S390" s="49" t="s">
        <v>6</v>
      </c>
      <c r="T390" s="50" t="s">
        <v>68</v>
      </c>
      <c r="U390" s="51">
        <v>0</v>
      </c>
      <c r="V390" s="52">
        <f t="shared" si="14"/>
        <v>0</v>
      </c>
      <c r="W390" s="53" t="str">
        <f>IFERROR(IF(V390=0,"",ROUNDUP(V390/H390,0)*0.00937),"")</f>
        <v/>
      </c>
      <c r="X390" s="54" t="s">
        <v>6</v>
      </c>
      <c r="Y390" s="55" t="s">
        <v>6</v>
      </c>
      <c r="AC390" s="56" t="s">
        <v>1</v>
      </c>
    </row>
    <row r="391" spans="1:29" ht="27" customHeight="1" x14ac:dyDescent="0.25">
      <c r="A391" s="44" t="s">
        <v>593</v>
      </c>
      <c r="B391" s="44" t="s">
        <v>594</v>
      </c>
      <c r="C391" s="45">
        <v>4301011168</v>
      </c>
      <c r="D391" s="95">
        <v>4607091389999</v>
      </c>
      <c r="E391" s="95"/>
      <c r="F391" s="46">
        <v>0.6</v>
      </c>
      <c r="G391" s="47">
        <v>6</v>
      </c>
      <c r="H391" s="46">
        <v>3.6</v>
      </c>
      <c r="I391" s="46">
        <v>3.84</v>
      </c>
      <c r="J391" s="47">
        <v>120</v>
      </c>
      <c r="K391" s="48" t="s">
        <v>105</v>
      </c>
      <c r="L391" s="47">
        <v>55</v>
      </c>
      <c r="M391" s="96" t="s">
        <v>595</v>
      </c>
      <c r="N391" s="97"/>
      <c r="O391" s="97"/>
      <c r="P391" s="97"/>
      <c r="Q391" s="98"/>
      <c r="R391" s="49" t="s">
        <v>6</v>
      </c>
      <c r="S391" s="49" t="s">
        <v>6</v>
      </c>
      <c r="T391" s="50" t="s">
        <v>68</v>
      </c>
      <c r="U391" s="51">
        <v>0</v>
      </c>
      <c r="V391" s="52">
        <f t="shared" si="14"/>
        <v>0</v>
      </c>
      <c r="W391" s="53" t="str">
        <f>IFERROR(IF(V391=0,"",ROUNDUP(V391/H391,0)*0.00937),"")</f>
        <v/>
      </c>
      <c r="X391" s="54" t="s">
        <v>6</v>
      </c>
      <c r="Y391" s="55" t="s">
        <v>6</v>
      </c>
      <c r="AC391" s="56" t="s">
        <v>1</v>
      </c>
    </row>
    <row r="392" spans="1:29" ht="27" customHeight="1" x14ac:dyDescent="0.25">
      <c r="A392" s="44" t="s">
        <v>596</v>
      </c>
      <c r="B392" s="44" t="s">
        <v>597</v>
      </c>
      <c r="C392" s="45">
        <v>4301011372</v>
      </c>
      <c r="D392" s="95">
        <v>4680115882782</v>
      </c>
      <c r="E392" s="95"/>
      <c r="F392" s="46">
        <v>0.6</v>
      </c>
      <c r="G392" s="47">
        <v>6</v>
      </c>
      <c r="H392" s="46">
        <v>3.6</v>
      </c>
      <c r="I392" s="46">
        <v>3.84</v>
      </c>
      <c r="J392" s="47">
        <v>120</v>
      </c>
      <c r="K392" s="48" t="s">
        <v>105</v>
      </c>
      <c r="L392" s="47">
        <v>50</v>
      </c>
      <c r="M392" s="96" t="s">
        <v>598</v>
      </c>
      <c r="N392" s="97"/>
      <c r="O392" s="97"/>
      <c r="P392" s="97"/>
      <c r="Q392" s="98"/>
      <c r="R392" s="49" t="s">
        <v>6</v>
      </c>
      <c r="S392" s="49" t="s">
        <v>6</v>
      </c>
      <c r="T392" s="50" t="s">
        <v>68</v>
      </c>
      <c r="U392" s="51">
        <v>0</v>
      </c>
      <c r="V392" s="52">
        <f t="shared" si="14"/>
        <v>0</v>
      </c>
      <c r="W392" s="53" t="str">
        <f>IFERROR(IF(V392=0,"",ROUNDUP(V392/H392,0)*0.00937),"")</f>
        <v/>
      </c>
      <c r="X392" s="54" t="s">
        <v>6</v>
      </c>
      <c r="Y392" s="55" t="s">
        <v>6</v>
      </c>
      <c r="AC392" s="56" t="s">
        <v>1</v>
      </c>
    </row>
    <row r="393" spans="1:29" ht="27" customHeight="1" x14ac:dyDescent="0.25">
      <c r="A393" s="44" t="s">
        <v>599</v>
      </c>
      <c r="B393" s="44" t="s">
        <v>600</v>
      </c>
      <c r="C393" s="45">
        <v>4301011190</v>
      </c>
      <c r="D393" s="95">
        <v>4607091389098</v>
      </c>
      <c r="E393" s="95"/>
      <c r="F393" s="46">
        <v>0.4</v>
      </c>
      <c r="G393" s="47">
        <v>6</v>
      </c>
      <c r="H393" s="46">
        <v>2.4</v>
      </c>
      <c r="I393" s="46">
        <v>2.6</v>
      </c>
      <c r="J393" s="47">
        <v>156</v>
      </c>
      <c r="K393" s="48" t="s">
        <v>131</v>
      </c>
      <c r="L393" s="47">
        <v>50</v>
      </c>
      <c r="M393" s="1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97"/>
      <c r="O393" s="97"/>
      <c r="P393" s="97"/>
      <c r="Q393" s="98"/>
      <c r="R393" s="49" t="s">
        <v>6</v>
      </c>
      <c r="S393" s="49" t="s">
        <v>6</v>
      </c>
      <c r="T393" s="50" t="s">
        <v>68</v>
      </c>
      <c r="U393" s="51">
        <v>16</v>
      </c>
      <c r="V393" s="52">
        <f t="shared" si="14"/>
        <v>16.8</v>
      </c>
      <c r="W393" s="53">
        <f>IFERROR(IF(V393=0,"",ROUNDUP(V393/H393,0)*0.00753),"")</f>
        <v>5.271E-2</v>
      </c>
      <c r="X393" s="54" t="s">
        <v>6</v>
      </c>
      <c r="Y393" s="55" t="s">
        <v>6</v>
      </c>
      <c r="AC393" s="56" t="s">
        <v>1</v>
      </c>
    </row>
    <row r="394" spans="1:29" ht="27" customHeight="1" x14ac:dyDescent="0.25">
      <c r="A394" s="44" t="s">
        <v>601</v>
      </c>
      <c r="B394" s="44" t="s">
        <v>602</v>
      </c>
      <c r="C394" s="45">
        <v>4301011366</v>
      </c>
      <c r="D394" s="95">
        <v>4607091389982</v>
      </c>
      <c r="E394" s="95"/>
      <c r="F394" s="46">
        <v>0.6</v>
      </c>
      <c r="G394" s="47">
        <v>6</v>
      </c>
      <c r="H394" s="46">
        <v>3.6</v>
      </c>
      <c r="I394" s="46">
        <v>3.84</v>
      </c>
      <c r="J394" s="47">
        <v>120</v>
      </c>
      <c r="K394" s="48" t="s">
        <v>105</v>
      </c>
      <c r="L394" s="47">
        <v>55</v>
      </c>
      <c r="M394" s="96" t="s">
        <v>603</v>
      </c>
      <c r="N394" s="97"/>
      <c r="O394" s="97"/>
      <c r="P394" s="97"/>
      <c r="Q394" s="98"/>
      <c r="R394" s="49" t="s">
        <v>6</v>
      </c>
      <c r="S394" s="49" t="s">
        <v>6</v>
      </c>
      <c r="T394" s="50" t="s">
        <v>68</v>
      </c>
      <c r="U394" s="51">
        <v>0</v>
      </c>
      <c r="V394" s="52">
        <f t="shared" si="14"/>
        <v>0</v>
      </c>
      <c r="W394" s="53" t="str">
        <f>IFERROR(IF(V394=0,"",ROUNDUP(V394/H394,0)*0.00937),"")</f>
        <v/>
      </c>
      <c r="X394" s="54" t="s">
        <v>6</v>
      </c>
      <c r="Y394" s="55" t="s">
        <v>6</v>
      </c>
      <c r="AC394" s="56" t="s">
        <v>1</v>
      </c>
    </row>
    <row r="395" spans="1:29" x14ac:dyDescent="0.2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6"/>
      <c r="M395" s="87" t="s">
        <v>69</v>
      </c>
      <c r="N395" s="88"/>
      <c r="O395" s="88"/>
      <c r="P395" s="88"/>
      <c r="Q395" s="88"/>
      <c r="R395" s="88"/>
      <c r="S395" s="89"/>
      <c r="T395" s="57" t="s">
        <v>70</v>
      </c>
      <c r="U395" s="58">
        <f>IFERROR(U385/H385,"0")+IFERROR(U386/H386,"0")+IFERROR(U387/H387,"0")+IFERROR(U388/H388,"0")+IFERROR(U389/H389,"0")+IFERROR(U390/H390,"0")+IFERROR(U391/H391,"0")+IFERROR(U392/H392,"0")+IFERROR(U393/H393,"0")+IFERROR(U394/H394,"0")</f>
        <v>83.371212121212125</v>
      </c>
      <c r="V395" s="58">
        <f>IFERROR(V385/H385,"0")+IFERROR(V386/H386,"0")+IFERROR(V387/H387,"0")+IFERROR(V388/H388,"0")+IFERROR(V389/H389,"0")+IFERROR(V390/H390,"0")+IFERROR(V391/H391,"0")+IFERROR(V392/H392,"0")+IFERROR(V393/H393,"0")+IFERROR(V394/H394,"0")</f>
        <v>84</v>
      </c>
      <c r="W395" s="58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0.97363</v>
      </c>
      <c r="X395" s="59"/>
      <c r="Y395" s="59"/>
    </row>
    <row r="396" spans="1:29" x14ac:dyDescent="0.25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6"/>
      <c r="M396" s="87" t="s">
        <v>69</v>
      </c>
      <c r="N396" s="88"/>
      <c r="O396" s="88"/>
      <c r="P396" s="88"/>
      <c r="Q396" s="88"/>
      <c r="R396" s="88"/>
      <c r="S396" s="89"/>
      <c r="T396" s="57" t="s">
        <v>68</v>
      </c>
      <c r="U396" s="58">
        <f>IFERROR(SUM(U385:U394),"0")</f>
        <v>421</v>
      </c>
      <c r="V396" s="58">
        <f>IFERROR(SUM(V385:V394),"0")</f>
        <v>423.36000000000007</v>
      </c>
      <c r="W396" s="57"/>
      <c r="X396" s="59"/>
      <c r="Y396" s="59"/>
    </row>
    <row r="397" spans="1:29" ht="14.25" customHeight="1" x14ac:dyDescent="0.25">
      <c r="A397" s="94" t="s">
        <v>102</v>
      </c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43"/>
      <c r="Y397" s="43"/>
    </row>
    <row r="398" spans="1:29" ht="16.5" customHeight="1" x14ac:dyDescent="0.25">
      <c r="A398" s="44" t="s">
        <v>604</v>
      </c>
      <c r="B398" s="44" t="s">
        <v>605</v>
      </c>
      <c r="C398" s="45">
        <v>4301020222</v>
      </c>
      <c r="D398" s="95">
        <v>4607091388930</v>
      </c>
      <c r="E398" s="95"/>
      <c r="F398" s="46">
        <v>0.88</v>
      </c>
      <c r="G398" s="47">
        <v>6</v>
      </c>
      <c r="H398" s="46">
        <v>5.28</v>
      </c>
      <c r="I398" s="46">
        <v>5.64</v>
      </c>
      <c r="J398" s="47">
        <v>104</v>
      </c>
      <c r="K398" s="48" t="s">
        <v>105</v>
      </c>
      <c r="L398" s="47">
        <v>55</v>
      </c>
      <c r="M398" s="1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97"/>
      <c r="O398" s="97"/>
      <c r="P398" s="97"/>
      <c r="Q398" s="98"/>
      <c r="R398" s="49" t="s">
        <v>6</v>
      </c>
      <c r="S398" s="49" t="s">
        <v>6</v>
      </c>
      <c r="T398" s="50" t="s">
        <v>68</v>
      </c>
      <c r="U398" s="51">
        <v>36</v>
      </c>
      <c r="V398" s="52">
        <f>IFERROR(IF(U398="",0,CEILING((U398/$H398),1)*$H398),"")</f>
        <v>36.96</v>
      </c>
      <c r="W398" s="53">
        <f>IFERROR(IF(V398=0,"",ROUNDUP(V398/H398,0)*0.01196),"")</f>
        <v>8.3720000000000003E-2</v>
      </c>
      <c r="X398" s="54" t="s">
        <v>6</v>
      </c>
      <c r="Y398" s="55" t="s">
        <v>6</v>
      </c>
      <c r="AC398" s="56" t="s">
        <v>1</v>
      </c>
    </row>
    <row r="399" spans="1:29" ht="16.5" customHeight="1" x14ac:dyDescent="0.25">
      <c r="A399" s="44" t="s">
        <v>606</v>
      </c>
      <c r="B399" s="44" t="s">
        <v>607</v>
      </c>
      <c r="C399" s="45">
        <v>4301020206</v>
      </c>
      <c r="D399" s="95">
        <v>4680115880054</v>
      </c>
      <c r="E399" s="95"/>
      <c r="F399" s="46">
        <v>0.6</v>
      </c>
      <c r="G399" s="47">
        <v>6</v>
      </c>
      <c r="H399" s="46">
        <v>3.6</v>
      </c>
      <c r="I399" s="46">
        <v>3.84</v>
      </c>
      <c r="J399" s="47">
        <v>120</v>
      </c>
      <c r="K399" s="48" t="s">
        <v>105</v>
      </c>
      <c r="L399" s="47">
        <v>55</v>
      </c>
      <c r="M399" s="96" t="s">
        <v>608</v>
      </c>
      <c r="N399" s="97"/>
      <c r="O399" s="97"/>
      <c r="P399" s="97"/>
      <c r="Q399" s="98"/>
      <c r="R399" s="49" t="s">
        <v>6</v>
      </c>
      <c r="S399" s="49" t="s">
        <v>6</v>
      </c>
      <c r="T399" s="50" t="s">
        <v>68</v>
      </c>
      <c r="U399" s="51">
        <v>0</v>
      </c>
      <c r="V399" s="52">
        <f>IFERROR(IF(U399="",0,CEILING((U399/$H399),1)*$H399),"")</f>
        <v>0</v>
      </c>
      <c r="W399" s="53" t="str">
        <f>IFERROR(IF(V399=0,"",ROUNDUP(V399/H399,0)*0.00937),"")</f>
        <v/>
      </c>
      <c r="X399" s="54" t="s">
        <v>6</v>
      </c>
      <c r="Y399" s="55" t="s">
        <v>6</v>
      </c>
      <c r="AC399" s="56" t="s">
        <v>1</v>
      </c>
    </row>
    <row r="400" spans="1:29" x14ac:dyDescent="0.25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6"/>
      <c r="M400" s="87" t="s">
        <v>69</v>
      </c>
      <c r="N400" s="88"/>
      <c r="O400" s="88"/>
      <c r="P400" s="88"/>
      <c r="Q400" s="88"/>
      <c r="R400" s="88"/>
      <c r="S400" s="89"/>
      <c r="T400" s="57" t="s">
        <v>70</v>
      </c>
      <c r="U400" s="58">
        <f>IFERROR(U398/H398,"0")+IFERROR(U399/H399,"0")</f>
        <v>6.8181818181818175</v>
      </c>
      <c r="V400" s="58">
        <f>IFERROR(V398/H398,"0")+IFERROR(V399/H399,"0")</f>
        <v>7</v>
      </c>
      <c r="W400" s="58">
        <f>IFERROR(IF(W398="",0,W398),"0")+IFERROR(IF(W399="",0,W399),"0")</f>
        <v>8.3720000000000003E-2</v>
      </c>
      <c r="X400" s="59"/>
      <c r="Y400" s="59"/>
    </row>
    <row r="401" spans="1:29" x14ac:dyDescent="0.25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6"/>
      <c r="M401" s="87" t="s">
        <v>69</v>
      </c>
      <c r="N401" s="88"/>
      <c r="O401" s="88"/>
      <c r="P401" s="88"/>
      <c r="Q401" s="88"/>
      <c r="R401" s="88"/>
      <c r="S401" s="89"/>
      <c r="T401" s="57" t="s">
        <v>68</v>
      </c>
      <c r="U401" s="58">
        <f>IFERROR(SUM(U398:U399),"0")</f>
        <v>36</v>
      </c>
      <c r="V401" s="58">
        <f>IFERROR(SUM(V398:V399),"0")</f>
        <v>36.96</v>
      </c>
      <c r="W401" s="57"/>
      <c r="X401" s="59"/>
      <c r="Y401" s="59"/>
    </row>
    <row r="402" spans="1:29" ht="14.25" customHeight="1" x14ac:dyDescent="0.25">
      <c r="A402" s="94" t="s">
        <v>63</v>
      </c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43"/>
      <c r="Y402" s="43"/>
    </row>
    <row r="403" spans="1:29" ht="27" customHeight="1" x14ac:dyDescent="0.25">
      <c r="A403" s="44" t="s">
        <v>609</v>
      </c>
      <c r="B403" s="44" t="s">
        <v>610</v>
      </c>
      <c r="C403" s="45">
        <v>4301031198</v>
      </c>
      <c r="D403" s="95">
        <v>4607091383348</v>
      </c>
      <c r="E403" s="95"/>
      <c r="F403" s="46">
        <v>0.88</v>
      </c>
      <c r="G403" s="47">
        <v>6</v>
      </c>
      <c r="H403" s="46">
        <v>5.28</v>
      </c>
      <c r="I403" s="46">
        <v>5.64</v>
      </c>
      <c r="J403" s="47">
        <v>104</v>
      </c>
      <c r="K403" s="48" t="s">
        <v>105</v>
      </c>
      <c r="L403" s="47">
        <v>55</v>
      </c>
      <c r="M403" s="10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3" s="97"/>
      <c r="O403" s="97"/>
      <c r="P403" s="97"/>
      <c r="Q403" s="98"/>
      <c r="R403" s="49" t="s">
        <v>6</v>
      </c>
      <c r="S403" s="49" t="s">
        <v>6</v>
      </c>
      <c r="T403" s="50" t="s">
        <v>68</v>
      </c>
      <c r="U403" s="51">
        <v>0</v>
      </c>
      <c r="V403" s="52">
        <f t="shared" ref="V403:V408" si="15">IFERROR(IF(U403="",0,CEILING((U403/$H403),1)*$H403),"")</f>
        <v>0</v>
      </c>
      <c r="W403" s="53" t="str">
        <f>IFERROR(IF(V403=0,"",ROUNDUP(V403/H403,0)*0.01196),"")</f>
        <v/>
      </c>
      <c r="X403" s="54" t="s">
        <v>6</v>
      </c>
      <c r="Y403" s="55" t="s">
        <v>6</v>
      </c>
      <c r="AC403" s="56" t="s">
        <v>1</v>
      </c>
    </row>
    <row r="404" spans="1:29" ht="27" customHeight="1" x14ac:dyDescent="0.25">
      <c r="A404" s="44" t="s">
        <v>611</v>
      </c>
      <c r="B404" s="44" t="s">
        <v>612</v>
      </c>
      <c r="C404" s="45">
        <v>4301031188</v>
      </c>
      <c r="D404" s="95">
        <v>4607091383386</v>
      </c>
      <c r="E404" s="95"/>
      <c r="F404" s="46">
        <v>0.88</v>
      </c>
      <c r="G404" s="47">
        <v>6</v>
      </c>
      <c r="H404" s="46">
        <v>5.28</v>
      </c>
      <c r="I404" s="46">
        <v>5.64</v>
      </c>
      <c r="J404" s="47">
        <v>104</v>
      </c>
      <c r="K404" s="48" t="s">
        <v>66</v>
      </c>
      <c r="L404" s="47">
        <v>55</v>
      </c>
      <c r="M404" s="10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4" s="97"/>
      <c r="O404" s="97"/>
      <c r="P404" s="97"/>
      <c r="Q404" s="98"/>
      <c r="R404" s="49" t="s">
        <v>6</v>
      </c>
      <c r="S404" s="49" t="s">
        <v>6</v>
      </c>
      <c r="T404" s="50" t="s">
        <v>68</v>
      </c>
      <c r="U404" s="51">
        <v>0</v>
      </c>
      <c r="V404" s="52">
        <f t="shared" si="15"/>
        <v>0</v>
      </c>
      <c r="W404" s="53" t="str">
        <f>IFERROR(IF(V404=0,"",ROUNDUP(V404/H404,0)*0.01196),"")</f>
        <v/>
      </c>
      <c r="X404" s="54" t="s">
        <v>6</v>
      </c>
      <c r="Y404" s="55" t="s">
        <v>6</v>
      </c>
      <c r="AC404" s="56" t="s">
        <v>1</v>
      </c>
    </row>
    <row r="405" spans="1:29" ht="27" customHeight="1" x14ac:dyDescent="0.25">
      <c r="A405" s="44" t="s">
        <v>613</v>
      </c>
      <c r="B405" s="44" t="s">
        <v>614</v>
      </c>
      <c r="C405" s="45">
        <v>4301031189</v>
      </c>
      <c r="D405" s="95">
        <v>4607091383355</v>
      </c>
      <c r="E405" s="95"/>
      <c r="F405" s="46">
        <v>0.88</v>
      </c>
      <c r="G405" s="47">
        <v>6</v>
      </c>
      <c r="H405" s="46">
        <v>5.28</v>
      </c>
      <c r="I405" s="46">
        <v>5.64</v>
      </c>
      <c r="J405" s="47">
        <v>104</v>
      </c>
      <c r="K405" s="48" t="s">
        <v>66</v>
      </c>
      <c r="L405" s="47">
        <v>55</v>
      </c>
      <c r="M405" s="10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5" s="97"/>
      <c r="O405" s="97"/>
      <c r="P405" s="97"/>
      <c r="Q405" s="98"/>
      <c r="R405" s="49" t="s">
        <v>6</v>
      </c>
      <c r="S405" s="49" t="s">
        <v>6</v>
      </c>
      <c r="T405" s="50" t="s">
        <v>68</v>
      </c>
      <c r="U405" s="51">
        <v>26</v>
      </c>
      <c r="V405" s="52">
        <f t="shared" si="15"/>
        <v>26.400000000000002</v>
      </c>
      <c r="W405" s="53">
        <f>IFERROR(IF(V405=0,"",ROUNDUP(V405/H405,0)*0.01196),"")</f>
        <v>5.9799999999999999E-2</v>
      </c>
      <c r="X405" s="54" t="s">
        <v>6</v>
      </c>
      <c r="Y405" s="55" t="s">
        <v>6</v>
      </c>
      <c r="AC405" s="56" t="s">
        <v>1</v>
      </c>
    </row>
    <row r="406" spans="1:29" ht="27" customHeight="1" x14ac:dyDescent="0.25">
      <c r="A406" s="44" t="s">
        <v>615</v>
      </c>
      <c r="B406" s="44" t="s">
        <v>616</v>
      </c>
      <c r="C406" s="45">
        <v>4301031214</v>
      </c>
      <c r="D406" s="95">
        <v>4680115882072</v>
      </c>
      <c r="E406" s="95"/>
      <c r="F406" s="46">
        <v>0.6</v>
      </c>
      <c r="G406" s="47">
        <v>6</v>
      </c>
      <c r="H406" s="46">
        <v>3.6</v>
      </c>
      <c r="I406" s="46">
        <v>3.84</v>
      </c>
      <c r="J406" s="47">
        <v>120</v>
      </c>
      <c r="K406" s="48" t="s">
        <v>105</v>
      </c>
      <c r="L406" s="47">
        <v>55</v>
      </c>
      <c r="M406" s="96" t="s">
        <v>617</v>
      </c>
      <c r="N406" s="97"/>
      <c r="O406" s="97"/>
      <c r="P406" s="97"/>
      <c r="Q406" s="98"/>
      <c r="R406" s="49" t="s">
        <v>6</v>
      </c>
      <c r="S406" s="49" t="s">
        <v>6</v>
      </c>
      <c r="T406" s="50" t="s">
        <v>68</v>
      </c>
      <c r="U406" s="51">
        <v>0</v>
      </c>
      <c r="V406" s="52">
        <f t="shared" si="15"/>
        <v>0</v>
      </c>
      <c r="W406" s="53" t="str">
        <f>IFERROR(IF(V406=0,"",ROUNDUP(V406/H406,0)*0.00937),"")</f>
        <v/>
      </c>
      <c r="X406" s="54" t="s">
        <v>6</v>
      </c>
      <c r="Y406" s="55" t="s">
        <v>6</v>
      </c>
      <c r="AC406" s="56" t="s">
        <v>1</v>
      </c>
    </row>
    <row r="407" spans="1:29" ht="27" customHeight="1" x14ac:dyDescent="0.25">
      <c r="A407" s="44" t="s">
        <v>618</v>
      </c>
      <c r="B407" s="44" t="s">
        <v>619</v>
      </c>
      <c r="C407" s="45">
        <v>4301031217</v>
      </c>
      <c r="D407" s="95">
        <v>4680115882102</v>
      </c>
      <c r="E407" s="95"/>
      <c r="F407" s="46">
        <v>0.6</v>
      </c>
      <c r="G407" s="47">
        <v>6</v>
      </c>
      <c r="H407" s="46">
        <v>3.6</v>
      </c>
      <c r="I407" s="46">
        <v>3.81</v>
      </c>
      <c r="J407" s="47">
        <v>120</v>
      </c>
      <c r="K407" s="48" t="s">
        <v>66</v>
      </c>
      <c r="L407" s="47">
        <v>55</v>
      </c>
      <c r="M407" s="96" t="s">
        <v>620</v>
      </c>
      <c r="N407" s="97"/>
      <c r="O407" s="97"/>
      <c r="P407" s="97"/>
      <c r="Q407" s="98"/>
      <c r="R407" s="49" t="s">
        <v>6</v>
      </c>
      <c r="S407" s="49" t="s">
        <v>6</v>
      </c>
      <c r="T407" s="50" t="s">
        <v>68</v>
      </c>
      <c r="U407" s="51">
        <v>21</v>
      </c>
      <c r="V407" s="52">
        <f t="shared" si="15"/>
        <v>21.6</v>
      </c>
      <c r="W407" s="53">
        <f>IFERROR(IF(V407=0,"",ROUNDUP(V407/H407,0)*0.00937),"")</f>
        <v>5.6219999999999999E-2</v>
      </c>
      <c r="X407" s="54" t="s">
        <v>6</v>
      </c>
      <c r="Y407" s="55" t="s">
        <v>6</v>
      </c>
      <c r="AC407" s="56" t="s">
        <v>1</v>
      </c>
    </row>
    <row r="408" spans="1:29" ht="27" customHeight="1" x14ac:dyDescent="0.25">
      <c r="A408" s="44" t="s">
        <v>621</v>
      </c>
      <c r="B408" s="44" t="s">
        <v>622</v>
      </c>
      <c r="C408" s="45">
        <v>4301031216</v>
      </c>
      <c r="D408" s="95">
        <v>4680115882096</v>
      </c>
      <c r="E408" s="95"/>
      <c r="F408" s="46">
        <v>0.6</v>
      </c>
      <c r="G408" s="47">
        <v>6</v>
      </c>
      <c r="H408" s="46">
        <v>3.6</v>
      </c>
      <c r="I408" s="46">
        <v>3.81</v>
      </c>
      <c r="J408" s="47">
        <v>120</v>
      </c>
      <c r="K408" s="48" t="s">
        <v>66</v>
      </c>
      <c r="L408" s="47">
        <v>55</v>
      </c>
      <c r="M408" s="96" t="s">
        <v>623</v>
      </c>
      <c r="N408" s="97"/>
      <c r="O408" s="97"/>
      <c r="P408" s="97"/>
      <c r="Q408" s="98"/>
      <c r="R408" s="49" t="s">
        <v>6</v>
      </c>
      <c r="S408" s="49" t="s">
        <v>6</v>
      </c>
      <c r="T408" s="50" t="s">
        <v>68</v>
      </c>
      <c r="U408" s="51">
        <v>26</v>
      </c>
      <c r="V408" s="52">
        <f t="shared" si="15"/>
        <v>28.8</v>
      </c>
      <c r="W408" s="53">
        <f>IFERROR(IF(V408=0,"",ROUNDUP(V408/H408,0)*0.00937),"")</f>
        <v>7.4959999999999999E-2</v>
      </c>
      <c r="X408" s="54" t="s">
        <v>6</v>
      </c>
      <c r="Y408" s="55" t="s">
        <v>6</v>
      </c>
      <c r="AC408" s="56" t="s">
        <v>1</v>
      </c>
    </row>
    <row r="409" spans="1:29" x14ac:dyDescent="0.25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6"/>
      <c r="M409" s="87" t="s">
        <v>69</v>
      </c>
      <c r="N409" s="88"/>
      <c r="O409" s="88"/>
      <c r="P409" s="88"/>
      <c r="Q409" s="88"/>
      <c r="R409" s="88"/>
      <c r="S409" s="89"/>
      <c r="T409" s="57" t="s">
        <v>70</v>
      </c>
      <c r="U409" s="58">
        <f>IFERROR(U403/H403,"0")+IFERROR(U404/H404,"0")+IFERROR(U405/H405,"0")+IFERROR(U406/H406,"0")+IFERROR(U407/H407,"0")+IFERROR(U408/H408,"0")</f>
        <v>17.979797979797979</v>
      </c>
      <c r="V409" s="58">
        <f>IFERROR(V403/H403,"0")+IFERROR(V404/H404,"0")+IFERROR(V405/H405,"0")+IFERROR(V406/H406,"0")+IFERROR(V407/H407,"0")+IFERROR(V408/H408,"0")</f>
        <v>19</v>
      </c>
      <c r="W409" s="58">
        <f>IFERROR(IF(W403="",0,W403),"0")+IFERROR(IF(W404="",0,W404),"0")+IFERROR(IF(W405="",0,W405),"0")+IFERROR(IF(W406="",0,W406),"0")+IFERROR(IF(W407="",0,W407),"0")+IFERROR(IF(W408="",0,W408),"0")</f>
        <v>0.19097999999999998</v>
      </c>
      <c r="X409" s="59"/>
      <c r="Y409" s="59"/>
    </row>
    <row r="410" spans="1:29" x14ac:dyDescent="0.25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6"/>
      <c r="M410" s="87" t="s">
        <v>69</v>
      </c>
      <c r="N410" s="88"/>
      <c r="O410" s="88"/>
      <c r="P410" s="88"/>
      <c r="Q410" s="88"/>
      <c r="R410" s="88"/>
      <c r="S410" s="89"/>
      <c r="T410" s="57" t="s">
        <v>68</v>
      </c>
      <c r="U410" s="58">
        <f>IFERROR(SUM(U403:U408),"0")</f>
        <v>73</v>
      </c>
      <c r="V410" s="58">
        <f>IFERROR(SUM(V403:V408),"0")</f>
        <v>76.8</v>
      </c>
      <c r="W410" s="57"/>
      <c r="X410" s="59"/>
      <c r="Y410" s="59"/>
    </row>
    <row r="411" spans="1:29" ht="14.25" customHeight="1" x14ac:dyDescent="0.25">
      <c r="A411" s="94" t="s">
        <v>71</v>
      </c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43"/>
      <c r="Y411" s="43"/>
    </row>
    <row r="412" spans="1:29" ht="16.5" customHeight="1" x14ac:dyDescent="0.25">
      <c r="A412" s="44" t="s">
        <v>624</v>
      </c>
      <c r="B412" s="44" t="s">
        <v>625</v>
      </c>
      <c r="C412" s="45">
        <v>4301051230</v>
      </c>
      <c r="D412" s="95">
        <v>4607091383409</v>
      </c>
      <c r="E412" s="95"/>
      <c r="F412" s="46">
        <v>1.3</v>
      </c>
      <c r="G412" s="47">
        <v>6</v>
      </c>
      <c r="H412" s="46">
        <v>7.8</v>
      </c>
      <c r="I412" s="46">
        <v>8.3460000000000001</v>
      </c>
      <c r="J412" s="47">
        <v>56</v>
      </c>
      <c r="K412" s="48" t="s">
        <v>66</v>
      </c>
      <c r="L412" s="47">
        <v>45</v>
      </c>
      <c r="M412" s="1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2" s="97"/>
      <c r="O412" s="97"/>
      <c r="P412" s="97"/>
      <c r="Q412" s="98"/>
      <c r="R412" s="49" t="s">
        <v>6</v>
      </c>
      <c r="S412" s="49" t="s">
        <v>6</v>
      </c>
      <c r="T412" s="50" t="s">
        <v>68</v>
      </c>
      <c r="U412" s="51">
        <v>0</v>
      </c>
      <c r="V412" s="52">
        <f>IFERROR(IF(U412="",0,CEILING((U412/$H412),1)*$H412),"")</f>
        <v>0</v>
      </c>
      <c r="W412" s="53" t="str">
        <f>IFERROR(IF(V412=0,"",ROUNDUP(V412/H412,0)*0.02175),"")</f>
        <v/>
      </c>
      <c r="X412" s="54" t="s">
        <v>6</v>
      </c>
      <c r="Y412" s="55" t="s">
        <v>6</v>
      </c>
      <c r="AC412" s="56" t="s">
        <v>1</v>
      </c>
    </row>
    <row r="413" spans="1:29" ht="16.5" customHeight="1" x14ac:dyDescent="0.25">
      <c r="A413" s="44" t="s">
        <v>626</v>
      </c>
      <c r="B413" s="44" t="s">
        <v>627</v>
      </c>
      <c r="C413" s="45">
        <v>4301051231</v>
      </c>
      <c r="D413" s="95">
        <v>4607091383416</v>
      </c>
      <c r="E413" s="95"/>
      <c r="F413" s="46">
        <v>1.3</v>
      </c>
      <c r="G413" s="47">
        <v>6</v>
      </c>
      <c r="H413" s="46">
        <v>7.8</v>
      </c>
      <c r="I413" s="46">
        <v>8.3460000000000001</v>
      </c>
      <c r="J413" s="47">
        <v>56</v>
      </c>
      <c r="K413" s="48" t="s">
        <v>66</v>
      </c>
      <c r="L413" s="47">
        <v>45</v>
      </c>
      <c r="M413" s="1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3" s="97"/>
      <c r="O413" s="97"/>
      <c r="P413" s="97"/>
      <c r="Q413" s="98"/>
      <c r="R413" s="49" t="s">
        <v>6</v>
      </c>
      <c r="S413" s="49" t="s">
        <v>6</v>
      </c>
      <c r="T413" s="50" t="s">
        <v>68</v>
      </c>
      <c r="U413" s="51">
        <v>0</v>
      </c>
      <c r="V413" s="52">
        <f>IFERROR(IF(U413="",0,CEILING((U413/$H413),1)*$H413),"")</f>
        <v>0</v>
      </c>
      <c r="W413" s="53" t="str">
        <f>IFERROR(IF(V413=0,"",ROUNDUP(V413/H413,0)*0.02175),"")</f>
        <v/>
      </c>
      <c r="X413" s="54" t="s">
        <v>6</v>
      </c>
      <c r="Y413" s="55" t="s">
        <v>6</v>
      </c>
      <c r="AC413" s="56" t="s">
        <v>1</v>
      </c>
    </row>
    <row r="414" spans="1:29" x14ac:dyDescent="0.25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6"/>
      <c r="M414" s="87" t="s">
        <v>69</v>
      </c>
      <c r="N414" s="88"/>
      <c r="O414" s="88"/>
      <c r="P414" s="88"/>
      <c r="Q414" s="88"/>
      <c r="R414" s="88"/>
      <c r="S414" s="89"/>
      <c r="T414" s="57" t="s">
        <v>70</v>
      </c>
      <c r="U414" s="58">
        <f>IFERROR(U412/H412,"0")+IFERROR(U413/H413,"0")</f>
        <v>0</v>
      </c>
      <c r="V414" s="58">
        <f>IFERROR(V412/H412,"0")+IFERROR(V413/H413,"0")</f>
        <v>0</v>
      </c>
      <c r="W414" s="58">
        <f>IFERROR(IF(W412="",0,W412),"0")+IFERROR(IF(W413="",0,W413),"0")</f>
        <v>0</v>
      </c>
      <c r="X414" s="59"/>
      <c r="Y414" s="59"/>
    </row>
    <row r="415" spans="1:29" x14ac:dyDescent="0.2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6"/>
      <c r="M415" s="87" t="s">
        <v>69</v>
      </c>
      <c r="N415" s="88"/>
      <c r="O415" s="88"/>
      <c r="P415" s="88"/>
      <c r="Q415" s="88"/>
      <c r="R415" s="88"/>
      <c r="S415" s="89"/>
      <c r="T415" s="57" t="s">
        <v>68</v>
      </c>
      <c r="U415" s="58">
        <f>IFERROR(SUM(U412:U413),"0")</f>
        <v>0</v>
      </c>
      <c r="V415" s="58">
        <f>IFERROR(SUM(V412:V413),"0")</f>
        <v>0</v>
      </c>
      <c r="W415" s="57"/>
      <c r="X415" s="59"/>
      <c r="Y415" s="59"/>
    </row>
    <row r="416" spans="1:29" ht="27.75" customHeight="1" x14ac:dyDescent="0.25">
      <c r="A416" s="101" t="s">
        <v>628</v>
      </c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41"/>
      <c r="Y416" s="41"/>
    </row>
    <row r="417" spans="1:29" ht="16.5" customHeight="1" x14ac:dyDescent="0.25">
      <c r="A417" s="99" t="s">
        <v>629</v>
      </c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42"/>
      <c r="Y417" s="42"/>
    </row>
    <row r="418" spans="1:29" ht="14.25" customHeight="1" x14ac:dyDescent="0.25">
      <c r="A418" s="94" t="s">
        <v>107</v>
      </c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43"/>
      <c r="Y418" s="43"/>
    </row>
    <row r="419" spans="1:29" ht="27" customHeight="1" x14ac:dyDescent="0.25">
      <c r="A419" s="44" t="s">
        <v>630</v>
      </c>
      <c r="B419" s="44" t="s">
        <v>631</v>
      </c>
      <c r="C419" s="45">
        <v>4301011434</v>
      </c>
      <c r="D419" s="95">
        <v>4680115881099</v>
      </c>
      <c r="E419" s="95"/>
      <c r="F419" s="46">
        <v>1.5</v>
      </c>
      <c r="G419" s="47">
        <v>8</v>
      </c>
      <c r="H419" s="46">
        <v>12</v>
      </c>
      <c r="I419" s="46">
        <v>12.48</v>
      </c>
      <c r="J419" s="47">
        <v>56</v>
      </c>
      <c r="K419" s="48" t="s">
        <v>105</v>
      </c>
      <c r="L419" s="47">
        <v>50</v>
      </c>
      <c r="M419" s="96" t="s">
        <v>632</v>
      </c>
      <c r="N419" s="97"/>
      <c r="O419" s="97"/>
      <c r="P419" s="97"/>
      <c r="Q419" s="98"/>
      <c r="R419" s="49" t="s">
        <v>6</v>
      </c>
      <c r="S419" s="49" t="s">
        <v>6</v>
      </c>
      <c r="T419" s="50" t="s">
        <v>68</v>
      </c>
      <c r="U419" s="51">
        <v>0</v>
      </c>
      <c r="V419" s="52">
        <f>IFERROR(IF(U419="",0,CEILING((U419/$H419),1)*$H419),"")</f>
        <v>0</v>
      </c>
      <c r="W419" s="53" t="str">
        <f>IFERROR(IF(V419=0,"",ROUNDUP(V419/H419,0)*0.02175),"")</f>
        <v/>
      </c>
      <c r="X419" s="54" t="s">
        <v>6</v>
      </c>
      <c r="Y419" s="55" t="s">
        <v>6</v>
      </c>
      <c r="AC419" s="56" t="s">
        <v>1</v>
      </c>
    </row>
    <row r="420" spans="1:29" ht="27" customHeight="1" x14ac:dyDescent="0.25">
      <c r="A420" s="44" t="s">
        <v>633</v>
      </c>
      <c r="B420" s="44" t="s">
        <v>634</v>
      </c>
      <c r="C420" s="45">
        <v>4301011435</v>
      </c>
      <c r="D420" s="95">
        <v>4680115881150</v>
      </c>
      <c r="E420" s="95"/>
      <c r="F420" s="46">
        <v>1.5</v>
      </c>
      <c r="G420" s="47">
        <v>8</v>
      </c>
      <c r="H420" s="46">
        <v>12</v>
      </c>
      <c r="I420" s="46">
        <v>12.48</v>
      </c>
      <c r="J420" s="47">
        <v>56</v>
      </c>
      <c r="K420" s="48" t="s">
        <v>105</v>
      </c>
      <c r="L420" s="47">
        <v>50</v>
      </c>
      <c r="M420" s="96" t="s">
        <v>635</v>
      </c>
      <c r="N420" s="97"/>
      <c r="O420" s="97"/>
      <c r="P420" s="97"/>
      <c r="Q420" s="98"/>
      <c r="R420" s="49" t="s">
        <v>6</v>
      </c>
      <c r="S420" s="49" t="s">
        <v>6</v>
      </c>
      <c r="T420" s="50" t="s">
        <v>68</v>
      </c>
      <c r="U420" s="51">
        <v>0</v>
      </c>
      <c r="V420" s="52">
        <f>IFERROR(IF(U420="",0,CEILING((U420/$H420),1)*$H420),"")</f>
        <v>0</v>
      </c>
      <c r="W420" s="53" t="str">
        <f>IFERROR(IF(V420=0,"",ROUNDUP(V420/H420,0)*0.02175),"")</f>
        <v/>
      </c>
      <c r="X420" s="54" t="s">
        <v>6</v>
      </c>
      <c r="Y420" s="55" t="s">
        <v>6</v>
      </c>
      <c r="AC420" s="56" t="s">
        <v>1</v>
      </c>
    </row>
    <row r="421" spans="1:29" x14ac:dyDescent="0.25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6"/>
      <c r="M421" s="87" t="s">
        <v>69</v>
      </c>
      <c r="N421" s="88"/>
      <c r="O421" s="88"/>
      <c r="P421" s="88"/>
      <c r="Q421" s="88"/>
      <c r="R421" s="88"/>
      <c r="S421" s="89"/>
      <c r="T421" s="57" t="s">
        <v>70</v>
      </c>
      <c r="U421" s="58">
        <f>IFERROR(U419/H419,"0")+IFERROR(U420/H420,"0")</f>
        <v>0</v>
      </c>
      <c r="V421" s="58">
        <f>IFERROR(V419/H419,"0")+IFERROR(V420/H420,"0")</f>
        <v>0</v>
      </c>
      <c r="W421" s="58">
        <f>IFERROR(IF(W419="",0,W419),"0")+IFERROR(IF(W420="",0,W420),"0")</f>
        <v>0</v>
      </c>
      <c r="X421" s="59"/>
      <c r="Y421" s="59"/>
    </row>
    <row r="422" spans="1:29" x14ac:dyDescent="0.25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6"/>
      <c r="M422" s="87" t="s">
        <v>69</v>
      </c>
      <c r="N422" s="88"/>
      <c r="O422" s="88"/>
      <c r="P422" s="88"/>
      <c r="Q422" s="88"/>
      <c r="R422" s="88"/>
      <c r="S422" s="89"/>
      <c r="T422" s="57" t="s">
        <v>68</v>
      </c>
      <c r="U422" s="58">
        <f>IFERROR(SUM(U419:U420),"0")</f>
        <v>0</v>
      </c>
      <c r="V422" s="58">
        <f>IFERROR(SUM(V419:V420),"0")</f>
        <v>0</v>
      </c>
      <c r="W422" s="57"/>
      <c r="X422" s="59"/>
      <c r="Y422" s="59"/>
    </row>
    <row r="423" spans="1:29" ht="14.25" customHeight="1" x14ac:dyDescent="0.25">
      <c r="A423" s="94" t="s">
        <v>102</v>
      </c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43"/>
      <c r="Y423" s="43"/>
    </row>
    <row r="424" spans="1:29" ht="16.5" customHeight="1" x14ac:dyDescent="0.25">
      <c r="A424" s="44" t="s">
        <v>636</v>
      </c>
      <c r="B424" s="44" t="s">
        <v>637</v>
      </c>
      <c r="C424" s="45">
        <v>4301020230</v>
      </c>
      <c r="D424" s="95">
        <v>4680115881112</v>
      </c>
      <c r="E424" s="95"/>
      <c r="F424" s="46">
        <v>1.35</v>
      </c>
      <c r="G424" s="47">
        <v>8</v>
      </c>
      <c r="H424" s="46">
        <v>10.8</v>
      </c>
      <c r="I424" s="46">
        <v>11.28</v>
      </c>
      <c r="J424" s="47">
        <v>56</v>
      </c>
      <c r="K424" s="48" t="s">
        <v>105</v>
      </c>
      <c r="L424" s="47">
        <v>50</v>
      </c>
      <c r="M424" s="96" t="s">
        <v>638</v>
      </c>
      <c r="N424" s="97"/>
      <c r="O424" s="97"/>
      <c r="P424" s="97"/>
      <c r="Q424" s="98"/>
      <c r="R424" s="49" t="s">
        <v>6</v>
      </c>
      <c r="S424" s="49" t="s">
        <v>6</v>
      </c>
      <c r="T424" s="50" t="s">
        <v>68</v>
      </c>
      <c r="U424" s="51">
        <v>0</v>
      </c>
      <c r="V424" s="52">
        <f>IFERROR(IF(U424="",0,CEILING((U424/$H424),1)*$H424),"")</f>
        <v>0</v>
      </c>
      <c r="W424" s="53" t="str">
        <f>IFERROR(IF(V424=0,"",ROUNDUP(V424/H424,0)*0.02175),"")</f>
        <v/>
      </c>
      <c r="X424" s="54" t="s">
        <v>6</v>
      </c>
      <c r="Y424" s="55" t="s">
        <v>6</v>
      </c>
      <c r="AC424" s="56" t="s">
        <v>1</v>
      </c>
    </row>
    <row r="425" spans="1:29" ht="27" customHeight="1" x14ac:dyDescent="0.25">
      <c r="A425" s="44" t="s">
        <v>639</v>
      </c>
      <c r="B425" s="44" t="s">
        <v>640</v>
      </c>
      <c r="C425" s="45">
        <v>4301020231</v>
      </c>
      <c r="D425" s="95">
        <v>4680115881129</v>
      </c>
      <c r="E425" s="95"/>
      <c r="F425" s="46">
        <v>1.8</v>
      </c>
      <c r="G425" s="47">
        <v>6</v>
      </c>
      <c r="H425" s="46">
        <v>10.8</v>
      </c>
      <c r="I425" s="46">
        <v>11.28</v>
      </c>
      <c r="J425" s="47">
        <v>56</v>
      </c>
      <c r="K425" s="48" t="s">
        <v>105</v>
      </c>
      <c r="L425" s="47">
        <v>50</v>
      </c>
      <c r="M425" s="96" t="s">
        <v>641</v>
      </c>
      <c r="N425" s="97"/>
      <c r="O425" s="97"/>
      <c r="P425" s="97"/>
      <c r="Q425" s="98"/>
      <c r="R425" s="49" t="s">
        <v>6</v>
      </c>
      <c r="S425" s="49" t="s">
        <v>6</v>
      </c>
      <c r="T425" s="50" t="s">
        <v>68</v>
      </c>
      <c r="U425" s="51">
        <v>0</v>
      </c>
      <c r="V425" s="52">
        <f>IFERROR(IF(U425="",0,CEILING((U425/$H425),1)*$H425),"")</f>
        <v>0</v>
      </c>
      <c r="W425" s="53" t="str">
        <f>IFERROR(IF(V425=0,"",ROUNDUP(V425/H425,0)*0.02175),"")</f>
        <v/>
      </c>
      <c r="X425" s="54" t="s">
        <v>6</v>
      </c>
      <c r="Y425" s="55" t="s">
        <v>6</v>
      </c>
      <c r="AC425" s="56" t="s">
        <v>1</v>
      </c>
    </row>
    <row r="426" spans="1:29" x14ac:dyDescent="0.25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6"/>
      <c r="M426" s="87" t="s">
        <v>69</v>
      </c>
      <c r="N426" s="88"/>
      <c r="O426" s="88"/>
      <c r="P426" s="88"/>
      <c r="Q426" s="88"/>
      <c r="R426" s="88"/>
      <c r="S426" s="89"/>
      <c r="T426" s="57" t="s">
        <v>70</v>
      </c>
      <c r="U426" s="58">
        <f>IFERROR(U424/H424,"0")+IFERROR(U425/H425,"0")</f>
        <v>0</v>
      </c>
      <c r="V426" s="58">
        <f>IFERROR(V424/H424,"0")+IFERROR(V425/H425,"0")</f>
        <v>0</v>
      </c>
      <c r="W426" s="58">
        <f>IFERROR(IF(W424="",0,W424),"0")+IFERROR(IF(W425="",0,W425),"0")</f>
        <v>0</v>
      </c>
      <c r="X426" s="59"/>
      <c r="Y426" s="59"/>
    </row>
    <row r="427" spans="1:29" x14ac:dyDescent="0.25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6"/>
      <c r="M427" s="87" t="s">
        <v>69</v>
      </c>
      <c r="N427" s="88"/>
      <c r="O427" s="88"/>
      <c r="P427" s="88"/>
      <c r="Q427" s="88"/>
      <c r="R427" s="88"/>
      <c r="S427" s="89"/>
      <c r="T427" s="57" t="s">
        <v>68</v>
      </c>
      <c r="U427" s="58">
        <f>IFERROR(SUM(U424:U425),"0")</f>
        <v>0</v>
      </c>
      <c r="V427" s="58">
        <f>IFERROR(SUM(V424:V425),"0")</f>
        <v>0</v>
      </c>
      <c r="W427" s="57"/>
      <c r="X427" s="59"/>
      <c r="Y427" s="59"/>
    </row>
    <row r="428" spans="1:29" ht="14.25" customHeight="1" x14ac:dyDescent="0.25">
      <c r="A428" s="94" t="s">
        <v>63</v>
      </c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43"/>
      <c r="Y428" s="43"/>
    </row>
    <row r="429" spans="1:29" ht="27" customHeight="1" x14ac:dyDescent="0.25">
      <c r="A429" s="44" t="s">
        <v>642</v>
      </c>
      <c r="B429" s="44" t="s">
        <v>643</v>
      </c>
      <c r="C429" s="45">
        <v>4301031192</v>
      </c>
      <c r="D429" s="95">
        <v>4680115881167</v>
      </c>
      <c r="E429" s="95"/>
      <c r="F429" s="46">
        <v>0.63</v>
      </c>
      <c r="G429" s="47">
        <v>6</v>
      </c>
      <c r="H429" s="46">
        <v>3.78</v>
      </c>
      <c r="I429" s="46">
        <v>4.04</v>
      </c>
      <c r="J429" s="47">
        <v>156</v>
      </c>
      <c r="K429" s="48" t="s">
        <v>66</v>
      </c>
      <c r="L429" s="47">
        <v>40</v>
      </c>
      <c r="M429" s="96" t="s">
        <v>644</v>
      </c>
      <c r="N429" s="97"/>
      <c r="O429" s="97"/>
      <c r="P429" s="97"/>
      <c r="Q429" s="98"/>
      <c r="R429" s="49" t="s">
        <v>6</v>
      </c>
      <c r="S429" s="49" t="s">
        <v>6</v>
      </c>
      <c r="T429" s="50" t="s">
        <v>68</v>
      </c>
      <c r="U429" s="51">
        <v>0</v>
      </c>
      <c r="V429" s="52">
        <f>IFERROR(IF(U429="",0,CEILING((U429/$H429),1)*$H429),"")</f>
        <v>0</v>
      </c>
      <c r="W429" s="53" t="str">
        <f>IFERROR(IF(V429=0,"",ROUNDUP(V429/H429,0)*0.00753),"")</f>
        <v/>
      </c>
      <c r="X429" s="54" t="s">
        <v>6</v>
      </c>
      <c r="Y429" s="55" t="s">
        <v>6</v>
      </c>
      <c r="AC429" s="56" t="s">
        <v>1</v>
      </c>
    </row>
    <row r="430" spans="1:29" ht="16.5" customHeight="1" x14ac:dyDescent="0.25">
      <c r="A430" s="44" t="s">
        <v>645</v>
      </c>
      <c r="B430" s="44" t="s">
        <v>646</v>
      </c>
      <c r="C430" s="45">
        <v>4301031193</v>
      </c>
      <c r="D430" s="95">
        <v>4680115881136</v>
      </c>
      <c r="E430" s="95"/>
      <c r="F430" s="46">
        <v>0.63</v>
      </c>
      <c r="G430" s="47">
        <v>6</v>
      </c>
      <c r="H430" s="46">
        <v>3.78</v>
      </c>
      <c r="I430" s="46">
        <v>4.04</v>
      </c>
      <c r="J430" s="47">
        <v>156</v>
      </c>
      <c r="K430" s="48" t="s">
        <v>66</v>
      </c>
      <c r="L430" s="47">
        <v>40</v>
      </c>
      <c r="M430" s="96" t="s">
        <v>647</v>
      </c>
      <c r="N430" s="97"/>
      <c r="O430" s="97"/>
      <c r="P430" s="97"/>
      <c r="Q430" s="98"/>
      <c r="R430" s="49" t="s">
        <v>6</v>
      </c>
      <c r="S430" s="49" t="s">
        <v>6</v>
      </c>
      <c r="T430" s="50" t="s">
        <v>68</v>
      </c>
      <c r="U430" s="51">
        <v>300</v>
      </c>
      <c r="V430" s="52">
        <f>IFERROR(IF(U430="",0,CEILING((U430/$H430),1)*$H430),"")</f>
        <v>302.39999999999998</v>
      </c>
      <c r="W430" s="53">
        <f>IFERROR(IF(V430=0,"",ROUNDUP(V430/H430,0)*0.00753),"")</f>
        <v>0.60240000000000005</v>
      </c>
      <c r="X430" s="54" t="s">
        <v>6</v>
      </c>
      <c r="Y430" s="55" t="s">
        <v>6</v>
      </c>
      <c r="AC430" s="56" t="s">
        <v>1</v>
      </c>
    </row>
    <row r="431" spans="1:29" x14ac:dyDescent="0.25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6"/>
      <c r="M431" s="87" t="s">
        <v>69</v>
      </c>
      <c r="N431" s="88"/>
      <c r="O431" s="88"/>
      <c r="P431" s="88"/>
      <c r="Q431" s="88"/>
      <c r="R431" s="88"/>
      <c r="S431" s="89"/>
      <c r="T431" s="57" t="s">
        <v>70</v>
      </c>
      <c r="U431" s="58">
        <f>IFERROR(U429/H429,"0")+IFERROR(U430/H430,"0")</f>
        <v>79.365079365079367</v>
      </c>
      <c r="V431" s="58">
        <f>IFERROR(V429/H429,"0")+IFERROR(V430/H430,"0")</f>
        <v>80</v>
      </c>
      <c r="W431" s="58">
        <f>IFERROR(IF(W429="",0,W429),"0")+IFERROR(IF(W430="",0,W430),"0")</f>
        <v>0.60240000000000005</v>
      </c>
      <c r="X431" s="59"/>
      <c r="Y431" s="59"/>
    </row>
    <row r="432" spans="1:29" x14ac:dyDescent="0.25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6"/>
      <c r="M432" s="87" t="s">
        <v>69</v>
      </c>
      <c r="N432" s="88"/>
      <c r="O432" s="88"/>
      <c r="P432" s="88"/>
      <c r="Q432" s="88"/>
      <c r="R432" s="88"/>
      <c r="S432" s="89"/>
      <c r="T432" s="57" t="s">
        <v>68</v>
      </c>
      <c r="U432" s="58">
        <f>IFERROR(SUM(U429:U430),"0")</f>
        <v>300</v>
      </c>
      <c r="V432" s="58">
        <f>IFERROR(SUM(V429:V430),"0")</f>
        <v>302.39999999999998</v>
      </c>
      <c r="W432" s="57"/>
      <c r="X432" s="59"/>
      <c r="Y432" s="59"/>
    </row>
    <row r="433" spans="1:29" ht="14.25" customHeight="1" x14ac:dyDescent="0.25">
      <c r="A433" s="94" t="s">
        <v>71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43"/>
      <c r="Y433" s="43"/>
    </row>
    <row r="434" spans="1:29" ht="27" customHeight="1" x14ac:dyDescent="0.25">
      <c r="A434" s="44" t="s">
        <v>648</v>
      </c>
      <c r="B434" s="44" t="s">
        <v>649</v>
      </c>
      <c r="C434" s="45">
        <v>4301051383</v>
      </c>
      <c r="D434" s="95">
        <v>4680115881143</v>
      </c>
      <c r="E434" s="95"/>
      <c r="F434" s="46">
        <v>1.3</v>
      </c>
      <c r="G434" s="47">
        <v>6</v>
      </c>
      <c r="H434" s="46">
        <v>7.8</v>
      </c>
      <c r="I434" s="46">
        <v>8.3640000000000008</v>
      </c>
      <c r="J434" s="47">
        <v>56</v>
      </c>
      <c r="K434" s="48" t="s">
        <v>66</v>
      </c>
      <c r="L434" s="47">
        <v>40</v>
      </c>
      <c r="M434" s="96" t="s">
        <v>650</v>
      </c>
      <c r="N434" s="97"/>
      <c r="O434" s="97"/>
      <c r="P434" s="97"/>
      <c r="Q434" s="98"/>
      <c r="R434" s="49" t="s">
        <v>6</v>
      </c>
      <c r="S434" s="49" t="s">
        <v>6</v>
      </c>
      <c r="T434" s="50" t="s">
        <v>68</v>
      </c>
      <c r="U434" s="51">
        <v>0</v>
      </c>
      <c r="V434" s="52">
        <f>IFERROR(IF(U434="",0,CEILING((U434/$H434),1)*$H434),"")</f>
        <v>0</v>
      </c>
      <c r="W434" s="53" t="str">
        <f>IFERROR(IF(V434=0,"",ROUNDUP(V434/H434,0)*0.02175),"")</f>
        <v/>
      </c>
      <c r="X434" s="54" t="s">
        <v>6</v>
      </c>
      <c r="Y434" s="55" t="s">
        <v>6</v>
      </c>
      <c r="AC434" s="56" t="s">
        <v>1</v>
      </c>
    </row>
    <row r="435" spans="1:29" ht="27" customHeight="1" x14ac:dyDescent="0.25">
      <c r="A435" s="44" t="s">
        <v>651</v>
      </c>
      <c r="B435" s="44" t="s">
        <v>652</v>
      </c>
      <c r="C435" s="45">
        <v>4301051381</v>
      </c>
      <c r="D435" s="95">
        <v>4680115881068</v>
      </c>
      <c r="E435" s="95"/>
      <c r="F435" s="46">
        <v>1.3</v>
      </c>
      <c r="G435" s="47">
        <v>6</v>
      </c>
      <c r="H435" s="46">
        <v>7.8</v>
      </c>
      <c r="I435" s="46">
        <v>8.2799999999999994</v>
      </c>
      <c r="J435" s="47">
        <v>56</v>
      </c>
      <c r="K435" s="48" t="s">
        <v>66</v>
      </c>
      <c r="L435" s="47">
        <v>30</v>
      </c>
      <c r="M435" s="96" t="s">
        <v>653</v>
      </c>
      <c r="N435" s="97"/>
      <c r="O435" s="97"/>
      <c r="P435" s="97"/>
      <c r="Q435" s="98"/>
      <c r="R435" s="49" t="s">
        <v>6</v>
      </c>
      <c r="S435" s="49" t="s">
        <v>6</v>
      </c>
      <c r="T435" s="50" t="s">
        <v>68</v>
      </c>
      <c r="U435" s="51">
        <v>0</v>
      </c>
      <c r="V435" s="52">
        <f>IFERROR(IF(U435="",0,CEILING((U435/$H435),1)*$H435),"")</f>
        <v>0</v>
      </c>
      <c r="W435" s="53" t="str">
        <f>IFERROR(IF(V435=0,"",ROUNDUP(V435/H435,0)*0.02175),"")</f>
        <v/>
      </c>
      <c r="X435" s="54" t="s">
        <v>6</v>
      </c>
      <c r="Y435" s="55" t="s">
        <v>6</v>
      </c>
      <c r="AC435" s="56" t="s">
        <v>1</v>
      </c>
    </row>
    <row r="436" spans="1:29" ht="27" customHeight="1" x14ac:dyDescent="0.25">
      <c r="A436" s="44" t="s">
        <v>654</v>
      </c>
      <c r="B436" s="44" t="s">
        <v>655</v>
      </c>
      <c r="C436" s="45">
        <v>4301051382</v>
      </c>
      <c r="D436" s="95">
        <v>4680115881075</v>
      </c>
      <c r="E436" s="95"/>
      <c r="F436" s="46">
        <v>0.5</v>
      </c>
      <c r="G436" s="47">
        <v>6</v>
      </c>
      <c r="H436" s="46">
        <v>3</v>
      </c>
      <c r="I436" s="46">
        <v>3.2</v>
      </c>
      <c r="J436" s="47">
        <v>156</v>
      </c>
      <c r="K436" s="48" t="s">
        <v>66</v>
      </c>
      <c r="L436" s="47">
        <v>30</v>
      </c>
      <c r="M436" s="96" t="s">
        <v>656</v>
      </c>
      <c r="N436" s="97"/>
      <c r="O436" s="97"/>
      <c r="P436" s="97"/>
      <c r="Q436" s="98"/>
      <c r="R436" s="49" t="s">
        <v>6</v>
      </c>
      <c r="S436" s="49" t="s">
        <v>6</v>
      </c>
      <c r="T436" s="50" t="s">
        <v>68</v>
      </c>
      <c r="U436" s="51">
        <v>0</v>
      </c>
      <c r="V436" s="52">
        <f>IFERROR(IF(U436="",0,CEILING((U436/$H436),1)*$H436),"")</f>
        <v>0</v>
      </c>
      <c r="W436" s="53" t="str">
        <f>IFERROR(IF(V436=0,"",ROUNDUP(V436/H436,0)*0.00753),"")</f>
        <v/>
      </c>
      <c r="X436" s="54" t="s">
        <v>6</v>
      </c>
      <c r="Y436" s="55" t="s">
        <v>6</v>
      </c>
      <c r="AC436" s="56" t="s">
        <v>1</v>
      </c>
    </row>
    <row r="437" spans="1:29" x14ac:dyDescent="0.25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6"/>
      <c r="M437" s="87" t="s">
        <v>69</v>
      </c>
      <c r="N437" s="88"/>
      <c r="O437" s="88"/>
      <c r="P437" s="88"/>
      <c r="Q437" s="88"/>
      <c r="R437" s="88"/>
      <c r="S437" s="89"/>
      <c r="T437" s="57" t="s">
        <v>70</v>
      </c>
      <c r="U437" s="58">
        <f>IFERROR(U434/H434,"0")+IFERROR(U435/H435,"0")+IFERROR(U436/H436,"0")</f>
        <v>0</v>
      </c>
      <c r="V437" s="58">
        <f>IFERROR(V434/H434,"0")+IFERROR(V435/H435,"0")+IFERROR(V436/H436,"0")</f>
        <v>0</v>
      </c>
      <c r="W437" s="58">
        <f>IFERROR(IF(W434="",0,W434),"0")+IFERROR(IF(W435="",0,W435),"0")+IFERROR(IF(W436="",0,W436),"0")</f>
        <v>0</v>
      </c>
      <c r="X437" s="59"/>
      <c r="Y437" s="59"/>
    </row>
    <row r="438" spans="1:29" x14ac:dyDescent="0.25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6"/>
      <c r="M438" s="87" t="s">
        <v>69</v>
      </c>
      <c r="N438" s="88"/>
      <c r="O438" s="88"/>
      <c r="P438" s="88"/>
      <c r="Q438" s="88"/>
      <c r="R438" s="88"/>
      <c r="S438" s="89"/>
      <c r="T438" s="57" t="s">
        <v>68</v>
      </c>
      <c r="U438" s="58">
        <f>IFERROR(SUM(U434:U436),"0")</f>
        <v>0</v>
      </c>
      <c r="V438" s="58">
        <f>IFERROR(SUM(V434:V436),"0")</f>
        <v>0</v>
      </c>
      <c r="W438" s="57"/>
      <c r="X438" s="59"/>
      <c r="Y438" s="59"/>
    </row>
    <row r="439" spans="1:29" ht="15" customHeight="1" x14ac:dyDescent="0.25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90"/>
      <c r="M439" s="91" t="s">
        <v>657</v>
      </c>
      <c r="N439" s="92"/>
      <c r="O439" s="92"/>
      <c r="P439" s="92"/>
      <c r="Q439" s="92"/>
      <c r="R439" s="92"/>
      <c r="S439" s="93"/>
      <c r="T439" s="57" t="s">
        <v>68</v>
      </c>
      <c r="U439" s="58">
        <f>IFERROR(U24+U33+U38+U42+U46+U52+U59+U78+U87+U99+U109+U116+U124+U132+U152+U158+U177+U203+U212+U218+U225+U236+U241+U247+U253+U257+U261+U274+U279+U283+U287+U291+U299+U304+U311+U315+U322+U338+U345+U349+U355+U359+U365+U373+U377+U381+U396+U401+U410+U415+U422+U427+U432+U438,"0")</f>
        <v>18016.599999999999</v>
      </c>
      <c r="V439" s="58">
        <f>IFERROR(V24+V33+V38+V42+V46+V52+V59+V78+V87+V99+V109+V116+V124+V132+V152+V158+V177+V203+V212+V218+V225+V236+V241+V247+V253+V257+V261+V274+V279+V283+V287+V291+V299+V304+V311+V315+V322+V338+V345+V349+V355+V359+V365+V373+V377+V381+V396+V401+V410+V415+V422+V427+V432+V438,"0")</f>
        <v>18072.039999999997</v>
      </c>
      <c r="W439" s="57"/>
      <c r="X439" s="59"/>
      <c r="Y439" s="59"/>
    </row>
    <row r="440" spans="1:29" x14ac:dyDescent="0.25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90"/>
      <c r="M440" s="91" t="s">
        <v>658</v>
      </c>
      <c r="N440" s="92"/>
      <c r="O440" s="92"/>
      <c r="P440" s="92"/>
      <c r="Q440" s="92"/>
      <c r="R440" s="92"/>
      <c r="S440" s="93"/>
      <c r="T440" s="57" t="s">
        <v>68</v>
      </c>
      <c r="U440" s="5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80*I80/H80,"0")+IFERROR(U81*I81/H81,"0")+IFERROR(U82*I82/H82,"0")+IFERROR(U83*I83/H83,"0")+IFERROR(U84*I84/H84,"0")+IFERROR(U85*I85/H85,"0")+IFERROR(U89*I89/H89,"0")+IFERROR(U90*I90/H90,"0")+IFERROR(U91*I91/H91,"0")+IFERROR(U92*I92/H92,"0")+IFERROR(U93*I93/H93,"0")+IFERROR(U94*I94/H94,"0")+IFERROR(U95*I95/H95,"0")+IFERROR(U96*I96/H96,"0")+IFERROR(U97*I97/H97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155*I155/H155,"0")+IFERROR(U156*I156/H156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351*I351/H351,"0")+IFERROR(U352*I352/H352,"0")+IFERROR(U353*I353/H353,"0")+IFERROR(U357*I357/H357,"0")+IFERROR(U362*I362/H362,"0")+IFERROR(U363*I363/H363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412*I412/H412,"0")+IFERROR(U413*I413/H413,"0")+IFERROR(U419*I419/H419,"0")+IFERROR(U420*I420/H420,"0")+IFERROR(U424*I424/H424,"0")+IFERROR(U425*I425/H425,"0")+IFERROR(U429*I429/H429,"0")+IFERROR(U430*I430/H430,"0")+IFERROR(U434*I434/H434,"0")+IFERROR(U435*I435/H435,"0")+IFERROR(U436*I436/H436,"0"),"0")</f>
        <v>19184.414546442549</v>
      </c>
      <c r="V440" s="5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155*I155/H155,"0")+IFERROR(V156*I156/H156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351*I351/H351,"0")+IFERROR(V352*I352/H352,"0")+IFERROR(V353*I353/H353,"0")+IFERROR(V357*I357/H357,"0")+IFERROR(V362*I362/H362,"0")+IFERROR(V363*I363/H363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412*I412/H412,"0")+IFERROR(V413*I413/H413,"0")+IFERROR(V419*I419/H419,"0")+IFERROR(V420*I420/H420,"0")+IFERROR(V424*I424/H424,"0")+IFERROR(V425*I425/H425,"0")+IFERROR(V429*I429/H429,"0")+IFERROR(V430*I430/H430,"0")+IFERROR(V434*I434/H434,"0")+IFERROR(V435*I435/H435,"0")+IFERROR(V436*I436/H436,"0"),"0")</f>
        <v>19243.429999999997</v>
      </c>
      <c r="W440" s="57"/>
      <c r="X440" s="59"/>
      <c r="Y440" s="59"/>
    </row>
    <row r="441" spans="1:29" x14ac:dyDescent="0.25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90"/>
      <c r="M441" s="91" t="s">
        <v>659</v>
      </c>
      <c r="N441" s="92"/>
      <c r="O441" s="92"/>
      <c r="P441" s="92"/>
      <c r="Q441" s="92"/>
      <c r="R441" s="92"/>
      <c r="S441" s="93"/>
      <c r="T441" s="57" t="s">
        <v>660</v>
      </c>
      <c r="U441" s="60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76*(U62:U76/H62:H76)),"0")+IFERROR(SUMPRODUCT(1/J80:J85*(U80:U85/H80:H85)),"0")+IFERROR(SUMPRODUCT(1/J89:J97*(U89:U97/H89:H97)),"0")+IFERROR(SUMPRODUCT(1/J101:J107*(U101:U107/H101:H107)),"0")+IFERROR(SUMPRODUCT(1/J111:J114*(U111:U114/H111:H114)),"0")+IFERROR(SUMPRODUCT(1/J119:J122*(U119:U122/H119:H122)),"0")+IFERROR(SUMPRODUCT(1/J128:J130*(U128:U130/H128:H130)),"0")+IFERROR(SUMPRODUCT(1/J135:J150*(U135:U150/H135:H150)),"0")+IFERROR(SUMPRODUCT(1/J154:J156*(U154:U156/H154:H156)),"0")+IFERROR(SUMPRODUCT(1/J160:J175*(U160:U175/H160:H175)),"0")+IFERROR(SUMPRODUCT(1/J179:J201*(U179:U201/H179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265:J272*(U265:U272/H265:H272)),"0")+IFERROR(SUMPRODUCT(1/J276:J277*(U276:U277/H276:H277)),"0")+IFERROR(SUMPRODUCT(1/J281:J281*(U281:U281/H281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336*(U324:U336/H324:H336)),"0")+IFERROR(SUMPRODUCT(1/J340:J343*(U340:U343/H340:H343)),"0")+IFERROR(SUMPRODUCT(1/J347:J347*(U347:U347/H347:H347)),"0")+IFERROR(SUMPRODUCT(1/J351:J353*(U351:U353/H351:H353)),"0")+IFERROR(SUMPRODUCT(1/J357:J357*(U357:U357/H357:H357)),"0")+IFERROR(SUMPRODUCT(1/J362:J363*(U362:U363/H362:H363)),"0")+IFERROR(SUMPRODUCT(1/J367:J371*(U367:U371/H367:H371)),"0")+IFERROR(SUMPRODUCT(1/J375:J375*(U375:U375/H375:H375)),"0")+IFERROR(SUMPRODUCT(1/J379:J379*(U379:U379/H379:H379)),"0")+IFERROR(SUMPRODUCT(1/J385:J394*(U385:U394/H385:H394)),"0")+IFERROR(SUMPRODUCT(1/J398:J399*(U398:U399/H398:H399)),"0")+IFERROR(SUMPRODUCT(1/J403:J408*(U403:U408/H403:H408)),"0")+IFERROR(SUMPRODUCT(1/J412:J413*(U412:U413/H412:H413)),"0")+IFERROR(SUMPRODUCT(1/J419:J420*(U419:U420/H419:H420)),"0")+IFERROR(SUMPRODUCT(1/J424:J425*(U424:U425/H424:H425)),"0")+IFERROR(SUMPRODUCT(1/J429:J430*(U429:U430/H429:H430)),"0")+IFERROR(SUMPRODUCT(1/J434:J436*(U434:U436/H434:H436)),"0"),0)</f>
        <v>36</v>
      </c>
      <c r="V441" s="60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76*(V62:V76/H62:H76)),"0")+IFERROR(SUMPRODUCT(1/J80:J85*(V80:V85/H80:H85)),"0")+IFERROR(SUMPRODUCT(1/J89:J97*(V89:V97/H89:H97)),"0")+IFERROR(SUMPRODUCT(1/J101:J107*(V101:V107/H101:H107)),"0")+IFERROR(SUMPRODUCT(1/J111:J114*(V111:V114/H111:H114)),"0")+IFERROR(SUMPRODUCT(1/J119:J122*(V119:V122/H119:H122)),"0")+IFERROR(SUMPRODUCT(1/J128:J130*(V128:V130/H128:H130)),"0")+IFERROR(SUMPRODUCT(1/J135:J150*(V135:V150/H135:H150)),"0")+IFERROR(SUMPRODUCT(1/J154:J156*(V154:V156/H154:H156)),"0")+IFERROR(SUMPRODUCT(1/J160:J175*(V160:V175/H160:H175)),"0")+IFERROR(SUMPRODUCT(1/J179:J201*(V179:V201/H179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265:J272*(V265:V272/H265:H272)),"0")+IFERROR(SUMPRODUCT(1/J276:J277*(V276:V277/H276:H277)),"0")+IFERROR(SUMPRODUCT(1/J281:J281*(V281:V281/H281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336*(V324:V336/H324:H336)),"0")+IFERROR(SUMPRODUCT(1/J340:J343*(V340:V343/H340:H343)),"0")+IFERROR(SUMPRODUCT(1/J347:J347*(V347:V347/H347:H347)),"0")+IFERROR(SUMPRODUCT(1/J351:J353*(V351:V353/H351:H353)),"0")+IFERROR(SUMPRODUCT(1/J357:J357*(V357:V357/H357:H357)),"0")+IFERROR(SUMPRODUCT(1/J362:J363*(V362:V363/H362:H363)),"0")+IFERROR(SUMPRODUCT(1/J367:J371*(V367:V371/H367:H371)),"0")+IFERROR(SUMPRODUCT(1/J375:J375*(V375:V375/H375:H375)),"0")+IFERROR(SUMPRODUCT(1/J379:J379*(V379:V379/H379:H379)),"0")+IFERROR(SUMPRODUCT(1/J385:J394*(V385:V394/H385:H394)),"0")+IFERROR(SUMPRODUCT(1/J398:J399*(V398:V399/H398:H399)),"0")+IFERROR(SUMPRODUCT(1/J403:J408*(V403:V408/H403:H408)),"0")+IFERROR(SUMPRODUCT(1/J412:J413*(V412:V413/H412:H413)),"0")+IFERROR(SUMPRODUCT(1/J419:J420*(V419:V420/H419:H420)),"0")+IFERROR(SUMPRODUCT(1/J424:J425*(V424:V425/H424:H425)),"0")+IFERROR(SUMPRODUCT(1/J429:J430*(V429:V430/H429:H430)),"0")+IFERROR(SUMPRODUCT(1/J434:J436*(V434:V436/H434:H436)),"0"),0)</f>
        <v>37</v>
      </c>
      <c r="W441" s="57"/>
      <c r="X441" s="59"/>
      <c r="Y441" s="59"/>
    </row>
    <row r="442" spans="1:29" x14ac:dyDescent="0.25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90"/>
      <c r="M442" s="91" t="s">
        <v>661</v>
      </c>
      <c r="N442" s="92"/>
      <c r="O442" s="92"/>
      <c r="P442" s="92"/>
      <c r="Q442" s="92"/>
      <c r="R442" s="92"/>
      <c r="S442" s="93"/>
      <c r="T442" s="57" t="s">
        <v>68</v>
      </c>
      <c r="U442" s="58">
        <f>GrossWeightTotal+PalletQtyTotal*25</f>
        <v>20084.414546442549</v>
      </c>
      <c r="V442" s="58">
        <f>GrossWeightTotalR+PalletQtyTotalR*25</f>
        <v>20168.429999999997</v>
      </c>
      <c r="W442" s="57"/>
      <c r="X442" s="59"/>
      <c r="Y442" s="59"/>
    </row>
    <row r="443" spans="1:29" x14ac:dyDescent="0.25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90"/>
      <c r="M443" s="91" t="s">
        <v>662</v>
      </c>
      <c r="N443" s="92"/>
      <c r="O443" s="92"/>
      <c r="P443" s="92"/>
      <c r="Q443" s="92"/>
      <c r="R443" s="92"/>
      <c r="S443" s="93"/>
      <c r="T443" s="57" t="s">
        <v>660</v>
      </c>
      <c r="U443" s="58">
        <f>IFERROR(U23+U32+U37+U41+U45+U51+U58+U77+U86+U98+U108+U115+U123+U131+U151+U157+U176+U202+U211+U217+U224+U235+U240+U246+U252+U256+U260+U273+U278+U282+U286+U290+U298+U303+U310+U314+U321+U337+U344+U348+U354+U358+U364+U372+U376+U380+U395+U400+U409+U414+U421+U426+U431+U437,"0")</f>
        <v>2939.1591022401144</v>
      </c>
      <c r="V443" s="58">
        <f>IFERROR(V23+V32+V37+V41+V45+V51+V58+V77+V86+V98+V108+V115+V123+V131+V151+V157+V176+V202+V211+V217+V224+V235+V240+V246+V252+V256+V260+V273+V278+V282+V286+V290+V298+V303+V310+V314+V321+V337+V344+V348+V354+V358+V364+V372+V376+V380+V395+V400+V409+V414+V421+V426+V431+V437,"0")</f>
        <v>2950</v>
      </c>
      <c r="W443" s="57"/>
      <c r="X443" s="59"/>
      <c r="Y443" s="59"/>
    </row>
    <row r="444" spans="1:29" x14ac:dyDescent="0.25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90"/>
      <c r="M444" s="91" t="s">
        <v>663</v>
      </c>
      <c r="N444" s="92"/>
      <c r="O444" s="92"/>
      <c r="P444" s="92"/>
      <c r="Q444" s="92"/>
      <c r="R444" s="92"/>
      <c r="S444" s="93"/>
      <c r="T444" s="61" t="s">
        <v>664</v>
      </c>
      <c r="U444" s="57"/>
      <c r="V444" s="57"/>
      <c r="W444" s="57">
        <v>41.981470000000002</v>
      </c>
      <c r="X444" s="59"/>
      <c r="Y444" s="59"/>
    </row>
    <row r="445" spans="1:29" ht="15.75" thickBot="1" x14ac:dyDescent="0.3"/>
    <row r="446" spans="1:29" ht="27" thickTop="1" thickBot="1" x14ac:dyDescent="0.3">
      <c r="A446" s="66" t="s">
        <v>665</v>
      </c>
      <c r="B446" s="67" t="s">
        <v>62</v>
      </c>
      <c r="C446" s="78" t="s">
        <v>100</v>
      </c>
      <c r="D446" s="78" t="s">
        <v>100</v>
      </c>
      <c r="E446" s="78" t="s">
        <v>100</v>
      </c>
      <c r="F446" s="78" t="s">
        <v>100</v>
      </c>
      <c r="G446" s="78" t="s">
        <v>219</v>
      </c>
      <c r="H446" s="78" t="s">
        <v>219</v>
      </c>
      <c r="I446" s="78" t="s">
        <v>219</v>
      </c>
      <c r="J446" s="78" t="s">
        <v>219</v>
      </c>
      <c r="K446" s="78" t="s">
        <v>439</v>
      </c>
      <c r="L446" s="78" t="s">
        <v>439</v>
      </c>
      <c r="M446" s="78" t="s">
        <v>492</v>
      </c>
      <c r="N446" s="78" t="s">
        <v>492</v>
      </c>
      <c r="O446" s="67" t="s">
        <v>578</v>
      </c>
      <c r="P446" s="67" t="s">
        <v>628</v>
      </c>
      <c r="Q446" s="33"/>
      <c r="R446" s="33"/>
      <c r="S446" s="33"/>
      <c r="T446" s="33"/>
      <c r="Y446" s="39"/>
      <c r="AB446" s="33"/>
    </row>
    <row r="447" spans="1:29" ht="14.25" customHeight="1" thickTop="1" thickBot="1" x14ac:dyDescent="0.3">
      <c r="A447" s="83" t="s">
        <v>666</v>
      </c>
      <c r="B447" s="78" t="s">
        <v>62</v>
      </c>
      <c r="C447" s="78" t="s">
        <v>101</v>
      </c>
      <c r="D447" s="78" t="s">
        <v>106</v>
      </c>
      <c r="E447" s="78" t="s">
        <v>100</v>
      </c>
      <c r="F447" s="78" t="s">
        <v>210</v>
      </c>
      <c r="G447" s="78" t="s">
        <v>220</v>
      </c>
      <c r="H447" s="78" t="s">
        <v>227</v>
      </c>
      <c r="I447" s="78" t="s">
        <v>407</v>
      </c>
      <c r="J447" s="78" t="s">
        <v>424</v>
      </c>
      <c r="K447" s="78" t="s">
        <v>440</v>
      </c>
      <c r="L447" s="78" t="s">
        <v>465</v>
      </c>
      <c r="M447" s="78" t="s">
        <v>493</v>
      </c>
      <c r="N447" s="78" t="s">
        <v>556</v>
      </c>
      <c r="O447" s="78" t="s">
        <v>578</v>
      </c>
      <c r="P447" s="78" t="s">
        <v>629</v>
      </c>
      <c r="Q447" s="33"/>
      <c r="R447" s="33"/>
      <c r="S447" s="33"/>
      <c r="T447" s="33"/>
      <c r="Y447" s="39"/>
      <c r="AB447" s="33"/>
    </row>
    <row r="448" spans="1:29" ht="16.5" thickTop="1" thickBot="1" x14ac:dyDescent="0.3">
      <c r="A448" s="84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33"/>
      <c r="R448" s="33"/>
      <c r="S448" s="33"/>
      <c r="T448" s="33"/>
      <c r="Y448" s="39"/>
      <c r="AB448" s="33"/>
    </row>
    <row r="449" spans="1:28" ht="18" thickTop="1" thickBot="1" x14ac:dyDescent="0.3">
      <c r="A449" s="66" t="s">
        <v>667</v>
      </c>
      <c r="B449" s="68">
        <v>0</v>
      </c>
      <c r="C449" s="68">
        <v>0</v>
      </c>
      <c r="D449" s="68">
        <v>376.20000000000005</v>
      </c>
      <c r="E449" s="68">
        <v>526.5</v>
      </c>
      <c r="F449" s="68">
        <v>142.92000000000002</v>
      </c>
      <c r="G449" s="68">
        <v>0</v>
      </c>
      <c r="H449" s="68">
        <v>9897.1199999999972</v>
      </c>
      <c r="I449" s="68">
        <v>21.6</v>
      </c>
      <c r="J449" s="68">
        <v>1030.68</v>
      </c>
      <c r="K449" s="68">
        <v>4888.6000000000004</v>
      </c>
      <c r="L449" s="68">
        <v>86.4</v>
      </c>
      <c r="M449" s="68">
        <v>191.1</v>
      </c>
      <c r="N449" s="68">
        <v>71.400000000000006</v>
      </c>
      <c r="O449" s="68">
        <v>537.12</v>
      </c>
      <c r="P449" s="68">
        <v>302.39999999999998</v>
      </c>
      <c r="Q449" s="33"/>
      <c r="R449" s="33"/>
      <c r="S449" s="33"/>
      <c r="T449" s="33"/>
      <c r="Y449" s="39"/>
      <c r="AB449" s="33"/>
    </row>
  </sheetData>
  <autoFilter ref="A5:AC444" xr:uid="{20E7BA93-F3D9-4D3F-BFE4-7124C6DF9974}">
    <filterColumn colId="0" showButton="0"/>
    <filterColumn colId="1" showButton="0"/>
    <filterColumn colId="3" showButton="0"/>
    <filterColumn colId="5" showButton="0"/>
    <filterColumn colId="7" showButton="0"/>
    <filterColumn colId="8" showButton="0"/>
    <filterColumn colId="9" showButton="0"/>
    <filterColumn colId="13" showButton="0"/>
    <filterColumn colId="16" showButton="0"/>
    <filterColumn colId="18" showButton="0"/>
  </autoFilter>
  <mergeCells count="800">
    <mergeCell ref="D1:F1"/>
    <mergeCell ref="H1:N1"/>
    <mergeCell ref="O1:Q1"/>
    <mergeCell ref="M2:T3"/>
    <mergeCell ref="A9:C9"/>
    <mergeCell ref="D9:E9"/>
    <mergeCell ref="F9:G9"/>
    <mergeCell ref="H9:I9"/>
    <mergeCell ref="J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N11:O11"/>
    <mergeCell ref="S11:T11"/>
    <mergeCell ref="A12:K12"/>
    <mergeCell ref="N12:O12"/>
    <mergeCell ref="S12:T12"/>
    <mergeCell ref="A13:K13"/>
    <mergeCell ref="N13:O13"/>
    <mergeCell ref="A10:C10"/>
    <mergeCell ref="D10:E10"/>
    <mergeCell ref="F10:G10"/>
    <mergeCell ref="H10:K10"/>
    <mergeCell ref="N10:O10"/>
    <mergeCell ref="S10:T10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Z17:AB18"/>
    <mergeCell ref="AC17:AC18"/>
    <mergeCell ref="A19:W19"/>
    <mergeCell ref="A20:W20"/>
    <mergeCell ref="A21:W21"/>
    <mergeCell ref="D22:E22"/>
    <mergeCell ref="M22:Q22"/>
    <mergeCell ref="T17:T18"/>
    <mergeCell ref="U17:U18"/>
    <mergeCell ref="V17:V18"/>
    <mergeCell ref="W17:W18"/>
    <mergeCell ref="X17:X18"/>
    <mergeCell ref="Y17:Y18"/>
    <mergeCell ref="I17:I18"/>
    <mergeCell ref="J17:J18"/>
    <mergeCell ref="K17:K18"/>
    <mergeCell ref="L17:L18"/>
    <mergeCell ref="M17:Q18"/>
    <mergeCell ref="R17:S17"/>
    <mergeCell ref="D27:E27"/>
    <mergeCell ref="M27:Q27"/>
    <mergeCell ref="D28:E28"/>
    <mergeCell ref="M28:Q28"/>
    <mergeCell ref="D29:E29"/>
    <mergeCell ref="M29:Q29"/>
    <mergeCell ref="A23:L24"/>
    <mergeCell ref="M23:S23"/>
    <mergeCell ref="M24:S24"/>
    <mergeCell ref="A25:W25"/>
    <mergeCell ref="D26:E26"/>
    <mergeCell ref="M26:Q26"/>
    <mergeCell ref="A34:W34"/>
    <mergeCell ref="D35:E35"/>
    <mergeCell ref="M35:Q35"/>
    <mergeCell ref="D36:E36"/>
    <mergeCell ref="M36:Q36"/>
    <mergeCell ref="A37:L38"/>
    <mergeCell ref="M37:S37"/>
    <mergeCell ref="M38:S38"/>
    <mergeCell ref="D30:E30"/>
    <mergeCell ref="M30:Q30"/>
    <mergeCell ref="D31:E31"/>
    <mergeCell ref="M31:Q31"/>
    <mergeCell ref="A32:L33"/>
    <mergeCell ref="M32:S32"/>
    <mergeCell ref="M33:S33"/>
    <mergeCell ref="A43:W43"/>
    <mergeCell ref="D44:E44"/>
    <mergeCell ref="M44:Q44"/>
    <mergeCell ref="A45:L46"/>
    <mergeCell ref="M45:S45"/>
    <mergeCell ref="M46:S46"/>
    <mergeCell ref="A39:W39"/>
    <mergeCell ref="D40:E40"/>
    <mergeCell ref="M40:Q40"/>
    <mergeCell ref="A41:L42"/>
    <mergeCell ref="M41:S41"/>
    <mergeCell ref="M42:S42"/>
    <mergeCell ref="A53:W53"/>
    <mergeCell ref="A54:W54"/>
    <mergeCell ref="D55:E55"/>
    <mergeCell ref="M55:Q55"/>
    <mergeCell ref="D56:E56"/>
    <mergeCell ref="M56:Q56"/>
    <mergeCell ref="A47:W47"/>
    <mergeCell ref="A48:W48"/>
    <mergeCell ref="A49:W49"/>
    <mergeCell ref="D50:E50"/>
    <mergeCell ref="M50:Q50"/>
    <mergeCell ref="A51:L52"/>
    <mergeCell ref="M51:S51"/>
    <mergeCell ref="M52:S52"/>
    <mergeCell ref="A61:W61"/>
    <mergeCell ref="D62:E62"/>
    <mergeCell ref="M62:Q62"/>
    <mergeCell ref="D63:E63"/>
    <mergeCell ref="M63:Q63"/>
    <mergeCell ref="D64:E64"/>
    <mergeCell ref="M64:Q64"/>
    <mergeCell ref="D57:E57"/>
    <mergeCell ref="M57:Q57"/>
    <mergeCell ref="A58:L59"/>
    <mergeCell ref="M58:S58"/>
    <mergeCell ref="M59:S59"/>
    <mergeCell ref="A60:W60"/>
    <mergeCell ref="D68:E68"/>
    <mergeCell ref="M68:Q68"/>
    <mergeCell ref="D69:E69"/>
    <mergeCell ref="M69:Q69"/>
    <mergeCell ref="D70:E70"/>
    <mergeCell ref="M70:Q70"/>
    <mergeCell ref="D65:E65"/>
    <mergeCell ref="M65:Q65"/>
    <mergeCell ref="D66:E66"/>
    <mergeCell ref="M66:Q66"/>
    <mergeCell ref="D67:E67"/>
    <mergeCell ref="M67:Q67"/>
    <mergeCell ref="D74:E74"/>
    <mergeCell ref="M74:Q74"/>
    <mergeCell ref="D75:E75"/>
    <mergeCell ref="M75:Q75"/>
    <mergeCell ref="D76:E76"/>
    <mergeCell ref="M76:Q76"/>
    <mergeCell ref="D71:E71"/>
    <mergeCell ref="M71:Q71"/>
    <mergeCell ref="D72:E72"/>
    <mergeCell ref="M72:Q72"/>
    <mergeCell ref="D73:E73"/>
    <mergeCell ref="M73:Q73"/>
    <mergeCell ref="D81:E81"/>
    <mergeCell ref="M81:Q81"/>
    <mergeCell ref="D82:E82"/>
    <mergeCell ref="M82:Q82"/>
    <mergeCell ref="D83:E83"/>
    <mergeCell ref="M83:Q83"/>
    <mergeCell ref="A77:L78"/>
    <mergeCell ref="M77:S77"/>
    <mergeCell ref="M78:S78"/>
    <mergeCell ref="A79:W79"/>
    <mergeCell ref="D80:E80"/>
    <mergeCell ref="M80:Q80"/>
    <mergeCell ref="A88:W88"/>
    <mergeCell ref="D89:E89"/>
    <mergeCell ref="M89:Q89"/>
    <mergeCell ref="D90:E90"/>
    <mergeCell ref="M90:Q90"/>
    <mergeCell ref="D91:E91"/>
    <mergeCell ref="M91:Q91"/>
    <mergeCell ref="D84:E84"/>
    <mergeCell ref="M84:Q84"/>
    <mergeCell ref="D85:E85"/>
    <mergeCell ref="M85:Q85"/>
    <mergeCell ref="A86:L87"/>
    <mergeCell ref="M86:S86"/>
    <mergeCell ref="M87:S87"/>
    <mergeCell ref="D95:E95"/>
    <mergeCell ref="M95:Q95"/>
    <mergeCell ref="D96:E96"/>
    <mergeCell ref="M96:Q96"/>
    <mergeCell ref="D97:E97"/>
    <mergeCell ref="M97:Q97"/>
    <mergeCell ref="D92:E92"/>
    <mergeCell ref="M92:Q92"/>
    <mergeCell ref="D93:E93"/>
    <mergeCell ref="M93:Q93"/>
    <mergeCell ref="D94:E94"/>
    <mergeCell ref="M94:Q94"/>
    <mergeCell ref="D102:E102"/>
    <mergeCell ref="M102:Q102"/>
    <mergeCell ref="D103:E103"/>
    <mergeCell ref="M103:Q103"/>
    <mergeCell ref="D104:E104"/>
    <mergeCell ref="M104:Q104"/>
    <mergeCell ref="A98:L99"/>
    <mergeCell ref="M98:S98"/>
    <mergeCell ref="M99:S99"/>
    <mergeCell ref="A100:W100"/>
    <mergeCell ref="D101:E101"/>
    <mergeCell ref="M101:Q101"/>
    <mergeCell ref="A108:L109"/>
    <mergeCell ref="M108:S108"/>
    <mergeCell ref="M109:S109"/>
    <mergeCell ref="A110:W110"/>
    <mergeCell ref="D111:E111"/>
    <mergeCell ref="M111:Q111"/>
    <mergeCell ref="D105:E105"/>
    <mergeCell ref="M105:Q105"/>
    <mergeCell ref="D106:E106"/>
    <mergeCell ref="M106:Q106"/>
    <mergeCell ref="D107:E107"/>
    <mergeCell ref="M107:Q107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23:L124"/>
    <mergeCell ref="M123:S123"/>
    <mergeCell ref="M124:S124"/>
    <mergeCell ref="A125:W125"/>
    <mergeCell ref="A126:W126"/>
    <mergeCell ref="A127:W127"/>
    <mergeCell ref="D120:E120"/>
    <mergeCell ref="M120:Q120"/>
    <mergeCell ref="D121:E121"/>
    <mergeCell ref="M121:Q121"/>
    <mergeCell ref="D122:E122"/>
    <mergeCell ref="M122:Q122"/>
    <mergeCell ref="A131:L132"/>
    <mergeCell ref="M131:S131"/>
    <mergeCell ref="M132:S132"/>
    <mergeCell ref="A133:W133"/>
    <mergeCell ref="A134:W134"/>
    <mergeCell ref="D135:E135"/>
    <mergeCell ref="M135:Q135"/>
    <mergeCell ref="D128:E128"/>
    <mergeCell ref="M128:Q128"/>
    <mergeCell ref="D129:E129"/>
    <mergeCell ref="M129:Q129"/>
    <mergeCell ref="D130:E130"/>
    <mergeCell ref="M130:Q130"/>
    <mergeCell ref="D139:E139"/>
    <mergeCell ref="M139:Q139"/>
    <mergeCell ref="D140:E140"/>
    <mergeCell ref="M140:Q140"/>
    <mergeCell ref="D141:E141"/>
    <mergeCell ref="M141:Q141"/>
    <mergeCell ref="D136:E136"/>
    <mergeCell ref="M136:Q136"/>
    <mergeCell ref="D137:E137"/>
    <mergeCell ref="M137:Q137"/>
    <mergeCell ref="D138:E138"/>
    <mergeCell ref="M138:Q138"/>
    <mergeCell ref="D145:E145"/>
    <mergeCell ref="M145:Q145"/>
    <mergeCell ref="D146:E146"/>
    <mergeCell ref="M146:Q146"/>
    <mergeCell ref="D147:E147"/>
    <mergeCell ref="M147:Q147"/>
    <mergeCell ref="D142:E142"/>
    <mergeCell ref="M142:Q142"/>
    <mergeCell ref="D143:E143"/>
    <mergeCell ref="M143:Q143"/>
    <mergeCell ref="D144:E144"/>
    <mergeCell ref="M144:Q144"/>
    <mergeCell ref="A151:L152"/>
    <mergeCell ref="M151:S151"/>
    <mergeCell ref="M152:S152"/>
    <mergeCell ref="A153:W153"/>
    <mergeCell ref="D154:E154"/>
    <mergeCell ref="M154:Q154"/>
    <mergeCell ref="D148:E148"/>
    <mergeCell ref="M148:Q148"/>
    <mergeCell ref="D149:E149"/>
    <mergeCell ref="M149:Q149"/>
    <mergeCell ref="D150:E150"/>
    <mergeCell ref="M150:Q150"/>
    <mergeCell ref="A159:W159"/>
    <mergeCell ref="D160:E160"/>
    <mergeCell ref="M160:Q160"/>
    <mergeCell ref="D161:E161"/>
    <mergeCell ref="M161:Q161"/>
    <mergeCell ref="D162:E162"/>
    <mergeCell ref="M162:Q162"/>
    <mergeCell ref="D155:E155"/>
    <mergeCell ref="M155:Q155"/>
    <mergeCell ref="D156:E156"/>
    <mergeCell ref="M156:Q156"/>
    <mergeCell ref="A157:L158"/>
    <mergeCell ref="M157:S157"/>
    <mergeCell ref="M158:S158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79:E179"/>
    <mergeCell ref="M179:Q179"/>
    <mergeCell ref="D180:E180"/>
    <mergeCell ref="M180:Q180"/>
    <mergeCell ref="D181:E181"/>
    <mergeCell ref="M181:Q181"/>
    <mergeCell ref="D175:E175"/>
    <mergeCell ref="M175:Q175"/>
    <mergeCell ref="A176:L177"/>
    <mergeCell ref="M176:S176"/>
    <mergeCell ref="M177:S177"/>
    <mergeCell ref="A178:W178"/>
    <mergeCell ref="D185:E185"/>
    <mergeCell ref="M185:Q185"/>
    <mergeCell ref="D186:E186"/>
    <mergeCell ref="M186:Q186"/>
    <mergeCell ref="D187:E187"/>
    <mergeCell ref="M187:Q187"/>
    <mergeCell ref="D182:E182"/>
    <mergeCell ref="M182:Q182"/>
    <mergeCell ref="D183:E183"/>
    <mergeCell ref="M183:Q183"/>
    <mergeCell ref="D184:E184"/>
    <mergeCell ref="M184:Q184"/>
    <mergeCell ref="D191:E191"/>
    <mergeCell ref="M191:Q191"/>
    <mergeCell ref="D192:E192"/>
    <mergeCell ref="M192:Q192"/>
    <mergeCell ref="D193:E193"/>
    <mergeCell ref="M193:Q193"/>
    <mergeCell ref="D188:E188"/>
    <mergeCell ref="M188:Q188"/>
    <mergeCell ref="D189:E189"/>
    <mergeCell ref="M189:Q189"/>
    <mergeCell ref="D190:E190"/>
    <mergeCell ref="M190:Q190"/>
    <mergeCell ref="D197:E197"/>
    <mergeCell ref="M197:Q197"/>
    <mergeCell ref="D198:E198"/>
    <mergeCell ref="M198:Q198"/>
    <mergeCell ref="D199:E199"/>
    <mergeCell ref="M199:Q199"/>
    <mergeCell ref="D194:E194"/>
    <mergeCell ref="M194:Q194"/>
    <mergeCell ref="D195:E195"/>
    <mergeCell ref="M195:Q195"/>
    <mergeCell ref="D196:E196"/>
    <mergeCell ref="M196:Q196"/>
    <mergeCell ref="A204:W204"/>
    <mergeCell ref="D205:E205"/>
    <mergeCell ref="M205:Q205"/>
    <mergeCell ref="D206:E206"/>
    <mergeCell ref="M206:Q206"/>
    <mergeCell ref="D207:E207"/>
    <mergeCell ref="M207:Q207"/>
    <mergeCell ref="D200:E200"/>
    <mergeCell ref="M200:Q200"/>
    <mergeCell ref="D201:E201"/>
    <mergeCell ref="M201:Q201"/>
    <mergeCell ref="A202:L203"/>
    <mergeCell ref="M202:S202"/>
    <mergeCell ref="M203:S203"/>
    <mergeCell ref="A211:L212"/>
    <mergeCell ref="M211:S211"/>
    <mergeCell ref="M212:S212"/>
    <mergeCell ref="A213:W213"/>
    <mergeCell ref="D214:E214"/>
    <mergeCell ref="M214:Q214"/>
    <mergeCell ref="D208:E208"/>
    <mergeCell ref="M208:Q208"/>
    <mergeCell ref="D209:E209"/>
    <mergeCell ref="M209:Q209"/>
    <mergeCell ref="D210:E210"/>
    <mergeCell ref="M210:Q210"/>
    <mergeCell ref="A219:W219"/>
    <mergeCell ref="D220:E220"/>
    <mergeCell ref="M220:Q220"/>
    <mergeCell ref="D221:E221"/>
    <mergeCell ref="M221:Q221"/>
    <mergeCell ref="D222:E222"/>
    <mergeCell ref="M222:Q222"/>
    <mergeCell ref="D215:E215"/>
    <mergeCell ref="M215:Q215"/>
    <mergeCell ref="D216:E216"/>
    <mergeCell ref="M216:Q216"/>
    <mergeCell ref="A217:L218"/>
    <mergeCell ref="M217:S217"/>
    <mergeCell ref="M218:S218"/>
    <mergeCell ref="A227:W227"/>
    <mergeCell ref="D228:E228"/>
    <mergeCell ref="M228:Q228"/>
    <mergeCell ref="D229:E229"/>
    <mergeCell ref="M229:Q229"/>
    <mergeCell ref="D230:E230"/>
    <mergeCell ref="M230:Q230"/>
    <mergeCell ref="D223:E223"/>
    <mergeCell ref="M223:Q223"/>
    <mergeCell ref="A224:L225"/>
    <mergeCell ref="M224:S224"/>
    <mergeCell ref="M225:S225"/>
    <mergeCell ref="A226:W226"/>
    <mergeCell ref="D234:E234"/>
    <mergeCell ref="M234:Q234"/>
    <mergeCell ref="A235:L236"/>
    <mergeCell ref="M235:S235"/>
    <mergeCell ref="M236:S236"/>
    <mergeCell ref="A237:W237"/>
    <mergeCell ref="D231:E231"/>
    <mergeCell ref="M231:Q231"/>
    <mergeCell ref="D232:E232"/>
    <mergeCell ref="M232:Q232"/>
    <mergeCell ref="D233:E233"/>
    <mergeCell ref="M233:Q233"/>
    <mergeCell ref="A242:W242"/>
    <mergeCell ref="A243:W243"/>
    <mergeCell ref="D244:E244"/>
    <mergeCell ref="M244:Q244"/>
    <mergeCell ref="D245:E245"/>
    <mergeCell ref="M245:Q245"/>
    <mergeCell ref="D238:E238"/>
    <mergeCell ref="M238:Q238"/>
    <mergeCell ref="D239:E239"/>
    <mergeCell ref="M239:Q239"/>
    <mergeCell ref="A240:L241"/>
    <mergeCell ref="M240:S240"/>
    <mergeCell ref="M241:S241"/>
    <mergeCell ref="D250:E250"/>
    <mergeCell ref="M250:Q250"/>
    <mergeCell ref="D251:E251"/>
    <mergeCell ref="M251:Q251"/>
    <mergeCell ref="A252:L253"/>
    <mergeCell ref="M252:S252"/>
    <mergeCell ref="M253:S253"/>
    <mergeCell ref="A246:L247"/>
    <mergeCell ref="M246:S246"/>
    <mergeCell ref="M247:S247"/>
    <mergeCell ref="A248:W248"/>
    <mergeCell ref="D249:E249"/>
    <mergeCell ref="M249:Q249"/>
    <mergeCell ref="A258:W258"/>
    <mergeCell ref="D259:E259"/>
    <mergeCell ref="M259:Q259"/>
    <mergeCell ref="A260:L261"/>
    <mergeCell ref="M260:S260"/>
    <mergeCell ref="M261:S261"/>
    <mergeCell ref="A254:W254"/>
    <mergeCell ref="D255:E255"/>
    <mergeCell ref="M255:Q255"/>
    <mergeCell ref="A256:L257"/>
    <mergeCell ref="M256:S256"/>
    <mergeCell ref="M257:S257"/>
    <mergeCell ref="D267:E267"/>
    <mergeCell ref="M267:Q267"/>
    <mergeCell ref="D268:E268"/>
    <mergeCell ref="M268:Q268"/>
    <mergeCell ref="D269:E269"/>
    <mergeCell ref="M269:Q269"/>
    <mergeCell ref="A262:W262"/>
    <mergeCell ref="A263:W263"/>
    <mergeCell ref="A264:W264"/>
    <mergeCell ref="D265:E265"/>
    <mergeCell ref="M265:Q265"/>
    <mergeCell ref="D266:E266"/>
    <mergeCell ref="M266:Q266"/>
    <mergeCell ref="A273:L274"/>
    <mergeCell ref="M273:S273"/>
    <mergeCell ref="M274:S274"/>
    <mergeCell ref="A275:W275"/>
    <mergeCell ref="D276:E276"/>
    <mergeCell ref="M276:Q276"/>
    <mergeCell ref="D270:E270"/>
    <mergeCell ref="M270:Q270"/>
    <mergeCell ref="D271:E271"/>
    <mergeCell ref="M271:Q271"/>
    <mergeCell ref="D272:E272"/>
    <mergeCell ref="M272:Q272"/>
    <mergeCell ref="D281:E281"/>
    <mergeCell ref="M281:Q281"/>
    <mergeCell ref="A282:L283"/>
    <mergeCell ref="M282:S282"/>
    <mergeCell ref="M283:S283"/>
    <mergeCell ref="A284:W284"/>
    <mergeCell ref="D277:E277"/>
    <mergeCell ref="M277:Q277"/>
    <mergeCell ref="A278:L279"/>
    <mergeCell ref="M278:S278"/>
    <mergeCell ref="M279:S279"/>
    <mergeCell ref="A280:W280"/>
    <mergeCell ref="D289:E289"/>
    <mergeCell ref="M289:Q289"/>
    <mergeCell ref="A290:L291"/>
    <mergeCell ref="M290:S290"/>
    <mergeCell ref="M291:S291"/>
    <mergeCell ref="A292:W292"/>
    <mergeCell ref="D285:E285"/>
    <mergeCell ref="M285:Q285"/>
    <mergeCell ref="A286:L287"/>
    <mergeCell ref="M286:S286"/>
    <mergeCell ref="M287:S287"/>
    <mergeCell ref="A288:W288"/>
    <mergeCell ref="D297:E297"/>
    <mergeCell ref="M297:Q297"/>
    <mergeCell ref="A298:L299"/>
    <mergeCell ref="M298:S298"/>
    <mergeCell ref="M299:S299"/>
    <mergeCell ref="A300:W300"/>
    <mergeCell ref="A293:W293"/>
    <mergeCell ref="D294:E294"/>
    <mergeCell ref="M294:Q294"/>
    <mergeCell ref="D295:E295"/>
    <mergeCell ref="M295:Q295"/>
    <mergeCell ref="D296:E296"/>
    <mergeCell ref="M296:Q296"/>
    <mergeCell ref="A305:W305"/>
    <mergeCell ref="D306:E306"/>
    <mergeCell ref="M306:Q306"/>
    <mergeCell ref="D307:E307"/>
    <mergeCell ref="M307:Q307"/>
    <mergeCell ref="D308:E308"/>
    <mergeCell ref="M308:Q308"/>
    <mergeCell ref="D301:E301"/>
    <mergeCell ref="M301:Q301"/>
    <mergeCell ref="D302:E302"/>
    <mergeCell ref="M302:Q302"/>
    <mergeCell ref="A303:L304"/>
    <mergeCell ref="M303:S303"/>
    <mergeCell ref="M304:S304"/>
    <mergeCell ref="D313:E313"/>
    <mergeCell ref="M313:Q313"/>
    <mergeCell ref="A314:L315"/>
    <mergeCell ref="M314:S314"/>
    <mergeCell ref="M315:S315"/>
    <mergeCell ref="A316:W316"/>
    <mergeCell ref="D309:E309"/>
    <mergeCell ref="M309:Q309"/>
    <mergeCell ref="A310:L311"/>
    <mergeCell ref="M310:S310"/>
    <mergeCell ref="M311:S311"/>
    <mergeCell ref="A312:W312"/>
    <mergeCell ref="A321:L322"/>
    <mergeCell ref="M321:S321"/>
    <mergeCell ref="M322:S322"/>
    <mergeCell ref="A323:W323"/>
    <mergeCell ref="D324:E324"/>
    <mergeCell ref="M324:Q324"/>
    <mergeCell ref="A317:W317"/>
    <mergeCell ref="A318:W318"/>
    <mergeCell ref="D319:E319"/>
    <mergeCell ref="M319:Q319"/>
    <mergeCell ref="D320:E320"/>
    <mergeCell ref="M320:Q320"/>
    <mergeCell ref="D328:E328"/>
    <mergeCell ref="M328:Q328"/>
    <mergeCell ref="D329:E329"/>
    <mergeCell ref="M329:Q329"/>
    <mergeCell ref="D330:E330"/>
    <mergeCell ref="M330:Q330"/>
    <mergeCell ref="D325:E325"/>
    <mergeCell ref="M325:Q325"/>
    <mergeCell ref="D326:E326"/>
    <mergeCell ref="M326:Q326"/>
    <mergeCell ref="D327:E327"/>
    <mergeCell ref="M327:Q327"/>
    <mergeCell ref="D334:E334"/>
    <mergeCell ref="M334:Q334"/>
    <mergeCell ref="D335:E335"/>
    <mergeCell ref="M335:Q335"/>
    <mergeCell ref="D336:E336"/>
    <mergeCell ref="M336:Q336"/>
    <mergeCell ref="D331:E331"/>
    <mergeCell ref="M331:Q331"/>
    <mergeCell ref="D332:E332"/>
    <mergeCell ref="M332:Q332"/>
    <mergeCell ref="D333:E333"/>
    <mergeCell ref="M333:Q333"/>
    <mergeCell ref="D341:E341"/>
    <mergeCell ref="M341:Q341"/>
    <mergeCell ref="D342:E342"/>
    <mergeCell ref="M342:Q342"/>
    <mergeCell ref="D343:E343"/>
    <mergeCell ref="M343:Q343"/>
    <mergeCell ref="A337:L338"/>
    <mergeCell ref="M337:S337"/>
    <mergeCell ref="M338:S338"/>
    <mergeCell ref="A339:W339"/>
    <mergeCell ref="D340:E340"/>
    <mergeCell ref="M340:Q340"/>
    <mergeCell ref="A348:L349"/>
    <mergeCell ref="M348:S348"/>
    <mergeCell ref="M349:S349"/>
    <mergeCell ref="A350:W350"/>
    <mergeCell ref="D351:E351"/>
    <mergeCell ref="M351:Q351"/>
    <mergeCell ref="A344:L345"/>
    <mergeCell ref="M344:S344"/>
    <mergeCell ref="M345:S345"/>
    <mergeCell ref="A346:W346"/>
    <mergeCell ref="D347:E347"/>
    <mergeCell ref="M347:Q347"/>
    <mergeCell ref="A356:W356"/>
    <mergeCell ref="D357:E357"/>
    <mergeCell ref="M357:Q357"/>
    <mergeCell ref="A358:L359"/>
    <mergeCell ref="M358:S358"/>
    <mergeCell ref="M359:S359"/>
    <mergeCell ref="D352:E352"/>
    <mergeCell ref="M352:Q352"/>
    <mergeCell ref="D353:E353"/>
    <mergeCell ref="M353:Q353"/>
    <mergeCell ref="A354:L355"/>
    <mergeCell ref="M354:S354"/>
    <mergeCell ref="M355:S355"/>
    <mergeCell ref="A364:L365"/>
    <mergeCell ref="M364:S364"/>
    <mergeCell ref="M365:S365"/>
    <mergeCell ref="A366:W366"/>
    <mergeCell ref="D367:E367"/>
    <mergeCell ref="M367:Q367"/>
    <mergeCell ref="A360:W360"/>
    <mergeCell ref="A361:W361"/>
    <mergeCell ref="D362:E362"/>
    <mergeCell ref="M362:Q362"/>
    <mergeCell ref="D363:E363"/>
    <mergeCell ref="M363:Q363"/>
    <mergeCell ref="D371:E371"/>
    <mergeCell ref="M371:Q371"/>
    <mergeCell ref="A372:L373"/>
    <mergeCell ref="M372:S372"/>
    <mergeCell ref="M373:S373"/>
    <mergeCell ref="A374:W374"/>
    <mergeCell ref="D368:E368"/>
    <mergeCell ref="M368:Q368"/>
    <mergeCell ref="D369:E369"/>
    <mergeCell ref="M369:Q369"/>
    <mergeCell ref="D370:E370"/>
    <mergeCell ref="M370:Q370"/>
    <mergeCell ref="D379:E379"/>
    <mergeCell ref="M379:Q379"/>
    <mergeCell ref="A380:L381"/>
    <mergeCell ref="M380:S380"/>
    <mergeCell ref="M381:S381"/>
    <mergeCell ref="A382:W382"/>
    <mergeCell ref="D375:E375"/>
    <mergeCell ref="M375:Q375"/>
    <mergeCell ref="A376:L377"/>
    <mergeCell ref="M376:S376"/>
    <mergeCell ref="M377:S377"/>
    <mergeCell ref="A378:W378"/>
    <mergeCell ref="D387:E387"/>
    <mergeCell ref="M387:Q387"/>
    <mergeCell ref="D388:E388"/>
    <mergeCell ref="M388:Q388"/>
    <mergeCell ref="D389:E389"/>
    <mergeCell ref="M389:Q389"/>
    <mergeCell ref="A383:W383"/>
    <mergeCell ref="A384:W384"/>
    <mergeCell ref="D385:E385"/>
    <mergeCell ref="M385:Q385"/>
    <mergeCell ref="D386:E386"/>
    <mergeCell ref="M386:Q386"/>
    <mergeCell ref="D393:E393"/>
    <mergeCell ref="M393:Q393"/>
    <mergeCell ref="D394:E394"/>
    <mergeCell ref="M394:Q394"/>
    <mergeCell ref="A395:L396"/>
    <mergeCell ref="M395:S395"/>
    <mergeCell ref="M396:S396"/>
    <mergeCell ref="D390:E390"/>
    <mergeCell ref="M390:Q390"/>
    <mergeCell ref="D391:E391"/>
    <mergeCell ref="M391:Q391"/>
    <mergeCell ref="D392:E392"/>
    <mergeCell ref="M392:Q392"/>
    <mergeCell ref="A402:W402"/>
    <mergeCell ref="D403:E403"/>
    <mergeCell ref="M403:Q403"/>
    <mergeCell ref="D404:E404"/>
    <mergeCell ref="M404:Q404"/>
    <mergeCell ref="D405:E405"/>
    <mergeCell ref="M405:Q405"/>
    <mergeCell ref="A397:W397"/>
    <mergeCell ref="D398:E398"/>
    <mergeCell ref="M398:Q398"/>
    <mergeCell ref="D399:E399"/>
    <mergeCell ref="M399:Q399"/>
    <mergeCell ref="A400:L401"/>
    <mergeCell ref="M400:S400"/>
    <mergeCell ref="M401:S401"/>
    <mergeCell ref="A409:L410"/>
    <mergeCell ref="M409:S409"/>
    <mergeCell ref="M410:S410"/>
    <mergeCell ref="A411:W411"/>
    <mergeCell ref="D412:E412"/>
    <mergeCell ref="M412:Q412"/>
    <mergeCell ref="D406:E406"/>
    <mergeCell ref="M406:Q406"/>
    <mergeCell ref="D407:E407"/>
    <mergeCell ref="M407:Q407"/>
    <mergeCell ref="D408:E408"/>
    <mergeCell ref="M408:Q408"/>
    <mergeCell ref="A417:W417"/>
    <mergeCell ref="A418:W418"/>
    <mergeCell ref="D419:E419"/>
    <mergeCell ref="M419:Q419"/>
    <mergeCell ref="D420:E420"/>
    <mergeCell ref="M420:Q420"/>
    <mergeCell ref="D413:E413"/>
    <mergeCell ref="M413:Q413"/>
    <mergeCell ref="A414:L415"/>
    <mergeCell ref="M414:S414"/>
    <mergeCell ref="M415:S415"/>
    <mergeCell ref="A416:W416"/>
    <mergeCell ref="D425:E425"/>
    <mergeCell ref="M425:Q425"/>
    <mergeCell ref="A426:L427"/>
    <mergeCell ref="M426:S426"/>
    <mergeCell ref="M427:S427"/>
    <mergeCell ref="A428:W428"/>
    <mergeCell ref="A421:L422"/>
    <mergeCell ref="M421:S421"/>
    <mergeCell ref="M422:S422"/>
    <mergeCell ref="A423:W423"/>
    <mergeCell ref="D424:E424"/>
    <mergeCell ref="M424:Q424"/>
    <mergeCell ref="A433:W433"/>
    <mergeCell ref="D434:E434"/>
    <mergeCell ref="M434:Q434"/>
    <mergeCell ref="D435:E435"/>
    <mergeCell ref="M435:Q435"/>
    <mergeCell ref="D436:E436"/>
    <mergeCell ref="M436:Q436"/>
    <mergeCell ref="D429:E429"/>
    <mergeCell ref="M429:Q429"/>
    <mergeCell ref="D430:E430"/>
    <mergeCell ref="M430:Q430"/>
    <mergeCell ref="A431:L432"/>
    <mergeCell ref="M431:S431"/>
    <mergeCell ref="M432:S432"/>
    <mergeCell ref="E447:E448"/>
    <mergeCell ref="F447:F448"/>
    <mergeCell ref="A437:L438"/>
    <mergeCell ref="M437:S437"/>
    <mergeCell ref="M438:S438"/>
    <mergeCell ref="A439:L444"/>
    <mergeCell ref="M439:S439"/>
    <mergeCell ref="M440:S440"/>
    <mergeCell ref="M441:S441"/>
    <mergeCell ref="M442:S442"/>
    <mergeCell ref="M443:S443"/>
    <mergeCell ref="M444:S444"/>
    <mergeCell ref="H5:K5"/>
    <mergeCell ref="F5:G5"/>
    <mergeCell ref="D5:E5"/>
    <mergeCell ref="A5:C5"/>
    <mergeCell ref="M447:M448"/>
    <mergeCell ref="N447:N448"/>
    <mergeCell ref="O447:O448"/>
    <mergeCell ref="P447:P448"/>
    <mergeCell ref="Q5:R5"/>
    <mergeCell ref="N5:O5"/>
    <mergeCell ref="G447:G448"/>
    <mergeCell ref="H447:H448"/>
    <mergeCell ref="I447:I448"/>
    <mergeCell ref="J447:J448"/>
    <mergeCell ref="K447:K448"/>
    <mergeCell ref="L447:L448"/>
    <mergeCell ref="C446:F446"/>
    <mergeCell ref="G446:J446"/>
    <mergeCell ref="K446:L446"/>
    <mergeCell ref="M446:N446"/>
    <mergeCell ref="A447:A448"/>
    <mergeCell ref="B447:B448"/>
    <mergeCell ref="C447:C448"/>
    <mergeCell ref="D447:D448"/>
  </mergeCells>
  <conditionalFormatting sqref="A8:K8 M9:O13 A9:C10">
    <cfRule type="expression" dxfId="7" priority="8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count="16">
    <dataValidation type="list" allowBlank="1" showInputMessage="1" showErrorMessage="1" sqref="S12" xr:uid="{0FD08681-E48B-4978-BBD3-C1F3B2C1FBAA}">
      <formula1>DeliveryConditionsList</formula1>
    </dataValidation>
    <dataValidation operator="equal" allowBlank="1" showInputMessage="1" showErrorMessage="1" error="укажите вес, кратный весу коробки" sqref="W22:Y22" xr:uid="{6D017F46-3941-40DE-A551-724A2261AA61}"/>
    <dataValidation type="list" allowBlank="1" showInputMessage="1" showErrorMessage="1" sqref="D10:E10" xr:uid="{66A50444-D9CC-4A3F-9D61-4CCE357A6362}">
      <formula1>IF(TypeProxy="Уполномоченное лицо",NumProxySet,null)</formula1>
    </dataValidation>
    <dataValidation type="list" allowBlank="1" showInputMessage="1" showErrorMessage="1" sqref="D9:E9" xr:uid="{8857047B-8E81-4ED4-89EB-6D2704818051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E36F1275-C6FC-48A1-A729-48ECA0EA9080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62B8E244-AB52-47CD-A71E-B92A94E02FAA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19292818-3B43-422E-9ABC-219CA8C1A0C4}">
      <formula1>0.000694444444444444</formula1>
      <formula2>0.999305555555556</formula2>
    </dataValidation>
    <dataValidation type="list" allowBlank="1" showInputMessage="1" showErrorMessage="1" sqref="D8:K8" xr:uid="{644B4809-88F6-4865-B890-B280E19F5E95}">
      <formula1>CHOOSE($D$7,UnloadAdressList0001)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B60666FE-81AF-4EAB-A1F6-F014C7F18D97}">
      <formula1>DeliveryMethodList</formula1>
    </dataValidation>
    <dataValidation type="list" allowBlank="1" showInputMessage="1" showErrorMessage="1" sqref="D6:K6" xr:uid="{3635854C-D171-48D6-9E6D-28BD5CF099F6}">
      <formula1>DeliveryAdressList</formula1>
    </dataValidation>
    <dataValidation type="list" allowBlank="1" showInputMessage="1" showErrorMessage="1" prompt="Определите тип Вашего заказа" sqref="S11:T11" xr:uid="{1D713027-E2E9-4E0C-88EC-7A2D88BC91E6}">
      <formula1>"Основной заказ, Дозаказ, Замена"</formula1>
    </dataValidation>
    <dataValidation allowBlank="1" showInputMessage="1" showErrorMessage="1" prompt="Введите код клиента в системе Axapta" sqref="S10" xr:uid="{DB534702-B17C-4EE9-81C1-59AB6D658BAA}"/>
    <dataValidation allowBlank="1" showInputMessage="1" showErrorMessage="1" prompt="Введите название вашей фирмы." sqref="S6:S7" xr:uid="{9BFAEA70-4380-4171-8757-0D230349D753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E20C74F4-4AE1-44E7-B747-E9736BC12A0C}">
      <formula1>43831</formula1>
      <formula2>47484</formula2>
    </dataValidation>
    <dataValidation type="list" allowBlank="1" showInputMessage="1" showErrorMessage="1" sqref="U16:Y16" xr:uid="{610F0085-63B8-4C67-BF42-210DDD860C43}">
      <formula1>"80-60,60-40,40-10,70-10"</formula1>
    </dataValidation>
    <dataValidation allowBlank="1" showInputMessage="1" showErrorMessage="1" prompt="День недели загрузки. Считается сам." sqref="N6:N7" xr:uid="{BDB0BB1A-478F-4E0A-B6D1-78F048FFA3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2023-08-08T10:27:09Z</dcterms:modified>
</cp:coreProperties>
</file>