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заказа'!$U$444:$U$444</definedName>
    <definedName name="GrossWeightTotalR">'Бланк заказа'!$V$444:$V$444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заказа'!$U$445:$U$445</definedName>
    <definedName name="PalletQtyTotalR">'Бланк заказа'!$V$445:$V$445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заказа'!$B$227:$B$227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заказа'!$B$238:$B$238</definedName>
    <definedName name="ProductId146">'Бланк заказа'!$B$242:$B$242</definedName>
    <definedName name="ProductId147">'Бланк заказа'!$B$243:$B$243</definedName>
    <definedName name="ProductId148">'Бланк заказа'!$B$248:$B$248</definedName>
    <definedName name="ProductId149">'Бланк заказа'!$B$249:$B$249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заказа'!$B$255:$B$255</definedName>
    <definedName name="ProductId153">'Бланк заказа'!$B$259:$B$259</definedName>
    <definedName name="ProductId154">'Бланк заказа'!$B$263:$B$263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заказа'!$B$289:$B$289</definedName>
    <definedName name="ProductId167">'Бланк заказа'!$B$293:$B$293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заказа'!$B$301:$B$301</definedName>
    <definedName name="ProductId172">'Бланк заказа'!$B$305:$B$305</definedName>
    <definedName name="ProductId173">'Бланк заказа'!$B$306:$B$306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заказа'!$B$313:$B$313</definedName>
    <definedName name="ProductId178">'Бланк заказа'!$B$317:$B$317</definedName>
    <definedName name="ProductId179">'Бланк заказа'!$B$323:$B$323</definedName>
    <definedName name="ProductId18">'Бланк заказа'!$B$64:$B$64</definedName>
    <definedName name="ProductId180">'Бланк заказа'!$B$324:$B$324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заказа'!$B$340:$B$340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заказа'!$B$347:$B$347</definedName>
    <definedName name="ProductId198">'Бланк заказа'!$B$351:$B$351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заказа'!$B$366:$B$366</definedName>
    <definedName name="ProductId204">'Бланк заказа'!$B$367:$B$367</definedName>
    <definedName name="ProductId205">'Бланк заказа'!$B$371:$B$371</definedName>
    <definedName name="ProductId206">'Бланк заказа'!$B$372:$B$372</definedName>
    <definedName name="ProductId207">'Бланк заказа'!$B$373:$B$373</definedName>
    <definedName name="ProductId208">'Бланк заказа'!$B$374:$B$374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заказа'!$B$383:$B$383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заказа'!$B$396:$B$396</definedName>
    <definedName name="ProductId22">'Бланк заказа'!$B$68:$B$68</definedName>
    <definedName name="ProductId220">'Бланк заказа'!$B$397:$B$397</definedName>
    <definedName name="ProductId221">'Бланк заказа'!$B$398:$B$398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заказа'!$B$411:$B$411</definedName>
    <definedName name="ProductId229">'Бланк заказа'!$B$412:$B$412</definedName>
    <definedName name="ProductId23">'Бланк заказа'!$B$69:$B$69</definedName>
    <definedName name="ProductId230">'Бланк заказа'!$B$416:$B$416</definedName>
    <definedName name="ProductId231">'Бланк заказа'!$B$417:$B$417</definedName>
    <definedName name="ProductId232">'Бланк заказа'!$B$423:$B$423</definedName>
    <definedName name="ProductId233">'Бланк заказа'!$B$424:$B$424</definedName>
    <definedName name="ProductId234">'Бланк заказа'!$B$428:$B$428</definedName>
    <definedName name="ProductId235">'Бланк заказа'!$B$429:$B$429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заказа'!$B$440:$B$440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заказа'!$U$227:$U$227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заказа'!$U$238:$U$238</definedName>
    <definedName name="SalesQty146">'Бланк заказа'!$U$242:$U$242</definedName>
    <definedName name="SalesQty147">'Бланк заказа'!$U$243:$U$243</definedName>
    <definedName name="SalesQty148">'Бланк заказа'!$U$248:$U$248</definedName>
    <definedName name="SalesQty149">'Бланк заказа'!$U$249:$U$249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заказа'!$U$255:$U$255</definedName>
    <definedName name="SalesQty153">'Бланк заказа'!$U$259:$U$259</definedName>
    <definedName name="SalesQty154">'Бланк заказа'!$U$263:$U$263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заказа'!$U$276:$U$276</definedName>
    <definedName name="SalesQty163">'Бланк заказа'!$U$280:$U$280</definedName>
    <definedName name="SalesQty164">'Бланк заказа'!$U$281:$U$281</definedName>
    <definedName name="SalesQty165">'Бланк заказа'!$U$285:$U$285</definedName>
    <definedName name="SalesQty166">'Бланк заказа'!$U$289:$U$289</definedName>
    <definedName name="SalesQty167">'Бланк заказа'!$U$293:$U$293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заказа'!$U$301:$U$301</definedName>
    <definedName name="SalesQty172">'Бланк заказа'!$U$305:$U$305</definedName>
    <definedName name="SalesQty173">'Бланк заказа'!$U$306:$U$306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заказа'!$U$313:$U$313</definedName>
    <definedName name="SalesQty178">'Бланк заказа'!$U$317:$U$317</definedName>
    <definedName name="SalesQty179">'Бланк заказа'!$U$323:$U$323</definedName>
    <definedName name="SalesQty18">'Бланк заказа'!$U$64:$U$64</definedName>
    <definedName name="SalesQty180">'Бланк заказа'!$U$324:$U$324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заказа'!$U$340:$U$340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заказа'!$U$347:$U$347</definedName>
    <definedName name="SalesQty198">'Бланк заказа'!$U$351:$U$351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заказа'!$U$357:$U$357</definedName>
    <definedName name="SalesQty202">'Бланк заказа'!$U$361:$U$361</definedName>
    <definedName name="SalesQty203">'Бланк заказа'!$U$366:$U$366</definedName>
    <definedName name="SalesQty204">'Бланк заказа'!$U$367:$U$367</definedName>
    <definedName name="SalesQty205">'Бланк заказа'!$U$371:$U$371</definedName>
    <definedName name="SalesQty206">'Бланк заказа'!$U$372:$U$372</definedName>
    <definedName name="SalesQty207">'Бланк заказа'!$U$373:$U$373</definedName>
    <definedName name="SalesQty208">'Бланк заказа'!$U$374:$U$374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заказа'!$U$383:$U$383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заказа'!$U$395:$U$395</definedName>
    <definedName name="SalesQty219">'Бланк заказа'!$U$396:$U$396</definedName>
    <definedName name="SalesQty22">'Бланк заказа'!$U$68:$U$68</definedName>
    <definedName name="SalesQty220">'Бланк заказа'!$U$397:$U$397</definedName>
    <definedName name="SalesQty221">'Бланк заказа'!$U$398:$U$398</definedName>
    <definedName name="SalesQty222">'Бланк заказа'!$U$402:$U$402</definedName>
    <definedName name="SalesQty223">'Бланк заказа'!$U$403:$U$403</definedName>
    <definedName name="SalesQty224">'Бланк заказа'!$U$407:$U$407</definedName>
    <definedName name="SalesQty225">'Бланк заказа'!$U$408:$U$408</definedName>
    <definedName name="SalesQty226">'Бланк заказа'!$U$409:$U$409</definedName>
    <definedName name="SalesQty227">'Бланк заказа'!$U$410:$U$410</definedName>
    <definedName name="SalesQty228">'Бланк заказа'!$U$411:$U$411</definedName>
    <definedName name="SalesQty229">'Бланк заказа'!$U$412:$U$412</definedName>
    <definedName name="SalesQty23">'Бланк заказа'!$U$69:$U$69</definedName>
    <definedName name="SalesQty230">'Бланк заказа'!$U$416:$U$416</definedName>
    <definedName name="SalesQty231">'Бланк заказа'!$U$417:$U$417</definedName>
    <definedName name="SalesQty232">'Бланк заказа'!$U$423:$U$423</definedName>
    <definedName name="SalesQty233">'Бланк заказа'!$U$424:$U$424</definedName>
    <definedName name="SalesQty234">'Бланк заказа'!$U$428:$U$428</definedName>
    <definedName name="SalesQty235">'Бланк заказа'!$U$429:$U$429</definedName>
    <definedName name="SalesQty236">'Бланк заказа'!$U$433:$U$433</definedName>
    <definedName name="SalesQty237">'Бланк заказа'!$U$434:$U$434</definedName>
    <definedName name="SalesQty238">'Бланк заказа'!$U$438:$U$438</definedName>
    <definedName name="SalesQty239">'Бланк заказа'!$U$439:$U$439</definedName>
    <definedName name="SalesQty24">'Бланк заказа'!$U$70:$U$70</definedName>
    <definedName name="SalesQty240">'Бланк заказа'!$U$440:$U$440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заказа'!$V$227:$V$227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заказа'!$V$238:$V$238</definedName>
    <definedName name="SalesRoundBox146">'Бланк заказа'!$V$242:$V$242</definedName>
    <definedName name="SalesRoundBox147">'Бланк заказа'!$V$243:$V$243</definedName>
    <definedName name="SalesRoundBox148">'Бланк заказа'!$V$248:$V$248</definedName>
    <definedName name="SalesRoundBox149">'Бланк заказа'!$V$249:$V$249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заказа'!$V$255:$V$255</definedName>
    <definedName name="SalesRoundBox153">'Бланк заказа'!$V$259:$V$259</definedName>
    <definedName name="SalesRoundBox154">'Бланк заказа'!$V$263:$V$263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заказа'!$V$276:$V$276</definedName>
    <definedName name="SalesRoundBox163">'Бланк заказа'!$V$280:$V$280</definedName>
    <definedName name="SalesRoundBox164">'Бланк заказа'!$V$281:$V$281</definedName>
    <definedName name="SalesRoundBox165">'Бланк заказа'!$V$285:$V$285</definedName>
    <definedName name="SalesRoundBox166">'Бланк заказа'!$V$289:$V$289</definedName>
    <definedName name="SalesRoundBox167">'Бланк заказа'!$V$293:$V$293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заказа'!$V$301:$V$301</definedName>
    <definedName name="SalesRoundBox172">'Бланк заказа'!$V$305:$V$305</definedName>
    <definedName name="SalesRoundBox173">'Бланк заказа'!$V$306:$V$306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заказа'!$V$313:$V$313</definedName>
    <definedName name="SalesRoundBox178">'Бланк заказа'!$V$317:$V$317</definedName>
    <definedName name="SalesRoundBox179">'Бланк заказа'!$V$323:$V$323</definedName>
    <definedName name="SalesRoundBox18">'Бланк заказа'!$V$64:$V$64</definedName>
    <definedName name="SalesRoundBox180">'Бланк заказа'!$V$324:$V$324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заказа'!$V$340:$V$340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заказа'!$V$347:$V$347</definedName>
    <definedName name="SalesRoundBox198">'Бланк заказа'!$V$351:$V$351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заказа'!$V$357:$V$357</definedName>
    <definedName name="SalesRoundBox202">'Бланк заказа'!$V$361:$V$361</definedName>
    <definedName name="SalesRoundBox203">'Бланк заказа'!$V$366:$V$366</definedName>
    <definedName name="SalesRoundBox204">'Бланк заказа'!$V$367:$V$367</definedName>
    <definedName name="SalesRoundBox205">'Бланк заказа'!$V$371:$V$371</definedName>
    <definedName name="SalesRoundBox206">'Бланк заказа'!$V$372:$V$372</definedName>
    <definedName name="SalesRoundBox207">'Бланк заказа'!$V$373:$V$373</definedName>
    <definedName name="SalesRoundBox208">'Бланк заказа'!$V$374:$V$374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заказа'!$V$383:$V$383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заказа'!$V$395:$V$395</definedName>
    <definedName name="SalesRoundBox219">'Бланк заказа'!$V$396:$V$396</definedName>
    <definedName name="SalesRoundBox22">'Бланк заказа'!$V$68:$V$68</definedName>
    <definedName name="SalesRoundBox220">'Бланк заказа'!$V$397:$V$397</definedName>
    <definedName name="SalesRoundBox221">'Бланк заказа'!$V$398:$V$398</definedName>
    <definedName name="SalesRoundBox222">'Бланк заказа'!$V$402:$V$402</definedName>
    <definedName name="SalesRoundBox223">'Бланк заказа'!$V$403:$V$403</definedName>
    <definedName name="SalesRoundBox224">'Бланк заказа'!$V$407:$V$407</definedName>
    <definedName name="SalesRoundBox225">'Бланк заказа'!$V$408:$V$408</definedName>
    <definedName name="SalesRoundBox226">'Бланк заказа'!$V$409:$V$409</definedName>
    <definedName name="SalesRoundBox227">'Бланк заказа'!$V$410:$V$410</definedName>
    <definedName name="SalesRoundBox228">'Бланк заказа'!$V$411:$V$411</definedName>
    <definedName name="SalesRoundBox229">'Бланк заказа'!$V$412:$V$412</definedName>
    <definedName name="SalesRoundBox23">'Бланк заказа'!$V$69:$V$69</definedName>
    <definedName name="SalesRoundBox230">'Бланк заказа'!$V$416:$V$416</definedName>
    <definedName name="SalesRoundBox231">'Бланк заказа'!$V$417:$V$417</definedName>
    <definedName name="SalesRoundBox232">'Бланк заказа'!$V$423:$V$423</definedName>
    <definedName name="SalesRoundBox233">'Бланк заказа'!$V$424:$V$424</definedName>
    <definedName name="SalesRoundBox234">'Бланк заказа'!$V$428:$V$428</definedName>
    <definedName name="SalesRoundBox235">'Бланк заказа'!$V$429:$V$429</definedName>
    <definedName name="SalesRoundBox236">'Бланк заказа'!$V$433:$V$433</definedName>
    <definedName name="SalesRoundBox237">'Бланк заказа'!$V$434:$V$434</definedName>
    <definedName name="SalesRoundBox238">'Бланк заказа'!$V$438:$V$438</definedName>
    <definedName name="SalesRoundBox239">'Бланк заказа'!$V$439:$V$439</definedName>
    <definedName name="SalesRoundBox24">'Бланк заказа'!$V$70:$V$70</definedName>
    <definedName name="SalesRoundBox240">'Бланк заказа'!$V$440:$V$440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заказа'!$T$227:$T$227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заказа'!$T$238:$T$238</definedName>
    <definedName name="UnitOfMeasure146">'Бланк заказа'!$T$242:$T$242</definedName>
    <definedName name="UnitOfMeasure147">'Бланк заказа'!$T$243:$T$243</definedName>
    <definedName name="UnitOfMeasure148">'Бланк заказа'!$T$248:$T$248</definedName>
    <definedName name="UnitOfMeasure149">'Бланк заказа'!$T$249:$T$249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заказа'!$T$255:$T$255</definedName>
    <definedName name="UnitOfMeasure153">'Бланк заказа'!$T$259:$T$259</definedName>
    <definedName name="UnitOfMeasure154">'Бланк заказа'!$T$263:$T$263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заказа'!$T$276:$T$276</definedName>
    <definedName name="UnitOfMeasure163">'Бланк заказа'!$T$280:$T$280</definedName>
    <definedName name="UnitOfMeasure164">'Бланк заказа'!$T$281:$T$281</definedName>
    <definedName name="UnitOfMeasure165">'Бланк заказа'!$T$285:$T$285</definedName>
    <definedName name="UnitOfMeasure166">'Бланк заказа'!$T$289:$T$289</definedName>
    <definedName name="UnitOfMeasure167">'Бланк заказа'!$T$293:$T$293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заказа'!$T$301:$T$301</definedName>
    <definedName name="UnitOfMeasure172">'Бланк заказа'!$T$305:$T$305</definedName>
    <definedName name="UnitOfMeasure173">'Бланк заказа'!$T$306:$T$306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заказа'!$T$313:$T$313</definedName>
    <definedName name="UnitOfMeasure178">'Бланк заказа'!$T$317:$T$317</definedName>
    <definedName name="UnitOfMeasure179">'Бланк заказа'!$T$323:$T$323</definedName>
    <definedName name="UnitOfMeasure18">'Бланк заказа'!$T$64:$T$64</definedName>
    <definedName name="UnitOfMeasure180">'Бланк заказа'!$T$324:$T$324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заказа'!$T$340:$T$340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заказа'!$T$347:$T$347</definedName>
    <definedName name="UnitOfMeasure198">'Бланк заказа'!$T$351:$T$351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заказа'!$T$357:$T$357</definedName>
    <definedName name="UnitOfMeasure202">'Бланк заказа'!$T$361:$T$361</definedName>
    <definedName name="UnitOfMeasure203">'Бланк заказа'!$T$366:$T$366</definedName>
    <definedName name="UnitOfMeasure204">'Бланк заказа'!$T$367:$T$367</definedName>
    <definedName name="UnitOfMeasure205">'Бланк заказа'!$T$371:$T$371</definedName>
    <definedName name="UnitOfMeasure206">'Бланк заказа'!$T$372:$T$372</definedName>
    <definedName name="UnitOfMeasure207">'Бланк заказа'!$T$373:$T$373</definedName>
    <definedName name="UnitOfMeasure208">'Бланк заказа'!$T$374:$T$374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заказа'!$T$383:$T$383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заказа'!$T$395:$T$395</definedName>
    <definedName name="UnitOfMeasure219">'Бланк заказа'!$T$396:$T$396</definedName>
    <definedName name="UnitOfMeasure22">'Бланк заказа'!$T$68:$T$68</definedName>
    <definedName name="UnitOfMeasure220">'Бланк заказа'!$T$397:$T$397</definedName>
    <definedName name="UnitOfMeasure221">'Бланк заказа'!$T$398:$T$398</definedName>
    <definedName name="UnitOfMeasure222">'Бланк заказа'!$T$402:$T$402</definedName>
    <definedName name="UnitOfMeasure223">'Бланк заказа'!$T$403:$T$403</definedName>
    <definedName name="UnitOfMeasure224">'Бланк заказа'!$T$407:$T$407</definedName>
    <definedName name="UnitOfMeasure225">'Бланк заказа'!$T$408:$T$408</definedName>
    <definedName name="UnitOfMeasure226">'Бланк заказа'!$T$409:$T$409</definedName>
    <definedName name="UnitOfMeasure227">'Бланк заказа'!$T$410:$T$410</definedName>
    <definedName name="UnitOfMeasure228">'Бланк заказа'!$T$411:$T$411</definedName>
    <definedName name="UnitOfMeasure229">'Бланк заказа'!$T$412:$T$412</definedName>
    <definedName name="UnitOfMeasure23">'Бланк заказа'!$T$69:$T$69</definedName>
    <definedName name="UnitOfMeasure230">'Бланк заказа'!$T$416:$T$416</definedName>
    <definedName name="UnitOfMeasure231">'Бланк заказа'!$T$417:$T$417</definedName>
    <definedName name="UnitOfMeasure232">'Бланк заказа'!$T$423:$T$423</definedName>
    <definedName name="UnitOfMeasure233">'Бланк заказа'!$T$424:$T$424</definedName>
    <definedName name="UnitOfMeasure234">'Бланк заказа'!$T$428:$T$428</definedName>
    <definedName name="UnitOfMeasure235">'Бланк заказа'!$T$429:$T$429</definedName>
    <definedName name="UnitOfMeasure236">'Бланк заказа'!$T$433:$T$433</definedName>
    <definedName name="UnitOfMeasure237">'Бланк заказа'!$T$434:$T$434</definedName>
    <definedName name="UnitOfMeasure238">'Бланк заказа'!$T$438:$T$438</definedName>
    <definedName name="UnitOfMeasure239">'Бланк заказа'!$T$439:$T$439</definedName>
    <definedName name="UnitOfMeasure24">'Бланк заказа'!$T$70:$T$70</definedName>
    <definedName name="UnitOfMeasure240">'Бланк заказа'!$T$440:$T$440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заказа'!$B$18:$W$448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54"/>
  <sheetViews>
    <sheetView showGridLines="0" tabSelected="1" topLeftCell="A11" zoomScaleNormal="100" zoomScaleSheetLayoutView="100" workbookViewId="0">
      <selection activeCell="M159" sqref="M159:Q159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0">
      <c r="A1" s="48" t="n"/>
      <c r="B1" s="48" t="n"/>
      <c r="C1" s="48" t="n"/>
      <c r="D1" s="312" t="inlineStr">
        <is>
          <t xml:space="preserve">  БЛАНК ЗАКАЗА </t>
        </is>
      </c>
      <c r="G1" s="14" t="inlineStr">
        <is>
          <t>КИ</t>
        </is>
      </c>
      <c r="H1" s="312" t="inlineStr">
        <is>
          <t>на отгрузку продукции с ООО Трейд-Сервис с</t>
        </is>
      </c>
      <c r="O1" s="313" t="inlineStr">
        <is>
          <t>07.08.2023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0">
      <c r="A2" s="34" t="inlineStr">
        <is>
          <t>бланк создан</t>
        </is>
      </c>
      <c r="B2" s="35" t="inlineStr">
        <is>
          <t>02.08.2023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0">
      <c r="A5" s="316" t="inlineStr">
        <is>
          <t xml:space="preserve">Ваш контактный телефон и имя: </t>
        </is>
      </c>
      <c r="B5" s="627" t="n"/>
      <c r="C5" s="628" t="n"/>
      <c r="D5" s="317" t="n"/>
      <c r="E5" s="629" t="n"/>
      <c r="F5" s="318" t="inlineStr">
        <is>
          <t>Комментарий к заказу:</t>
        </is>
      </c>
      <c r="G5" s="628" t="n"/>
      <c r="H5" s="317" t="n"/>
      <c r="I5" s="630" t="n"/>
      <c r="J5" s="630" t="n"/>
      <c r="K5" s="629" t="n"/>
      <c r="M5" s="29" t="inlineStr">
        <is>
          <t>Дата загрузки</t>
        </is>
      </c>
      <c r="N5" s="631" t="n">
        <v>45145</v>
      </c>
      <c r="O5" s="632" t="n"/>
      <c r="Q5" s="321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350">
      <c r="A6" s="316" t="inlineStr">
        <is>
          <t>Адрес доставки:</t>
        </is>
      </c>
      <c r="B6" s="627" t="n"/>
      <c r="C6" s="628" t="n"/>
      <c r="D6" s="324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325">
        <f>IF(N5=0," ",CHOOSE(WEEKDAY(N5,2),"Понедельник","Вторник","Среда","Четверг","Пятница","Суббота","Воскресенье"))</f>
        <v/>
      </c>
      <c r="O6" s="636" t="n"/>
      <c r="Q6" s="327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350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350">
      <c r="A8" s="337" t="inlineStr">
        <is>
          <t>Адрес сдачи груза:</t>
        </is>
      </c>
      <c r="B8" s="644" t="n"/>
      <c r="C8" s="645" t="n"/>
      <c r="D8" s="338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339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350">
      <c r="A9" s="34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1" t="inlineStr"/>
      <c r="E9" s="3" t="n"/>
      <c r="F9" s="34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0">
      <c r="A10" s="34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1" t="n"/>
      <c r="E10" s="3" t="n"/>
      <c r="F10" s="34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4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39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39" t="n"/>
      <c r="O11" s="632" t="n"/>
      <c r="R11" s="29" t="inlineStr">
        <is>
          <t>Тип заказа</t>
        </is>
      </c>
      <c r="S11" s="347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0">
      <c r="A12" s="348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349" t="n"/>
      <c r="O12" s="641" t="n"/>
      <c r="P12" s="28" t="n"/>
      <c r="R12" s="29" t="inlineStr"/>
      <c r="S12" s="350" t="n"/>
      <c r="T12" s="1" t="n"/>
      <c r="Y12" s="60" t="n"/>
      <c r="Z12" s="60" t="n"/>
      <c r="AA12" s="60" t="n"/>
    </row>
    <row r="13" ht="23.25" customFormat="1" customHeight="1" s="350">
      <c r="A13" s="348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347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0">
      <c r="A14" s="348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0">
      <c r="A15" s="351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353" t="inlineStr">
        <is>
          <t>Кликните на продукт, чтобы просмотреть изображение</t>
        </is>
      </c>
      <c r="U15" s="350" t="n"/>
      <c r="V15" s="350" t="n"/>
      <c r="W15" s="350" t="n"/>
      <c r="X15" s="35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5" t="inlineStr">
        <is>
          <t>Код единицы продаж</t>
        </is>
      </c>
      <c r="B17" s="355" t="inlineStr">
        <is>
          <t>Код продукта</t>
        </is>
      </c>
      <c r="C17" s="356" t="inlineStr">
        <is>
          <t>Номер варианта</t>
        </is>
      </c>
      <c r="D17" s="355" t="inlineStr">
        <is>
          <t xml:space="preserve">Штрих-код </t>
        </is>
      </c>
      <c r="E17" s="653" t="n"/>
      <c r="F17" s="355" t="inlineStr">
        <is>
          <t>Вес нетто штуки, кг</t>
        </is>
      </c>
      <c r="G17" s="355" t="inlineStr">
        <is>
          <t>Кол-во штук в коробе, шт</t>
        </is>
      </c>
      <c r="H17" s="355" t="inlineStr">
        <is>
          <t>Вес нетто короба, кг</t>
        </is>
      </c>
      <c r="I17" s="355" t="inlineStr">
        <is>
          <t>Вес брутто короба, кг</t>
        </is>
      </c>
      <c r="J17" s="355" t="inlineStr">
        <is>
          <t>Кол-во кор. на паллте, шт</t>
        </is>
      </c>
      <c r="K17" s="355" t="inlineStr">
        <is>
          <t>Завод</t>
        </is>
      </c>
      <c r="L17" s="355" t="inlineStr">
        <is>
          <t>Срок годности, сут.</t>
        </is>
      </c>
      <c r="M17" s="355" t="inlineStr">
        <is>
          <t>Наименование</t>
        </is>
      </c>
      <c r="N17" s="654" t="n"/>
      <c r="O17" s="654" t="n"/>
      <c r="P17" s="654" t="n"/>
      <c r="Q17" s="653" t="n"/>
      <c r="R17" s="354" t="inlineStr">
        <is>
          <t>Доступно к отгрузке</t>
        </is>
      </c>
      <c r="S17" s="628" t="n"/>
      <c r="T17" s="355" t="inlineStr">
        <is>
          <t>Ед. изм.</t>
        </is>
      </c>
      <c r="U17" s="355" t="inlineStr">
        <is>
          <t>Заказ</t>
        </is>
      </c>
      <c r="V17" s="359" t="inlineStr">
        <is>
          <t>Заказ с округлением до короба</t>
        </is>
      </c>
      <c r="W17" s="355" t="inlineStr">
        <is>
          <t>Объём заказа, м3</t>
        </is>
      </c>
      <c r="X17" s="361" t="inlineStr">
        <is>
          <t>Примечание по продуктку</t>
        </is>
      </c>
      <c r="Y17" s="361" t="inlineStr">
        <is>
          <t>Признак "НОВИНКА"</t>
        </is>
      </c>
      <c r="Z17" s="361" t="inlineStr">
        <is>
          <t>Для формул</t>
        </is>
      </c>
      <c r="AA17" s="655" t="n"/>
      <c r="AB17" s="656" t="n"/>
      <c r="AC17" s="368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354" t="inlineStr">
        <is>
          <t>начиная с</t>
        </is>
      </c>
      <c r="S18" s="354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</row>
    <row r="19" ht="27.75" customHeight="1">
      <c r="A19" s="369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7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0" t="n"/>
      <c r="Y20" s="370" t="n"/>
    </row>
    <row r="21" ht="14.25" customHeight="1">
      <c r="A21" s="37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1" t="n"/>
      <c r="Y21" s="37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2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 t="inlineStr">
        <is>
          <t>В/к колбасы Колбаски Бюргерсы Ядрена копоть 0,3 Ядрена копоть</t>
        </is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8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7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1" t="n"/>
      <c r="Y25" s="37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2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2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2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2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 t="inlineStr">
        <is>
          <t>Сосиски С соусом Барбекю Ядрена копоть Фикс.вес 0,33 ц/о мгс Ядрена копоть</t>
        </is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2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2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8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7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1" t="n"/>
      <c r="Y34" s="37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2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2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80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7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1" t="n"/>
      <c r="Y39" s="37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2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80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14.25" customHeight="1">
      <c r="A43" s="371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71" t="n"/>
      <c r="Y43" s="371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72" t="n">
        <v>4607091389111</v>
      </c>
      <c r="E44" s="636" t="n"/>
      <c r="F44" s="668" t="n">
        <v>0.025</v>
      </c>
      <c r="G44" s="38" t="n">
        <v>10</v>
      </c>
      <c r="H44" s="668" t="n">
        <v>0.25</v>
      </c>
      <c r="I44" s="668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86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0" t="n"/>
      <c r="O44" s="670" t="n"/>
      <c r="P44" s="670" t="n"/>
      <c r="Q44" s="636" t="n"/>
      <c r="R44" s="40" t="inlineStr"/>
      <c r="S44" s="40" t="inlineStr"/>
      <c r="T44" s="41" t="inlineStr">
        <is>
          <t>кг</t>
        </is>
      </c>
      <c r="U44" s="671" t="n">
        <v>0</v>
      </c>
      <c r="V44" s="672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80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3" t="n"/>
      <c r="M45" s="674" t="inlineStr">
        <is>
          <t>Итого</t>
        </is>
      </c>
      <c r="N45" s="644" t="n"/>
      <c r="O45" s="644" t="n"/>
      <c r="P45" s="644" t="n"/>
      <c r="Q45" s="644" t="n"/>
      <c r="R45" s="644" t="n"/>
      <c r="S45" s="645" t="n"/>
      <c r="T45" s="43" t="inlineStr">
        <is>
          <t>кор</t>
        </is>
      </c>
      <c r="U45" s="675">
        <f>IFERROR(U44/H44,"0")</f>
        <v/>
      </c>
      <c r="V45" s="675">
        <f>IFERROR(V44/H44,"0")</f>
        <v/>
      </c>
      <c r="W45" s="675">
        <f>IFERROR(IF(W44="",0,W44),"0")</f>
        <v/>
      </c>
      <c r="X45" s="676" t="n"/>
      <c r="Y45" s="676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3" t="n"/>
      <c r="M46" s="674" t="inlineStr">
        <is>
          <t>Итого</t>
        </is>
      </c>
      <c r="N46" s="644" t="n"/>
      <c r="O46" s="644" t="n"/>
      <c r="P46" s="644" t="n"/>
      <c r="Q46" s="644" t="n"/>
      <c r="R46" s="644" t="n"/>
      <c r="S46" s="645" t="n"/>
      <c r="T46" s="43" t="inlineStr">
        <is>
          <t>кг</t>
        </is>
      </c>
      <c r="U46" s="675">
        <f>IFERROR(SUM(U44:U44),"0")</f>
        <v/>
      </c>
      <c r="V46" s="675">
        <f>IFERROR(SUM(V44:V44),"0")</f>
        <v/>
      </c>
      <c r="W46" s="43" t="n"/>
      <c r="X46" s="676" t="n"/>
      <c r="Y46" s="676" t="n"/>
    </row>
    <row r="47" ht="27.75" customHeight="1">
      <c r="A47" s="369" t="inlineStr">
        <is>
          <t>Вязанка</t>
        </is>
      </c>
      <c r="B47" s="667" t="n"/>
      <c r="C47" s="667" t="n"/>
      <c r="D47" s="667" t="n"/>
      <c r="E47" s="667" t="n"/>
      <c r="F47" s="667" t="n"/>
      <c r="G47" s="667" t="n"/>
      <c r="H47" s="667" t="n"/>
      <c r="I47" s="667" t="n"/>
      <c r="J47" s="667" t="n"/>
      <c r="K47" s="667" t="n"/>
      <c r="L47" s="667" t="n"/>
      <c r="M47" s="667" t="n"/>
      <c r="N47" s="667" t="n"/>
      <c r="O47" s="667" t="n"/>
      <c r="P47" s="667" t="n"/>
      <c r="Q47" s="667" t="n"/>
      <c r="R47" s="667" t="n"/>
      <c r="S47" s="667" t="n"/>
      <c r="T47" s="667" t="n"/>
      <c r="U47" s="667" t="n"/>
      <c r="V47" s="667" t="n"/>
      <c r="W47" s="667" t="n"/>
      <c r="X47" s="55" t="n"/>
      <c r="Y47" s="55" t="n"/>
    </row>
    <row r="48" ht="16.5" customHeight="1">
      <c r="A48" s="370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0" t="n"/>
      <c r="Y48" s="370" t="n"/>
    </row>
    <row r="49" ht="14.25" customHeight="1">
      <c r="A49" s="371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71" t="n"/>
      <c r="Y49" s="371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72" t="n">
        <v>4680115881440</v>
      </c>
      <c r="E50" s="636" t="n"/>
      <c r="F50" s="668" t="n">
        <v>1.35</v>
      </c>
      <c r="G50" s="38" t="n">
        <v>8</v>
      </c>
      <c r="H50" s="668" t="n">
        <v>10.8</v>
      </c>
      <c r="I50" s="668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87">
        <f>HYPERLINK("https://abi.ru/products/Охлажденные/Вязанка/Столичная/Ветчины/P003234/","Ветчины «Филейская» Весовые Вектор ТМ «Вязанка»")</f>
        <v/>
      </c>
      <c r="N50" s="670" t="n"/>
      <c r="O50" s="670" t="n"/>
      <c r="P50" s="670" t="n"/>
      <c r="Q50" s="636" t="n"/>
      <c r="R50" s="40" t="inlineStr"/>
      <c r="S50" s="40" t="inlineStr"/>
      <c r="T50" s="41" t="inlineStr">
        <is>
          <t>кг</t>
        </is>
      </c>
      <c r="U50" s="671" t="n">
        <v>0</v>
      </c>
      <c r="V50" s="672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72" t="n">
        <v>4680115881433</v>
      </c>
      <c r="E51" s="636" t="n"/>
      <c r="F51" s="668" t="n">
        <v>0.45</v>
      </c>
      <c r="G51" s="38" t="n">
        <v>6</v>
      </c>
      <c r="H51" s="668" t="n">
        <v>2.7</v>
      </c>
      <c r="I51" s="668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88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0" t="n"/>
      <c r="O51" s="670" t="n"/>
      <c r="P51" s="670" t="n"/>
      <c r="Q51" s="636" t="n"/>
      <c r="R51" s="40" t="inlineStr"/>
      <c r="S51" s="40" t="inlineStr"/>
      <c r="T51" s="41" t="inlineStr">
        <is>
          <t>кг</t>
        </is>
      </c>
      <c r="U51" s="671" t="n">
        <v>0</v>
      </c>
      <c r="V51" s="672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80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3" t="n"/>
      <c r="M52" s="674" t="inlineStr">
        <is>
          <t>Итого</t>
        </is>
      </c>
      <c r="N52" s="644" t="n"/>
      <c r="O52" s="644" t="n"/>
      <c r="P52" s="644" t="n"/>
      <c r="Q52" s="644" t="n"/>
      <c r="R52" s="644" t="n"/>
      <c r="S52" s="645" t="n"/>
      <c r="T52" s="43" t="inlineStr">
        <is>
          <t>кор</t>
        </is>
      </c>
      <c r="U52" s="675">
        <f>IFERROR(U50/H50,"0")+IFERROR(U51/H51,"0")</f>
        <v/>
      </c>
      <c r="V52" s="675">
        <f>IFERROR(V50/H50,"0")+IFERROR(V51/H51,"0")</f>
        <v/>
      </c>
      <c r="W52" s="675">
        <f>IFERROR(IF(W50="",0,W50),"0")+IFERROR(IF(W51="",0,W51),"0")</f>
        <v/>
      </c>
      <c r="X52" s="676" t="n"/>
      <c r="Y52" s="676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3" t="n"/>
      <c r="M53" s="674" t="inlineStr">
        <is>
          <t>Итого</t>
        </is>
      </c>
      <c r="N53" s="644" t="n"/>
      <c r="O53" s="644" t="n"/>
      <c r="P53" s="644" t="n"/>
      <c r="Q53" s="644" t="n"/>
      <c r="R53" s="644" t="n"/>
      <c r="S53" s="645" t="n"/>
      <c r="T53" s="43" t="inlineStr">
        <is>
          <t>кг</t>
        </is>
      </c>
      <c r="U53" s="675">
        <f>IFERROR(SUM(U50:U51),"0")</f>
        <v/>
      </c>
      <c r="V53" s="675">
        <f>IFERROR(SUM(V50:V51),"0")</f>
        <v/>
      </c>
      <c r="W53" s="43" t="n"/>
      <c r="X53" s="676" t="n"/>
      <c r="Y53" s="676" t="n"/>
    </row>
    <row r="54" ht="16.5" customHeight="1">
      <c r="A54" s="370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0" t="n"/>
      <c r="Y54" s="370" t="n"/>
    </row>
    <row r="55" ht="14.25" customHeight="1">
      <c r="A55" s="371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71" t="n"/>
      <c r="Y55" s="371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2" t="n">
        <v>4680115881426</v>
      </c>
      <c r="E56" s="636" t="n"/>
      <c r="F56" s="668" t="n">
        <v>1.35</v>
      </c>
      <c r="G56" s="38" t="n">
        <v>8</v>
      </c>
      <c r="H56" s="668" t="n">
        <v>10.8</v>
      </c>
      <c r="I56" s="668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8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0" t="n"/>
      <c r="O56" s="670" t="n"/>
      <c r="P56" s="670" t="n"/>
      <c r="Q56" s="636" t="n"/>
      <c r="R56" s="40" t="inlineStr"/>
      <c r="S56" s="40" t="inlineStr"/>
      <c r="T56" s="41" t="inlineStr">
        <is>
          <t>кг</t>
        </is>
      </c>
      <c r="U56" s="671" t="n">
        <v>2400</v>
      </c>
      <c r="V56" s="672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2" t="n">
        <v>4680115881419</v>
      </c>
      <c r="E57" s="636" t="n"/>
      <c r="F57" s="668" t="n">
        <v>0.45</v>
      </c>
      <c r="G57" s="38" t="n">
        <v>10</v>
      </c>
      <c r="H57" s="668" t="n">
        <v>4.5</v>
      </c>
      <c r="I57" s="668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0" t="n"/>
      <c r="O57" s="670" t="n"/>
      <c r="P57" s="670" t="n"/>
      <c r="Q57" s="636" t="n"/>
      <c r="R57" s="40" t="inlineStr"/>
      <c r="S57" s="40" t="inlineStr"/>
      <c r="T57" s="41" t="inlineStr">
        <is>
          <t>кг</t>
        </is>
      </c>
      <c r="U57" s="671" t="n">
        <v>0</v>
      </c>
      <c r="V57" s="672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2" t="n">
        <v>4680115881525</v>
      </c>
      <c r="E58" s="636" t="n"/>
      <c r="F58" s="668" t="n">
        <v>0.4</v>
      </c>
      <c r="G58" s="38" t="n">
        <v>10</v>
      </c>
      <c r="H58" s="668" t="n">
        <v>4</v>
      </c>
      <c r="I58" s="668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1" t="inlineStr">
        <is>
          <t>Колбаса вареная Филейская ТМ Вязанка ТС Классическая полиамид ф/в 0,4 кг</t>
        </is>
      </c>
      <c r="N58" s="670" t="n"/>
      <c r="O58" s="670" t="n"/>
      <c r="P58" s="670" t="n"/>
      <c r="Q58" s="636" t="n"/>
      <c r="R58" s="40" t="inlineStr"/>
      <c r="S58" s="40" t="inlineStr"/>
      <c r="T58" s="41" t="inlineStr">
        <is>
          <t>кг</t>
        </is>
      </c>
      <c r="U58" s="671" t="n">
        <v>0</v>
      </c>
      <c r="V58" s="672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80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3" t="n"/>
      <c r="M59" s="674" t="inlineStr">
        <is>
          <t>Итого</t>
        </is>
      </c>
      <c r="N59" s="644" t="n"/>
      <c r="O59" s="644" t="n"/>
      <c r="P59" s="644" t="n"/>
      <c r="Q59" s="644" t="n"/>
      <c r="R59" s="644" t="n"/>
      <c r="S59" s="645" t="n"/>
      <c r="T59" s="43" t="inlineStr">
        <is>
          <t>кор</t>
        </is>
      </c>
      <c r="U59" s="675">
        <f>IFERROR(U56/H56,"0")+IFERROR(U57/H57,"0")+IFERROR(U58/H58,"0")</f>
        <v/>
      </c>
      <c r="V59" s="675">
        <f>IFERROR(V56/H56,"0")+IFERROR(V57/H57,"0")+IFERROR(V58/H58,"0")</f>
        <v/>
      </c>
      <c r="W59" s="675">
        <f>IFERROR(IF(W56="",0,W56),"0")+IFERROR(IF(W57="",0,W57),"0")+IFERROR(IF(W58="",0,W58),"0")</f>
        <v/>
      </c>
      <c r="X59" s="676" t="n"/>
      <c r="Y59" s="676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3" t="n"/>
      <c r="M60" s="674" t="inlineStr">
        <is>
          <t>Итого</t>
        </is>
      </c>
      <c r="N60" s="644" t="n"/>
      <c r="O60" s="644" t="n"/>
      <c r="P60" s="644" t="n"/>
      <c r="Q60" s="644" t="n"/>
      <c r="R60" s="644" t="n"/>
      <c r="S60" s="645" t="n"/>
      <c r="T60" s="43" t="inlineStr">
        <is>
          <t>кг</t>
        </is>
      </c>
      <c r="U60" s="675">
        <f>IFERROR(SUM(U56:U58),"0")</f>
        <v/>
      </c>
      <c r="V60" s="675">
        <f>IFERROR(SUM(V56:V58),"0")</f>
        <v/>
      </c>
      <c r="W60" s="43" t="n"/>
      <c r="X60" s="676" t="n"/>
      <c r="Y60" s="676" t="n"/>
    </row>
    <row r="61" ht="16.5" customHeight="1">
      <c r="A61" s="370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0" t="n"/>
      <c r="Y61" s="370" t="n"/>
    </row>
    <row r="62" ht="14.25" customHeight="1">
      <c r="A62" s="371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1" t="n"/>
      <c r="Y62" s="371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72" t="n">
        <v>4607091382945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2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2" t="n">
        <v>4607091385670</v>
      </c>
      <c r="E64" s="636" t="n"/>
      <c r="F64" s="668" t="n">
        <v>1.35</v>
      </c>
      <c r="G64" s="38" t="n">
        <v>8</v>
      </c>
      <c r="H64" s="668" t="n">
        <v>10.8</v>
      </c>
      <c r="I64" s="668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2" t="n">
        <v>4680115881327</v>
      </c>
      <c r="E65" s="636" t="n"/>
      <c r="F65" s="668" t="n">
        <v>1.35</v>
      </c>
      <c r="G65" s="38" t="n">
        <v>8</v>
      </c>
      <c r="H65" s="668" t="n">
        <v>10.8</v>
      </c>
      <c r="I65" s="668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72" t="n">
        <v>4607091388312</v>
      </c>
      <c r="E66" s="636" t="n"/>
      <c r="F66" s="668" t="n">
        <v>1.35</v>
      </c>
      <c r="G66" s="38" t="n">
        <v>8</v>
      </c>
      <c r="H66" s="668" t="n">
        <v>10.8</v>
      </c>
      <c r="I66" s="668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5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72" t="n">
        <v>4680115882133</v>
      </c>
      <c r="E67" s="636" t="n"/>
      <c r="F67" s="668" t="n">
        <v>1.35</v>
      </c>
      <c r="G67" s="38" t="n">
        <v>8</v>
      </c>
      <c r="H67" s="668" t="n">
        <v>10.8</v>
      </c>
      <c r="I67" s="668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96" t="inlineStr">
        <is>
          <t>Вареные колбасы "Сливушка" Вес П/а ТМ "Вязанка"</t>
        </is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72" t="n">
        <v>4607091382952</v>
      </c>
      <c r="E68" s="636" t="n"/>
      <c r="F68" s="668" t="n">
        <v>0.5</v>
      </c>
      <c r="G68" s="38" t="n">
        <v>6</v>
      </c>
      <c r="H68" s="668" t="n">
        <v>3</v>
      </c>
      <c r="I68" s="668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9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2" t="n">
        <v>4607091385687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72" t="n">
        <v>4680115882539</v>
      </c>
      <c r="E70" s="636" t="n"/>
      <c r="F70" s="668" t="n">
        <v>0.37</v>
      </c>
      <c r="G70" s="38" t="n">
        <v>10</v>
      </c>
      <c r="H70" s="668" t="n">
        <v>3.7</v>
      </c>
      <c r="I70" s="668" t="n">
        <v>3.94</v>
      </c>
      <c r="J70" s="38" t="n">
        <v>120</v>
      </c>
      <c r="K70" s="39" t="inlineStr">
        <is>
          <t>СК3</t>
        </is>
      </c>
      <c r="L70" s="38" t="n">
        <v>50</v>
      </c>
      <c r="M70" s="699" t="inlineStr">
        <is>
          <t>Вареные колбасы "Докторская ГОСТ" Фикс.вес 0,37 п/а ТМ "Вязанка"</t>
        </is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72" t="n">
        <v>4607091384604</v>
      </c>
      <c r="E71" s="636" t="n"/>
      <c r="F71" s="668" t="n">
        <v>0.4</v>
      </c>
      <c r="G71" s="38" t="n">
        <v>10</v>
      </c>
      <c r="H71" s="668" t="n">
        <v>4</v>
      </c>
      <c r="I71" s="668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0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72" t="n">
        <v>4680115880283</v>
      </c>
      <c r="E72" s="636" t="n"/>
      <c r="F72" s="668" t="n">
        <v>0.6</v>
      </c>
      <c r="G72" s="38" t="n">
        <v>8</v>
      </c>
      <c r="H72" s="668" t="n">
        <v>4.8</v>
      </c>
      <c r="I72" s="668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1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72" t="n">
        <v>4680115881518</v>
      </c>
      <c r="E73" s="636" t="n"/>
      <c r="F73" s="668" t="n">
        <v>0.4</v>
      </c>
      <c r="G73" s="38" t="n">
        <v>10</v>
      </c>
      <c r="H73" s="668" t="n">
        <v>4</v>
      </c>
      <c r="I73" s="668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2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372" t="n">
        <v>4607091381986</v>
      </c>
      <c r="E74" s="636" t="n"/>
      <c r="F74" s="668" t="n">
        <v>0.5</v>
      </c>
      <c r="G74" s="38" t="n">
        <v>10</v>
      </c>
      <c r="H74" s="668" t="n">
        <v>5</v>
      </c>
      <c r="I74" s="668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703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72" t="n">
        <v>4680115881303</v>
      </c>
      <c r="E75" s="636" t="n"/>
      <c r="F75" s="668" t="n">
        <v>0.45</v>
      </c>
      <c r="G75" s="38" t="n">
        <v>10</v>
      </c>
      <c r="H75" s="668" t="n">
        <v>4.5</v>
      </c>
      <c r="I75" s="668" t="n">
        <v>4.71</v>
      </c>
      <c r="J75" s="38" t="n">
        <v>120</v>
      </c>
      <c r="K75" s="39" t="inlineStr">
        <is>
          <t>СК4</t>
        </is>
      </c>
      <c r="L75" s="38" t="n">
        <v>50</v>
      </c>
      <c r="M75" s="70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5" s="670" t="n"/>
      <c r="O75" s="670" t="n"/>
      <c r="P75" s="670" t="n"/>
      <c r="Q75" s="636" t="n"/>
      <c r="R75" s="40" t="inlineStr"/>
      <c r="S75" s="40" t="inlineStr"/>
      <c r="T75" s="41" t="inlineStr">
        <is>
          <t>кг</t>
        </is>
      </c>
      <c r="U75" s="671" t="n">
        <v>0</v>
      </c>
      <c r="V75" s="672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72" t="n">
        <v>4607091388466</v>
      </c>
      <c r="E76" s="636" t="n"/>
      <c r="F76" s="668" t="n">
        <v>0.45</v>
      </c>
      <c r="G76" s="38" t="n">
        <v>6</v>
      </c>
      <c r="H76" s="668" t="n">
        <v>2.7</v>
      </c>
      <c r="I76" s="668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0" t="n"/>
      <c r="O76" s="670" t="n"/>
      <c r="P76" s="670" t="n"/>
      <c r="Q76" s="636" t="n"/>
      <c r="R76" s="40" t="inlineStr"/>
      <c r="S76" s="40" t="inlineStr"/>
      <c r="T76" s="41" t="inlineStr">
        <is>
          <t>кг</t>
        </is>
      </c>
      <c r="U76" s="671" t="n">
        <v>0</v>
      </c>
      <c r="V76" s="672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72" t="n">
        <v>4680115880269</v>
      </c>
      <c r="E77" s="636" t="n"/>
      <c r="F77" s="668" t="n">
        <v>0.375</v>
      </c>
      <c r="G77" s="38" t="n">
        <v>10</v>
      </c>
      <c r="H77" s="668" t="n">
        <v>3.75</v>
      </c>
      <c r="I77" s="668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0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0" t="n"/>
      <c r="O77" s="670" t="n"/>
      <c r="P77" s="670" t="n"/>
      <c r="Q77" s="636" t="n"/>
      <c r="R77" s="40" t="inlineStr"/>
      <c r="S77" s="40" t="inlineStr"/>
      <c r="T77" s="41" t="inlineStr">
        <is>
          <t>кг</t>
        </is>
      </c>
      <c r="U77" s="671" t="n">
        <v>0</v>
      </c>
      <c r="V77" s="672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72" t="n">
        <v>4680115880429</v>
      </c>
      <c r="E78" s="636" t="n"/>
      <c r="F78" s="668" t="n">
        <v>0.45</v>
      </c>
      <c r="G78" s="38" t="n">
        <v>10</v>
      </c>
      <c r="H78" s="668" t="n">
        <v>4.5</v>
      </c>
      <c r="I78" s="668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0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72" t="n">
        <v>4680115881457</v>
      </c>
      <c r="E79" s="636" t="n"/>
      <c r="F79" s="668" t="n">
        <v>0.75</v>
      </c>
      <c r="G79" s="38" t="n">
        <v>6</v>
      </c>
      <c r="H79" s="668" t="n">
        <v>4.5</v>
      </c>
      <c r="I79" s="668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0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80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3" t="n"/>
      <c r="M80" s="674" t="inlineStr">
        <is>
          <t>Итого</t>
        </is>
      </c>
      <c r="N80" s="644" t="n"/>
      <c r="O80" s="644" t="n"/>
      <c r="P80" s="644" t="n"/>
      <c r="Q80" s="644" t="n"/>
      <c r="R80" s="644" t="n"/>
      <c r="S80" s="645" t="n"/>
      <c r="T80" s="43" t="inlineStr">
        <is>
          <t>кор</t>
        </is>
      </c>
      <c r="U80" s="67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76" t="n"/>
      <c r="Y80" s="676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3" t="n"/>
      <c r="M81" s="674" t="inlineStr">
        <is>
          <t>Итого</t>
        </is>
      </c>
      <c r="N81" s="644" t="n"/>
      <c r="O81" s="644" t="n"/>
      <c r="P81" s="644" t="n"/>
      <c r="Q81" s="644" t="n"/>
      <c r="R81" s="644" t="n"/>
      <c r="S81" s="645" t="n"/>
      <c r="T81" s="43" t="inlineStr">
        <is>
          <t>кг</t>
        </is>
      </c>
      <c r="U81" s="675">
        <f>IFERROR(SUM(U63:U79),"0")</f>
        <v/>
      </c>
      <c r="V81" s="675">
        <f>IFERROR(SUM(V63:V79),"0")</f>
        <v/>
      </c>
      <c r="W81" s="43" t="n"/>
      <c r="X81" s="676" t="n"/>
      <c r="Y81" s="676" t="n"/>
    </row>
    <row r="82" ht="14.25" customHeight="1">
      <c r="A82" s="371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71" t="n"/>
      <c r="Y82" s="371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72" t="n">
        <v>4607091388442</v>
      </c>
      <c r="E83" s="636" t="n"/>
      <c r="F83" s="668" t="n">
        <v>1.35</v>
      </c>
      <c r="G83" s="38" t="n">
        <v>8</v>
      </c>
      <c r="H83" s="668" t="n">
        <v>10.8</v>
      </c>
      <c r="I83" s="668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09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72" t="n">
        <v>4607091384789</v>
      </c>
      <c r="E84" s="636" t="n"/>
      <c r="F84" s="668" t="n">
        <v>1</v>
      </c>
      <c r="G84" s="38" t="n">
        <v>6</v>
      </c>
      <c r="H84" s="668" t="n">
        <v>6</v>
      </c>
      <c r="I84" s="668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0" t="inlineStr">
        <is>
          <t>Ветчины Запекуша с сочным окороком Вязанка Весовые П/а Вязанка</t>
        </is>
      </c>
      <c r="N84" s="670" t="n"/>
      <c r="O84" s="670" t="n"/>
      <c r="P84" s="670" t="n"/>
      <c r="Q84" s="636" t="n"/>
      <c r="R84" s="40" t="inlineStr"/>
      <c r="S84" s="40" t="inlineStr"/>
      <c r="T84" s="41" t="inlineStr">
        <is>
          <t>кг</t>
        </is>
      </c>
      <c r="U84" s="671" t="n">
        <v>0</v>
      </c>
      <c r="V84" s="672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72" t="n">
        <v>4680115881488</v>
      </c>
      <c r="E85" s="636" t="n"/>
      <c r="F85" s="668" t="n">
        <v>1.35</v>
      </c>
      <c r="G85" s="38" t="n">
        <v>8</v>
      </c>
      <c r="H85" s="668" t="n">
        <v>10.8</v>
      </c>
      <c r="I85" s="668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1">
        <f>HYPERLINK("https://abi.ru/products/Охлажденные/Вязанка/Вязанка/Ветчины/P003236/","Ветчины Сливушка с индейкой Вязанка вес П/а Вязанка")</f>
        <v/>
      </c>
      <c r="N85" s="670" t="n"/>
      <c r="O85" s="670" t="n"/>
      <c r="P85" s="670" t="n"/>
      <c r="Q85" s="636" t="n"/>
      <c r="R85" s="40" t="inlineStr"/>
      <c r="S85" s="40" t="inlineStr"/>
      <c r="T85" s="41" t="inlineStr">
        <is>
          <t>кг</t>
        </is>
      </c>
      <c r="U85" s="671" t="n">
        <v>0</v>
      </c>
      <c r="V85" s="672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72" t="n">
        <v>4607091384765</v>
      </c>
      <c r="E86" s="636" t="n"/>
      <c r="F86" s="668" t="n">
        <v>0.42</v>
      </c>
      <c r="G86" s="38" t="n">
        <v>6</v>
      </c>
      <c r="H86" s="668" t="n">
        <v>2.52</v>
      </c>
      <c r="I86" s="668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2" t="inlineStr">
        <is>
          <t>Ветчины Запекуша с сочным окороком Вязанка Фикс.вес 0,42 п/а Вязанка</t>
        </is>
      </c>
      <c r="N86" s="670" t="n"/>
      <c r="O86" s="670" t="n"/>
      <c r="P86" s="670" t="n"/>
      <c r="Q86" s="636" t="n"/>
      <c r="R86" s="40" t="inlineStr"/>
      <c r="S86" s="40" t="inlineStr"/>
      <c r="T86" s="41" t="inlineStr">
        <is>
          <t>кг</t>
        </is>
      </c>
      <c r="U86" s="671" t="n">
        <v>0</v>
      </c>
      <c r="V86" s="672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72" t="n">
        <v>4680115880658</v>
      </c>
      <c r="E87" s="636" t="n"/>
      <c r="F87" s="668" t="n">
        <v>0.4</v>
      </c>
      <c r="G87" s="38" t="n">
        <v>6</v>
      </c>
      <c r="H87" s="668" t="n">
        <v>2.4</v>
      </c>
      <c r="I87" s="668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3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72" t="n">
        <v>4607091381962</v>
      </c>
      <c r="E88" s="636" t="n"/>
      <c r="F88" s="668" t="n">
        <v>0.5</v>
      </c>
      <c r="G88" s="38" t="n">
        <v>6</v>
      </c>
      <c r="H88" s="668" t="n">
        <v>3</v>
      </c>
      <c r="I88" s="668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4">
        <f>HYPERLINK("https://abi.ru/products/Охлажденные/Вязанка/Вязанка/Ветчины/P003164/","Ветчины Столичная Вязанка Фикс.вес 0,5 Вектор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80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3" t="n"/>
      <c r="M89" s="674" t="inlineStr">
        <is>
          <t>Итого</t>
        </is>
      </c>
      <c r="N89" s="644" t="n"/>
      <c r="O89" s="644" t="n"/>
      <c r="P89" s="644" t="n"/>
      <c r="Q89" s="644" t="n"/>
      <c r="R89" s="644" t="n"/>
      <c r="S89" s="645" t="n"/>
      <c r="T89" s="43" t="inlineStr">
        <is>
          <t>кор</t>
        </is>
      </c>
      <c r="U89" s="675">
        <f>IFERROR(U83/H83,"0")+IFERROR(U84/H84,"0")+IFERROR(U85/H85,"0")+IFERROR(U86/H86,"0")+IFERROR(U87/H87,"0")+IFERROR(U88/H88,"0")</f>
        <v/>
      </c>
      <c r="V89" s="675">
        <f>IFERROR(V83/H83,"0")+IFERROR(V84/H84,"0")+IFERROR(V85/H85,"0")+IFERROR(V86/H86,"0")+IFERROR(V87/H87,"0")+IFERROR(V88/H88,"0")</f>
        <v/>
      </c>
      <c r="W89" s="675">
        <f>IFERROR(IF(W83="",0,W83),"0")+IFERROR(IF(W84="",0,W84),"0")+IFERROR(IF(W85="",0,W85),"0")+IFERROR(IF(W86="",0,W86),"0")+IFERROR(IF(W87="",0,W87),"0")+IFERROR(IF(W88="",0,W88),"0")</f>
        <v/>
      </c>
      <c r="X89" s="676" t="n"/>
      <c r="Y89" s="676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3" t="n"/>
      <c r="M90" s="674" t="inlineStr">
        <is>
          <t>Итого</t>
        </is>
      </c>
      <c r="N90" s="644" t="n"/>
      <c r="O90" s="644" t="n"/>
      <c r="P90" s="644" t="n"/>
      <c r="Q90" s="644" t="n"/>
      <c r="R90" s="644" t="n"/>
      <c r="S90" s="645" t="n"/>
      <c r="T90" s="43" t="inlineStr">
        <is>
          <t>кг</t>
        </is>
      </c>
      <c r="U90" s="675">
        <f>IFERROR(SUM(U83:U88),"0")</f>
        <v/>
      </c>
      <c r="V90" s="675">
        <f>IFERROR(SUM(V83:V88),"0")</f>
        <v/>
      </c>
      <c r="W90" s="43" t="n"/>
      <c r="X90" s="676" t="n"/>
      <c r="Y90" s="676" t="n"/>
    </row>
    <row r="91" ht="14.25" customHeight="1">
      <c r="A91" s="371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71" t="n"/>
      <c r="Y91" s="371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2" t="n">
        <v>4607091387667</v>
      </c>
      <c r="E92" s="636" t="n"/>
      <c r="F92" s="668" t="n">
        <v>0.9</v>
      </c>
      <c r="G92" s="38" t="n">
        <v>10</v>
      </c>
      <c r="H92" s="668" t="n">
        <v>9</v>
      </c>
      <c r="I92" s="668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2" t="n">
        <v>4607091387636</v>
      </c>
      <c r="E93" s="636" t="n"/>
      <c r="F93" s="668" t="n">
        <v>0.7</v>
      </c>
      <c r="G93" s="38" t="n">
        <v>6</v>
      </c>
      <c r="H93" s="668" t="n">
        <v>4.2</v>
      </c>
      <c r="I93" s="668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1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2" t="n">
        <v>4607091384727</v>
      </c>
      <c r="E94" s="636" t="n"/>
      <c r="F94" s="668" t="n">
        <v>0.8</v>
      </c>
      <c r="G94" s="38" t="n">
        <v>6</v>
      </c>
      <c r="H94" s="668" t="n">
        <v>4.8</v>
      </c>
      <c r="I94" s="668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17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2" t="n">
        <v>4607091386745</v>
      </c>
      <c r="E95" s="636" t="n"/>
      <c r="F95" s="668" t="n">
        <v>0.8</v>
      </c>
      <c r="G95" s="38" t="n">
        <v>6</v>
      </c>
      <c r="H95" s="668" t="n">
        <v>4.8</v>
      </c>
      <c r="I95" s="668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18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2" t="n">
        <v>4607091382426</v>
      </c>
      <c r="E96" s="636" t="n"/>
      <c r="F96" s="668" t="n">
        <v>0.9</v>
      </c>
      <c r="G96" s="38" t="n">
        <v>10</v>
      </c>
      <c r="H96" s="668" t="n">
        <v>9</v>
      </c>
      <c r="I96" s="668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1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0" t="n"/>
      <c r="O96" s="670" t="n"/>
      <c r="P96" s="670" t="n"/>
      <c r="Q96" s="636" t="n"/>
      <c r="R96" s="40" t="inlineStr"/>
      <c r="S96" s="40" t="inlineStr"/>
      <c r="T96" s="41" t="inlineStr">
        <is>
          <t>кг</t>
        </is>
      </c>
      <c r="U96" s="671" t="n">
        <v>0</v>
      </c>
      <c r="V96" s="672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2" t="n">
        <v>4607091386547</v>
      </c>
      <c r="E97" s="636" t="n"/>
      <c r="F97" s="668" t="n">
        <v>0.35</v>
      </c>
      <c r="G97" s="38" t="n">
        <v>8</v>
      </c>
      <c r="H97" s="668" t="n">
        <v>2.8</v>
      </c>
      <c r="I97" s="668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0" t="n"/>
      <c r="O97" s="670" t="n"/>
      <c r="P97" s="670" t="n"/>
      <c r="Q97" s="636" t="n"/>
      <c r="R97" s="40" t="inlineStr"/>
      <c r="S97" s="40" t="inlineStr"/>
      <c r="T97" s="41" t="inlineStr">
        <is>
          <t>кг</t>
        </is>
      </c>
      <c r="U97" s="671" t="n">
        <v>0</v>
      </c>
      <c r="V97" s="672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72" t="n">
        <v>4607091384703</v>
      </c>
      <c r="E98" s="636" t="n"/>
      <c r="F98" s="668" t="n">
        <v>0.35</v>
      </c>
      <c r="G98" s="38" t="n">
        <v>6</v>
      </c>
      <c r="H98" s="668" t="n">
        <v>2.1</v>
      </c>
      <c r="I98" s="668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1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0" t="n"/>
      <c r="O98" s="670" t="n"/>
      <c r="P98" s="670" t="n"/>
      <c r="Q98" s="636" t="n"/>
      <c r="R98" s="40" t="inlineStr"/>
      <c r="S98" s="40" t="inlineStr"/>
      <c r="T98" s="41" t="inlineStr">
        <is>
          <t>кг</t>
        </is>
      </c>
      <c r="U98" s="671" t="n">
        <v>0</v>
      </c>
      <c r="V98" s="672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72" t="n">
        <v>4607091384734</v>
      </c>
      <c r="E99" s="636" t="n"/>
      <c r="F99" s="668" t="n">
        <v>0.35</v>
      </c>
      <c r="G99" s="38" t="n">
        <v>6</v>
      </c>
      <c r="H99" s="668" t="n">
        <v>2.1</v>
      </c>
      <c r="I99" s="668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0" t="n"/>
      <c r="O99" s="670" t="n"/>
      <c r="P99" s="670" t="n"/>
      <c r="Q99" s="636" t="n"/>
      <c r="R99" s="40" t="inlineStr"/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72" t="n">
        <v>4607091382464</v>
      </c>
      <c r="E100" s="636" t="n"/>
      <c r="F100" s="668" t="n">
        <v>0.35</v>
      </c>
      <c r="G100" s="38" t="n">
        <v>8</v>
      </c>
      <c r="H100" s="668" t="n">
        <v>2.8</v>
      </c>
      <c r="I100" s="668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0</v>
      </c>
      <c r="V100" s="672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80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3" t="n"/>
      <c r="M101" s="674" t="inlineStr">
        <is>
          <t>Итого</t>
        </is>
      </c>
      <c r="N101" s="644" t="n"/>
      <c r="O101" s="644" t="n"/>
      <c r="P101" s="644" t="n"/>
      <c r="Q101" s="644" t="n"/>
      <c r="R101" s="644" t="n"/>
      <c r="S101" s="645" t="n"/>
      <c r="T101" s="43" t="inlineStr">
        <is>
          <t>кор</t>
        </is>
      </c>
      <c r="U101" s="675">
        <f>IFERROR(U92/H92,"0")+IFERROR(U93/H93,"0")+IFERROR(U94/H94,"0")+IFERROR(U95/H95,"0")+IFERROR(U96/H96,"0")+IFERROR(U97/H97,"0")+IFERROR(U98/H98,"0")+IFERROR(U99/H99,"0")+IFERROR(U100/H100,"0")</f>
        <v/>
      </c>
      <c r="V101" s="675">
        <f>IFERROR(V92/H92,"0")+IFERROR(V93/H93,"0")+IFERROR(V94/H94,"0")+IFERROR(V95/H95,"0")+IFERROR(V96/H96,"0")+IFERROR(V97/H97,"0")+IFERROR(V98/H98,"0")+IFERROR(V99/H99,"0")+IFERROR(V100/H100,"0")</f>
        <v/>
      </c>
      <c r="W101" s="675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76" t="n"/>
      <c r="Y101" s="676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3" t="n"/>
      <c r="M102" s="674" t="inlineStr">
        <is>
          <t>Итого</t>
        </is>
      </c>
      <c r="N102" s="644" t="n"/>
      <c r="O102" s="644" t="n"/>
      <c r="P102" s="644" t="n"/>
      <c r="Q102" s="644" t="n"/>
      <c r="R102" s="644" t="n"/>
      <c r="S102" s="645" t="n"/>
      <c r="T102" s="43" t="inlineStr">
        <is>
          <t>кг</t>
        </is>
      </c>
      <c r="U102" s="675">
        <f>IFERROR(SUM(U92:U100),"0")</f>
        <v/>
      </c>
      <c r="V102" s="675">
        <f>IFERROR(SUM(V92:V100),"0")</f>
        <v/>
      </c>
      <c r="W102" s="43" t="n"/>
      <c r="X102" s="676" t="n"/>
      <c r="Y102" s="676" t="n"/>
    </row>
    <row r="103" ht="14.25" customHeight="1">
      <c r="A103" s="371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71" t="n"/>
      <c r="Y103" s="371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72" t="n">
        <v>4607091386967</v>
      </c>
      <c r="E104" s="636" t="n"/>
      <c r="F104" s="668" t="n">
        <v>1.35</v>
      </c>
      <c r="G104" s="38" t="n">
        <v>6</v>
      </c>
      <c r="H104" s="668" t="n">
        <v>8.1</v>
      </c>
      <c r="I104" s="668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4" t="inlineStr">
        <is>
          <t>Сосиски Молокуши (Вязанка Молочные) Вязанка Весовые П/а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300</v>
      </c>
      <c r="V104" s="672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72" t="n">
        <v>4607091385304</v>
      </c>
      <c r="E105" s="636" t="n"/>
      <c r="F105" s="668" t="n">
        <v>1.35</v>
      </c>
      <c r="G105" s="38" t="n">
        <v>6</v>
      </c>
      <c r="H105" s="668" t="n">
        <v>8.1</v>
      </c>
      <c r="I105" s="668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5">
        <f>HYPERLINK("https://abi.ru/products/Охлажденные/Вязанка/Вязанка/Сосиски/P003025/","Сосиски Рубленые Вязанка Весовые п/а мгс Вязанка")</f>
        <v/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72" t="n">
        <v>4607091386264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26">
        <f>HYPERLINK("https://abi.ru/products/Охлажденные/Вязанка/Вязанка/Сосиски/P002217/","Сосиски Венские Вязанка Фикс.вес 0,5 NDX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72" t="n">
        <v>4607091385731</v>
      </c>
      <c r="E107" s="636" t="n"/>
      <c r="F107" s="668" t="n">
        <v>0.45</v>
      </c>
      <c r="G107" s="38" t="n">
        <v>6</v>
      </c>
      <c r="H107" s="668" t="n">
        <v>2.7</v>
      </c>
      <c r="I107" s="668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27" t="inlineStr">
        <is>
          <t>Сосиски Молокуши (Вязанка Молочные) Вязанка Фикс.вес 0,45 П/а мгс Вязанка</t>
        </is>
      </c>
      <c r="N107" s="670" t="n"/>
      <c r="O107" s="670" t="n"/>
      <c r="P107" s="670" t="n"/>
      <c r="Q107" s="636" t="n"/>
      <c r="R107" s="40" t="inlineStr"/>
      <c r="S107" s="40" t="inlineStr"/>
      <c r="T107" s="41" t="inlineStr">
        <is>
          <t>кг</t>
        </is>
      </c>
      <c r="U107" s="671" t="n">
        <v>0</v>
      </c>
      <c r="V107" s="672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72" t="n">
        <v>4680115880214</v>
      </c>
      <c r="E108" s="636" t="n"/>
      <c r="F108" s="668" t="n">
        <v>0.45</v>
      </c>
      <c r="G108" s="38" t="n">
        <v>6</v>
      </c>
      <c r="H108" s="668" t="n">
        <v>2.7</v>
      </c>
      <c r="I108" s="668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28" t="inlineStr">
        <is>
          <t>Сосиски Молокуши миникушай Вязанка Ф/в 0,45 амилюкс мгс Вязанка</t>
        </is>
      </c>
      <c r="N108" s="670" t="n"/>
      <c r="O108" s="670" t="n"/>
      <c r="P108" s="670" t="n"/>
      <c r="Q108" s="636" t="n"/>
      <c r="R108" s="40" t="inlineStr"/>
      <c r="S108" s="40" t="inlineStr"/>
      <c r="T108" s="41" t="inlineStr">
        <is>
          <t>кг</t>
        </is>
      </c>
      <c r="U108" s="671" t="n">
        <v>0</v>
      </c>
      <c r="V108" s="672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72" t="n">
        <v>4680115880894</v>
      </c>
      <c r="E109" s="636" t="n"/>
      <c r="F109" s="668" t="n">
        <v>0.33</v>
      </c>
      <c r="G109" s="38" t="n">
        <v>6</v>
      </c>
      <c r="H109" s="668" t="n">
        <v>1.98</v>
      </c>
      <c r="I109" s="668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29" t="inlineStr">
        <is>
          <t>Сосиски Молокуши Миникушай Вязанка фикс.вес 0,33 п/а Вязанка</t>
        </is>
      </c>
      <c r="N109" s="670" t="n"/>
      <c r="O109" s="670" t="n"/>
      <c r="P109" s="670" t="n"/>
      <c r="Q109" s="636" t="n"/>
      <c r="R109" s="40" t="inlineStr"/>
      <c r="S109" s="40" t="inlineStr"/>
      <c r="T109" s="41" t="inlineStr">
        <is>
          <t>кг</t>
        </is>
      </c>
      <c r="U109" s="671" t="n">
        <v>0</v>
      </c>
      <c r="V109" s="672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72" t="n">
        <v>4607091385427</v>
      </c>
      <c r="E110" s="636" t="n"/>
      <c r="F110" s="668" t="n">
        <v>0.5</v>
      </c>
      <c r="G110" s="38" t="n">
        <v>6</v>
      </c>
      <c r="H110" s="668" t="n">
        <v>3</v>
      </c>
      <c r="I110" s="668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0">
        <f>HYPERLINK("https://abi.ru/products/Охлажденные/Вязанка/Вязанка/Сосиски/P003030/","Сосиски Рубленые Вязанка Фикс.вес 0,5 п/а мгс Вязанка")</f>
        <v/>
      </c>
      <c r="N110" s="670" t="n"/>
      <c r="O110" s="670" t="n"/>
      <c r="P110" s="670" t="n"/>
      <c r="Q110" s="636" t="n"/>
      <c r="R110" s="40" t="inlineStr"/>
      <c r="S110" s="40" t="inlineStr"/>
      <c r="T110" s="41" t="inlineStr">
        <is>
          <t>кг</t>
        </is>
      </c>
      <c r="U110" s="671" t="n">
        <v>0</v>
      </c>
      <c r="V110" s="672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80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3" t="n"/>
      <c r="M111" s="674" t="inlineStr">
        <is>
          <t>Итого</t>
        </is>
      </c>
      <c r="N111" s="644" t="n"/>
      <c r="O111" s="644" t="n"/>
      <c r="P111" s="644" t="n"/>
      <c r="Q111" s="644" t="n"/>
      <c r="R111" s="644" t="n"/>
      <c r="S111" s="645" t="n"/>
      <c r="T111" s="43" t="inlineStr">
        <is>
          <t>кор</t>
        </is>
      </c>
      <c r="U111" s="675">
        <f>IFERROR(U104/H104,"0")+IFERROR(U105/H105,"0")+IFERROR(U106/H106,"0")+IFERROR(U107/H107,"0")+IFERROR(U108/H108,"0")+IFERROR(U109/H109,"0")+IFERROR(U110/H110,"0")</f>
        <v/>
      </c>
      <c r="V111" s="675">
        <f>IFERROR(V104/H104,"0")+IFERROR(V105/H105,"0")+IFERROR(V106/H106,"0")+IFERROR(V107/H107,"0")+IFERROR(V108/H108,"0")+IFERROR(V109/H109,"0")+IFERROR(V110/H110,"0")</f>
        <v/>
      </c>
      <c r="W111" s="675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76" t="n"/>
      <c r="Y111" s="676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3" t="n"/>
      <c r="M112" s="674" t="inlineStr">
        <is>
          <t>Итого</t>
        </is>
      </c>
      <c r="N112" s="644" t="n"/>
      <c r="O112" s="644" t="n"/>
      <c r="P112" s="644" t="n"/>
      <c r="Q112" s="644" t="n"/>
      <c r="R112" s="644" t="n"/>
      <c r="S112" s="645" t="n"/>
      <c r="T112" s="43" t="inlineStr">
        <is>
          <t>кг</t>
        </is>
      </c>
      <c r="U112" s="675">
        <f>IFERROR(SUM(U104:U110),"0")</f>
        <v/>
      </c>
      <c r="V112" s="675">
        <f>IFERROR(SUM(V104:V110),"0")</f>
        <v/>
      </c>
      <c r="W112" s="43" t="n"/>
      <c r="X112" s="676" t="n"/>
      <c r="Y112" s="676" t="n"/>
    </row>
    <row r="113" ht="14.25" customHeight="1">
      <c r="A113" s="371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71" t="n"/>
      <c r="Y113" s="371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72" t="n">
        <v>4607091383065</v>
      </c>
      <c r="E114" s="636" t="n"/>
      <c r="F114" s="668" t="n">
        <v>0.83</v>
      </c>
      <c r="G114" s="38" t="n">
        <v>4</v>
      </c>
      <c r="H114" s="668" t="n">
        <v>3.32</v>
      </c>
      <c r="I114" s="668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SU001831</t>
        </is>
      </c>
      <c r="B115" s="64" t="inlineStr">
        <is>
          <t>P002042</t>
        </is>
      </c>
      <c r="C115" s="37" t="n">
        <v>4301060282</v>
      </c>
      <c r="D115" s="372" t="n">
        <v>4607091380699</v>
      </c>
      <c r="E115" s="636" t="n"/>
      <c r="F115" s="668" t="n">
        <v>1.3</v>
      </c>
      <c r="G115" s="38" t="n">
        <v>6</v>
      </c>
      <c r="H115" s="668" t="n">
        <v>7.8</v>
      </c>
      <c r="I115" s="668" t="n">
        <v>8.364000000000001</v>
      </c>
      <c r="J115" s="38" t="n">
        <v>56</v>
      </c>
      <c r="K115" s="39" t="inlineStr">
        <is>
          <t>СК2</t>
        </is>
      </c>
      <c r="L115" s="38" t="n">
        <v>30</v>
      </c>
      <c r="M115" s="732">
        <f>HYPERLINK("https://abi.ru/products/Охлажденные/Вязанка/Вязанка/Сардельки/P002042/","Сардельки Стародворские Вязанка Весовые NDX мгс Вязанка")</f>
        <v/>
      </c>
      <c r="N115" s="670" t="n"/>
      <c r="O115" s="670" t="n"/>
      <c r="P115" s="670" t="n"/>
      <c r="Q115" s="636" t="n"/>
      <c r="R115" s="40" t="inlineStr"/>
      <c r="S115" s="40" t="inlineStr"/>
      <c r="T115" s="41" t="inlineStr">
        <is>
          <t>кг</t>
        </is>
      </c>
      <c r="U115" s="671" t="n">
        <v>0</v>
      </c>
      <c r="V115" s="672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72" t="n">
        <v>4680115880238</v>
      </c>
      <c r="E116" s="636" t="n"/>
      <c r="F116" s="668" t="n">
        <v>0.33</v>
      </c>
      <c r="G116" s="38" t="n">
        <v>6</v>
      </c>
      <c r="H116" s="668" t="n">
        <v>1.98</v>
      </c>
      <c r="I116" s="668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3" t="inlineStr">
        <is>
          <t>Сардельки Сливушки #минидельки ТМ Вязанка айпил мгс ф/в 0,33 кг</t>
        </is>
      </c>
      <c r="N116" s="670" t="n"/>
      <c r="O116" s="670" t="n"/>
      <c r="P116" s="670" t="n"/>
      <c r="Q116" s="636" t="n"/>
      <c r="R116" s="40" t="inlineStr"/>
      <c r="S116" s="40" t="inlineStr"/>
      <c r="T116" s="41" t="inlineStr">
        <is>
          <t>кг</t>
        </is>
      </c>
      <c r="U116" s="671" t="n">
        <v>0</v>
      </c>
      <c r="V116" s="672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72" t="n">
        <v>4680115881464</v>
      </c>
      <c r="E117" s="636" t="n"/>
      <c r="F117" s="668" t="n">
        <v>0.4</v>
      </c>
      <c r="G117" s="38" t="n">
        <v>6</v>
      </c>
      <c r="H117" s="668" t="n">
        <v>2.4</v>
      </c>
      <c r="I117" s="668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4" t="inlineStr">
        <is>
          <t>Сардельки "Филейские" Фикс.вес 0,4 NDX мгс ТМ "Вязанка"</t>
        </is>
      </c>
      <c r="N117" s="670" t="n"/>
      <c r="O117" s="670" t="n"/>
      <c r="P117" s="670" t="n"/>
      <c r="Q117" s="636" t="n"/>
      <c r="R117" s="40" t="inlineStr"/>
      <c r="S117" s="40" t="inlineStr"/>
      <c r="T117" s="41" t="inlineStr">
        <is>
          <t>кг</t>
        </is>
      </c>
      <c r="U117" s="671" t="n">
        <v>0</v>
      </c>
      <c r="V117" s="672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80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3" t="n"/>
      <c r="M118" s="674" t="inlineStr">
        <is>
          <t>Итого</t>
        </is>
      </c>
      <c r="N118" s="644" t="n"/>
      <c r="O118" s="644" t="n"/>
      <c r="P118" s="644" t="n"/>
      <c r="Q118" s="644" t="n"/>
      <c r="R118" s="644" t="n"/>
      <c r="S118" s="645" t="n"/>
      <c r="T118" s="43" t="inlineStr">
        <is>
          <t>кор</t>
        </is>
      </c>
      <c r="U118" s="675">
        <f>IFERROR(U114/H114,"0")+IFERROR(U115/H115,"0")+IFERROR(U116/H116,"0")+IFERROR(U117/H117,"0")</f>
        <v/>
      </c>
      <c r="V118" s="675">
        <f>IFERROR(V114/H114,"0")+IFERROR(V115/H115,"0")+IFERROR(V116/H116,"0")+IFERROR(V117/H117,"0")</f>
        <v/>
      </c>
      <c r="W118" s="675">
        <f>IFERROR(IF(W114="",0,W114),"0")+IFERROR(IF(W115="",0,W115),"0")+IFERROR(IF(W116="",0,W116),"0")+IFERROR(IF(W117="",0,W117),"0")</f>
        <v/>
      </c>
      <c r="X118" s="676" t="n"/>
      <c r="Y118" s="676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3" t="n"/>
      <c r="M119" s="674" t="inlineStr">
        <is>
          <t>Итого</t>
        </is>
      </c>
      <c r="N119" s="644" t="n"/>
      <c r="O119" s="644" t="n"/>
      <c r="P119" s="644" t="n"/>
      <c r="Q119" s="644" t="n"/>
      <c r="R119" s="644" t="n"/>
      <c r="S119" s="645" t="n"/>
      <c r="T119" s="43" t="inlineStr">
        <is>
          <t>кг</t>
        </is>
      </c>
      <c r="U119" s="675">
        <f>IFERROR(SUM(U114:U117),"0")</f>
        <v/>
      </c>
      <c r="V119" s="675">
        <f>IFERROR(SUM(V114:V117),"0")</f>
        <v/>
      </c>
      <c r="W119" s="43" t="n"/>
      <c r="X119" s="676" t="n"/>
      <c r="Y119" s="676" t="n"/>
    </row>
    <row r="120" ht="16.5" customHeight="1">
      <c r="A120" s="370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70" t="n"/>
      <c r="Y120" s="370" t="n"/>
    </row>
    <row r="121" ht="14.25" customHeight="1">
      <c r="A121" s="371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71" t="n"/>
      <c r="Y121" s="371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72" t="n">
        <v>4607091385168</v>
      </c>
      <c r="E122" s="636" t="n"/>
      <c r="F122" s="668" t="n">
        <v>1.35</v>
      </c>
      <c r="G122" s="38" t="n">
        <v>6</v>
      </c>
      <c r="H122" s="668" t="n">
        <v>8.1</v>
      </c>
      <c r="I122" s="668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0</v>
      </c>
      <c r="V122" s="672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72" t="n">
        <v>4607091383256</v>
      </c>
      <c r="E123" s="636" t="n"/>
      <c r="F123" s="668" t="n">
        <v>0.33</v>
      </c>
      <c r="G123" s="38" t="n">
        <v>6</v>
      </c>
      <c r="H123" s="668" t="n">
        <v>1.98</v>
      </c>
      <c r="I123" s="668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36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0" t="n"/>
      <c r="O123" s="670" t="n"/>
      <c r="P123" s="670" t="n"/>
      <c r="Q123" s="636" t="n"/>
      <c r="R123" s="40" t="inlineStr"/>
      <c r="S123" s="40" t="inlineStr"/>
      <c r="T123" s="41" t="inlineStr">
        <is>
          <t>кг</t>
        </is>
      </c>
      <c r="U123" s="671" t="n">
        <v>0</v>
      </c>
      <c r="V123" s="672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72" t="n">
        <v>4607091385748</v>
      </c>
      <c r="E124" s="636" t="n"/>
      <c r="F124" s="668" t="n">
        <v>0.45</v>
      </c>
      <c r="G124" s="38" t="n">
        <v>6</v>
      </c>
      <c r="H124" s="668" t="n">
        <v>2.7</v>
      </c>
      <c r="I124" s="668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37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0" t="n"/>
      <c r="O124" s="670" t="n"/>
      <c r="P124" s="670" t="n"/>
      <c r="Q124" s="636" t="n"/>
      <c r="R124" s="40" t="inlineStr"/>
      <c r="S124" s="40" t="inlineStr"/>
      <c r="T124" s="41" t="inlineStr">
        <is>
          <t>кг</t>
        </is>
      </c>
      <c r="U124" s="671" t="n">
        <v>0</v>
      </c>
      <c r="V124" s="672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72" t="n">
        <v>4607091384581</v>
      </c>
      <c r="E125" s="636" t="n"/>
      <c r="F125" s="668" t="n">
        <v>0.67</v>
      </c>
      <c r="G125" s="38" t="n">
        <v>4</v>
      </c>
      <c r="H125" s="668" t="n">
        <v>2.68</v>
      </c>
      <c r="I125" s="668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38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0" t="n"/>
      <c r="O125" s="670" t="n"/>
      <c r="P125" s="670" t="n"/>
      <c r="Q125" s="636" t="n"/>
      <c r="R125" s="40" t="inlineStr"/>
      <c r="S125" s="40" t="inlineStr"/>
      <c r="T125" s="41" t="inlineStr">
        <is>
          <t>кг</t>
        </is>
      </c>
      <c r="U125" s="671" t="n">
        <v>0</v>
      </c>
      <c r="V125" s="672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80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3" t="n"/>
      <c r="M126" s="674" t="inlineStr">
        <is>
          <t>Итого</t>
        </is>
      </c>
      <c r="N126" s="644" t="n"/>
      <c r="O126" s="644" t="n"/>
      <c r="P126" s="644" t="n"/>
      <c r="Q126" s="644" t="n"/>
      <c r="R126" s="644" t="n"/>
      <c r="S126" s="645" t="n"/>
      <c r="T126" s="43" t="inlineStr">
        <is>
          <t>кор</t>
        </is>
      </c>
      <c r="U126" s="675">
        <f>IFERROR(U122/H122,"0")+IFERROR(U123/H123,"0")+IFERROR(U124/H124,"0")+IFERROR(U125/H125,"0")</f>
        <v/>
      </c>
      <c r="V126" s="675">
        <f>IFERROR(V122/H122,"0")+IFERROR(V123/H123,"0")+IFERROR(V124/H124,"0")+IFERROR(V125/H125,"0")</f>
        <v/>
      </c>
      <c r="W126" s="675">
        <f>IFERROR(IF(W122="",0,W122),"0")+IFERROR(IF(W123="",0,W123),"0")+IFERROR(IF(W124="",0,W124),"0")+IFERROR(IF(W125="",0,W125),"0")</f>
        <v/>
      </c>
      <c r="X126" s="676" t="n"/>
      <c r="Y126" s="676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3" t="n"/>
      <c r="M127" s="674" t="inlineStr">
        <is>
          <t>Итого</t>
        </is>
      </c>
      <c r="N127" s="644" t="n"/>
      <c r="O127" s="644" t="n"/>
      <c r="P127" s="644" t="n"/>
      <c r="Q127" s="644" t="n"/>
      <c r="R127" s="644" t="n"/>
      <c r="S127" s="645" t="n"/>
      <c r="T127" s="43" t="inlineStr">
        <is>
          <t>кг</t>
        </is>
      </c>
      <c r="U127" s="675">
        <f>IFERROR(SUM(U122:U125),"0")</f>
        <v/>
      </c>
      <c r="V127" s="675">
        <f>IFERROR(SUM(V122:V125),"0")</f>
        <v/>
      </c>
      <c r="W127" s="43" t="n"/>
      <c r="X127" s="676" t="n"/>
      <c r="Y127" s="676" t="n"/>
    </row>
    <row r="128" ht="27.75" customHeight="1">
      <c r="A128" s="369" t="inlineStr">
        <is>
          <t>Стародворье</t>
        </is>
      </c>
      <c r="B128" s="667" t="n"/>
      <c r="C128" s="667" t="n"/>
      <c r="D128" s="667" t="n"/>
      <c r="E128" s="667" t="n"/>
      <c r="F128" s="667" t="n"/>
      <c r="G128" s="667" t="n"/>
      <c r="H128" s="667" t="n"/>
      <c r="I128" s="667" t="n"/>
      <c r="J128" s="667" t="n"/>
      <c r="K128" s="667" t="n"/>
      <c r="L128" s="667" t="n"/>
      <c r="M128" s="667" t="n"/>
      <c r="N128" s="667" t="n"/>
      <c r="O128" s="667" t="n"/>
      <c r="P128" s="667" t="n"/>
      <c r="Q128" s="667" t="n"/>
      <c r="R128" s="667" t="n"/>
      <c r="S128" s="667" t="n"/>
      <c r="T128" s="667" t="n"/>
      <c r="U128" s="667" t="n"/>
      <c r="V128" s="667" t="n"/>
      <c r="W128" s="667" t="n"/>
      <c r="X128" s="55" t="n"/>
      <c r="Y128" s="55" t="n"/>
    </row>
    <row r="129" ht="16.5" customHeight="1">
      <c r="A129" s="370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70" t="n"/>
      <c r="Y129" s="370" t="n"/>
    </row>
    <row r="130" ht="14.25" customHeight="1">
      <c r="A130" s="371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71" t="n"/>
      <c r="Y130" s="371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72" t="n">
        <v>4607091383423</v>
      </c>
      <c r="E131" s="636" t="n"/>
      <c r="F131" s="668" t="n">
        <v>1.35</v>
      </c>
      <c r="G131" s="38" t="n">
        <v>8</v>
      </c>
      <c r="H131" s="668" t="n">
        <v>10.8</v>
      </c>
      <c r="I131" s="668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0" t="n"/>
      <c r="O131" s="670" t="n"/>
      <c r="P131" s="670" t="n"/>
      <c r="Q131" s="636" t="n"/>
      <c r="R131" s="40" t="inlineStr"/>
      <c r="S131" s="40" t="inlineStr"/>
      <c r="T131" s="41" t="inlineStr">
        <is>
          <t>кг</t>
        </is>
      </c>
      <c r="U131" s="671" t="n">
        <v>0</v>
      </c>
      <c r="V131" s="67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72" t="n">
        <v>4607091381405</v>
      </c>
      <c r="E132" s="636" t="n"/>
      <c r="F132" s="668" t="n">
        <v>1.35</v>
      </c>
      <c r="G132" s="38" t="n">
        <v>8</v>
      </c>
      <c r="H132" s="668" t="n">
        <v>10.8</v>
      </c>
      <c r="I132" s="668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0" t="n"/>
      <c r="O132" s="670" t="n"/>
      <c r="P132" s="670" t="n"/>
      <c r="Q132" s="636" t="n"/>
      <c r="R132" s="40" t="inlineStr"/>
      <c r="S132" s="40" t="inlineStr"/>
      <c r="T132" s="41" t="inlineStr">
        <is>
          <t>кг</t>
        </is>
      </c>
      <c r="U132" s="671" t="n">
        <v>0</v>
      </c>
      <c r="V132" s="672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72" t="n">
        <v>4607091386516</v>
      </c>
      <c r="E133" s="636" t="n"/>
      <c r="F133" s="668" t="n">
        <v>1.4</v>
      </c>
      <c r="G133" s="38" t="n">
        <v>8</v>
      </c>
      <c r="H133" s="668" t="n">
        <v>11.2</v>
      </c>
      <c r="I133" s="668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0" t="n"/>
      <c r="O133" s="670" t="n"/>
      <c r="P133" s="670" t="n"/>
      <c r="Q133" s="636" t="n"/>
      <c r="R133" s="40" t="inlineStr"/>
      <c r="S133" s="40" t="inlineStr"/>
      <c r="T133" s="41" t="inlineStr">
        <is>
          <t>кг</t>
        </is>
      </c>
      <c r="U133" s="671" t="n">
        <v>0</v>
      </c>
      <c r="V133" s="672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80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3" t="n"/>
      <c r="M134" s="674" t="inlineStr">
        <is>
          <t>Итого</t>
        </is>
      </c>
      <c r="N134" s="644" t="n"/>
      <c r="O134" s="644" t="n"/>
      <c r="P134" s="644" t="n"/>
      <c r="Q134" s="644" t="n"/>
      <c r="R134" s="644" t="n"/>
      <c r="S134" s="645" t="n"/>
      <c r="T134" s="43" t="inlineStr">
        <is>
          <t>кор</t>
        </is>
      </c>
      <c r="U134" s="675">
        <f>IFERROR(U131/H131,"0")+IFERROR(U132/H132,"0")+IFERROR(U133/H133,"0")</f>
        <v/>
      </c>
      <c r="V134" s="675">
        <f>IFERROR(V131/H131,"0")+IFERROR(V132/H132,"0")+IFERROR(V133/H133,"0")</f>
        <v/>
      </c>
      <c r="W134" s="675">
        <f>IFERROR(IF(W131="",0,W131),"0")+IFERROR(IF(W132="",0,W132),"0")+IFERROR(IF(W133="",0,W133),"0")</f>
        <v/>
      </c>
      <c r="X134" s="676" t="n"/>
      <c r="Y134" s="676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3" t="n"/>
      <c r="M135" s="674" t="inlineStr">
        <is>
          <t>Итого</t>
        </is>
      </c>
      <c r="N135" s="644" t="n"/>
      <c r="O135" s="644" t="n"/>
      <c r="P135" s="644" t="n"/>
      <c r="Q135" s="644" t="n"/>
      <c r="R135" s="644" t="n"/>
      <c r="S135" s="645" t="n"/>
      <c r="T135" s="43" t="inlineStr">
        <is>
          <t>кг</t>
        </is>
      </c>
      <c r="U135" s="675">
        <f>IFERROR(SUM(U131:U133),"0")</f>
        <v/>
      </c>
      <c r="V135" s="675">
        <f>IFERROR(SUM(V131:V133),"0")</f>
        <v/>
      </c>
      <c r="W135" s="43" t="n"/>
      <c r="X135" s="676" t="n"/>
      <c r="Y135" s="676" t="n"/>
    </row>
    <row r="136" ht="16.5" customHeight="1">
      <c r="A136" s="370" t="inlineStr">
        <is>
          <t>Бордо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70" t="n"/>
      <c r="Y136" s="370" t="n"/>
    </row>
    <row r="137" ht="14.25" customHeight="1">
      <c r="A137" s="371" t="inlineStr">
        <is>
          <t>Вареные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71" t="n"/>
      <c r="Y137" s="371" t="n"/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72" t="n">
        <v>4607091387445</v>
      </c>
      <c r="E138" s="636" t="n"/>
      <c r="F138" s="668" t="n">
        <v>0.9</v>
      </c>
      <c r="G138" s="38" t="n">
        <v>10</v>
      </c>
      <c r="H138" s="668" t="n">
        <v>9</v>
      </c>
      <c r="I138" s="668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4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72" t="n">
        <v>4607091386004</v>
      </c>
      <c r="E139" s="636" t="n"/>
      <c r="F139" s="668" t="n">
        <v>1.35</v>
      </c>
      <c r="G139" s="38" t="n">
        <v>8</v>
      </c>
      <c r="H139" s="668" t="n">
        <v>10.8</v>
      </c>
      <c r="I139" s="668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4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72" t="n">
        <v>4607091386004</v>
      </c>
      <c r="E140" s="636" t="n"/>
      <c r="F140" s="668" t="n">
        <v>1.35</v>
      </c>
      <c r="G140" s="38" t="n">
        <v>8</v>
      </c>
      <c r="H140" s="668" t="n">
        <v>10.8</v>
      </c>
      <c r="I140" s="668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4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72" t="n">
        <v>4607091386073</v>
      </c>
      <c r="E141" s="636" t="n"/>
      <c r="F141" s="668" t="n">
        <v>0.9</v>
      </c>
      <c r="G141" s="38" t="n">
        <v>10</v>
      </c>
      <c r="H141" s="668" t="n">
        <v>9</v>
      </c>
      <c r="I141" s="668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4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72" t="n">
        <v>4607091387322</v>
      </c>
      <c r="E142" s="636" t="n"/>
      <c r="F142" s="668" t="n">
        <v>1.35</v>
      </c>
      <c r="G142" s="38" t="n">
        <v>8</v>
      </c>
      <c r="H142" s="668" t="n">
        <v>10.8</v>
      </c>
      <c r="I142" s="668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4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72" t="n">
        <v>4607091387322</v>
      </c>
      <c r="E143" s="636" t="n"/>
      <c r="F143" s="668" t="n">
        <v>1.35</v>
      </c>
      <c r="G143" s="38" t="n">
        <v>8</v>
      </c>
      <c r="H143" s="668" t="n">
        <v>10.8</v>
      </c>
      <c r="I143" s="668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4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70" t="n"/>
      <c r="O143" s="670" t="n"/>
      <c r="P143" s="670" t="n"/>
      <c r="Q143" s="636" t="n"/>
      <c r="R143" s="40" t="inlineStr"/>
      <c r="S143" s="40" t="inlineStr"/>
      <c r="T143" s="41" t="inlineStr">
        <is>
          <t>кг</t>
        </is>
      </c>
      <c r="U143" s="671" t="n">
        <v>0</v>
      </c>
      <c r="V143" s="672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72" t="n">
        <v>4607091387377</v>
      </c>
      <c r="E144" s="636" t="n"/>
      <c r="F144" s="668" t="n">
        <v>1.35</v>
      </c>
      <c r="G144" s="38" t="n">
        <v>8</v>
      </c>
      <c r="H144" s="668" t="n">
        <v>10.8</v>
      </c>
      <c r="I144" s="668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4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70" t="n"/>
      <c r="O144" s="670" t="n"/>
      <c r="P144" s="670" t="n"/>
      <c r="Q144" s="636" t="n"/>
      <c r="R144" s="40" t="inlineStr"/>
      <c r="S144" s="40" t="inlineStr"/>
      <c r="T144" s="41" t="inlineStr">
        <is>
          <t>кг</t>
        </is>
      </c>
      <c r="U144" s="671" t="n">
        <v>0</v>
      </c>
      <c r="V144" s="672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72" t="n">
        <v>4680115881402</v>
      </c>
      <c r="E145" s="636" t="n"/>
      <c r="F145" s="668" t="n">
        <v>1.35</v>
      </c>
      <c r="G145" s="38" t="n">
        <v>8</v>
      </c>
      <c r="H145" s="668" t="n">
        <v>10.8</v>
      </c>
      <c r="I145" s="668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49" t="inlineStr">
        <is>
          <t>Вареные колбасы "Сочинка" Весовой п/а ТМ "Стародворье"</t>
        </is>
      </c>
      <c r="N145" s="670" t="n"/>
      <c r="O145" s="670" t="n"/>
      <c r="P145" s="670" t="n"/>
      <c r="Q145" s="636" t="n"/>
      <c r="R145" s="40" t="inlineStr"/>
      <c r="S145" s="40" t="inlineStr"/>
      <c r="T145" s="41" t="inlineStr">
        <is>
          <t>кг</t>
        </is>
      </c>
      <c r="U145" s="671" t="n">
        <v>0</v>
      </c>
      <c r="V145" s="672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72" t="n">
        <v>4607091387353</v>
      </c>
      <c r="E146" s="636" t="n"/>
      <c r="F146" s="668" t="n">
        <v>1.35</v>
      </c>
      <c r="G146" s="38" t="n">
        <v>8</v>
      </c>
      <c r="H146" s="668" t="n">
        <v>10.8</v>
      </c>
      <c r="I146" s="66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5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70" t="n"/>
      <c r="O146" s="670" t="n"/>
      <c r="P146" s="670" t="n"/>
      <c r="Q146" s="636" t="n"/>
      <c r="R146" s="40" t="inlineStr"/>
      <c r="S146" s="40" t="inlineStr"/>
      <c r="T146" s="41" t="inlineStr">
        <is>
          <t>кг</t>
        </is>
      </c>
      <c r="U146" s="671" t="n">
        <v>0</v>
      </c>
      <c r="V146" s="67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72" t="n">
        <v>4607091386011</v>
      </c>
      <c r="E147" s="636" t="n"/>
      <c r="F147" s="668" t="n">
        <v>0.5</v>
      </c>
      <c r="G147" s="38" t="n">
        <v>10</v>
      </c>
      <c r="H147" s="668" t="n">
        <v>5</v>
      </c>
      <c r="I147" s="668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5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72" t="n">
        <v>4607091387308</v>
      </c>
      <c r="E148" s="636" t="n"/>
      <c r="F148" s="668" t="n">
        <v>0.5</v>
      </c>
      <c r="G148" s="38" t="n">
        <v>10</v>
      </c>
      <c r="H148" s="668" t="n">
        <v>5</v>
      </c>
      <c r="I148" s="668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5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72" t="n">
        <v>4607091387339</v>
      </c>
      <c r="E149" s="636" t="n"/>
      <c r="F149" s="668" t="n">
        <v>0.5</v>
      </c>
      <c r="G149" s="38" t="n">
        <v>10</v>
      </c>
      <c r="H149" s="668" t="n">
        <v>5</v>
      </c>
      <c r="I149" s="668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5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70" t="n"/>
      <c r="O149" s="670" t="n"/>
      <c r="P149" s="670" t="n"/>
      <c r="Q149" s="636" t="n"/>
      <c r="R149" s="40" t="inlineStr"/>
      <c r="S149" s="40" t="inlineStr"/>
      <c r="T149" s="41" t="inlineStr">
        <is>
          <t>кг</t>
        </is>
      </c>
      <c r="U149" s="671" t="n">
        <v>0</v>
      </c>
      <c r="V149" s="672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SU002787</t>
        </is>
      </c>
      <c r="B150" s="64" t="inlineStr">
        <is>
          <t>P003189</t>
        </is>
      </c>
      <c r="C150" s="37" t="n">
        <v>4301011433</v>
      </c>
      <c r="D150" s="372" t="n">
        <v>4680115882638</v>
      </c>
      <c r="E150" s="636" t="n"/>
      <c r="F150" s="668" t="n">
        <v>0.4</v>
      </c>
      <c r="G150" s="38" t="n">
        <v>10</v>
      </c>
      <c r="H150" s="668" t="n">
        <v>4</v>
      </c>
      <c r="I150" s="668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54" t="inlineStr">
        <is>
          <t>Вареные колбасы "Молочная с нежным филе" Фикс.вес 0,4 кг п/а ТМ "Особый рецепт"</t>
        </is>
      </c>
      <c r="N150" s="670" t="n"/>
      <c r="O150" s="670" t="n"/>
      <c r="P150" s="670" t="n"/>
      <c r="Q150" s="636" t="n"/>
      <c r="R150" s="40" t="inlineStr"/>
      <c r="S150" s="40" t="inlineStr"/>
      <c r="T150" s="41" t="inlineStr">
        <is>
          <t>кг</t>
        </is>
      </c>
      <c r="U150" s="671" t="n">
        <v>0</v>
      </c>
      <c r="V150" s="672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SU002894</t>
        </is>
      </c>
      <c r="B151" s="64" t="inlineStr">
        <is>
          <t>P003314</t>
        </is>
      </c>
      <c r="C151" s="37" t="n">
        <v>4301011573</v>
      </c>
      <c r="D151" s="372" t="n">
        <v>4680115881938</v>
      </c>
      <c r="E151" s="636" t="n"/>
      <c r="F151" s="668" t="n">
        <v>0.4</v>
      </c>
      <c r="G151" s="38" t="n">
        <v>10</v>
      </c>
      <c r="H151" s="668" t="n">
        <v>4</v>
      </c>
      <c r="I151" s="668" t="n">
        <v>4.24</v>
      </c>
      <c r="J151" s="38" t="n">
        <v>120</v>
      </c>
      <c r="K151" s="39" t="inlineStr">
        <is>
          <t>СК1</t>
        </is>
      </c>
      <c r="L151" s="38" t="n">
        <v>90</v>
      </c>
      <c r="M151" s="755" t="inlineStr">
        <is>
          <t>Вареные колбасы пастеризованная "Стародворская без шпика" Фикс.вес 0,4 п/а ТМ " Стародворье"</t>
        </is>
      </c>
      <c r="N151" s="670" t="n"/>
      <c r="O151" s="670" t="n"/>
      <c r="P151" s="670" t="n"/>
      <c r="Q151" s="636" t="n"/>
      <c r="R151" s="40" t="inlineStr"/>
      <c r="S151" s="40" t="inlineStr"/>
      <c r="T151" s="41" t="inlineStr">
        <is>
          <t>кг</t>
        </is>
      </c>
      <c r="U151" s="671" t="n">
        <v>0</v>
      </c>
      <c r="V151" s="672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SU002823</t>
        </is>
      </c>
      <c r="B152" s="64" t="inlineStr">
        <is>
          <t>P003230</t>
        </is>
      </c>
      <c r="C152" s="37" t="n">
        <v>4301011454</v>
      </c>
      <c r="D152" s="372" t="n">
        <v>4680115881396</v>
      </c>
      <c r="E152" s="636" t="n"/>
      <c r="F152" s="668" t="n">
        <v>0.45</v>
      </c>
      <c r="G152" s="38" t="n">
        <v>6</v>
      </c>
      <c r="H152" s="668" t="n">
        <v>2.7</v>
      </c>
      <c r="I152" s="668" t="n">
        <v>2.9</v>
      </c>
      <c r="J152" s="38" t="n">
        <v>156</v>
      </c>
      <c r="K152" s="39" t="inlineStr">
        <is>
          <t>СК2</t>
        </is>
      </c>
      <c r="L152" s="38" t="n">
        <v>55</v>
      </c>
      <c r="M152" s="756" t="inlineStr">
        <is>
          <t>Вареные колбасы Сочинка с сочным окороком ТМ Стародворье ф/в 0,45 кг</t>
        </is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SU000078</t>
        </is>
      </c>
      <c r="B153" s="64" t="inlineStr">
        <is>
          <t>P001806</t>
        </is>
      </c>
      <c r="C153" s="37" t="n">
        <v>4301010944</v>
      </c>
      <c r="D153" s="372" t="n">
        <v>4607091387346</v>
      </c>
      <c r="E153" s="636" t="n"/>
      <c r="F153" s="668" t="n">
        <v>0.4</v>
      </c>
      <c r="G153" s="38" t="n">
        <v>10</v>
      </c>
      <c r="H153" s="668" t="n">
        <v>4</v>
      </c>
      <c r="I153" s="668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5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 ht="27" customHeight="1">
      <c r="A154" s="64" t="inlineStr">
        <is>
          <t>SU002616</t>
        </is>
      </c>
      <c r="B154" s="64" t="inlineStr">
        <is>
          <t>P002950</t>
        </is>
      </c>
      <c r="C154" s="37" t="n">
        <v>4301011353</v>
      </c>
      <c r="D154" s="372" t="n">
        <v>4607091389807</v>
      </c>
      <c r="E154" s="636" t="n"/>
      <c r="F154" s="668" t="n">
        <v>0.4</v>
      </c>
      <c r="G154" s="38" t="n">
        <v>10</v>
      </c>
      <c r="H154" s="668" t="n">
        <v>4</v>
      </c>
      <c r="I154" s="668" t="n">
        <v>4.24</v>
      </c>
      <c r="J154" s="38" t="n">
        <v>120</v>
      </c>
      <c r="K154" s="39" t="inlineStr">
        <is>
          <t>СК1</t>
        </is>
      </c>
      <c r="L154" s="38" t="n">
        <v>55</v>
      </c>
      <c r="M154" s="758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4" s="670" t="n"/>
      <c r="O154" s="670" t="n"/>
      <c r="P154" s="670" t="n"/>
      <c r="Q154" s="636" t="n"/>
      <c r="R154" s="40" t="inlineStr"/>
      <c r="S154" s="40" t="inlineStr"/>
      <c r="T154" s="41" t="inlineStr">
        <is>
          <t>кг</t>
        </is>
      </c>
      <c r="U154" s="671" t="n">
        <v>0</v>
      </c>
      <c r="V154" s="672">
        <f>IFERROR(IF(U154="",0,CEILING((U154/$H154),1)*$H154),"")</f>
        <v/>
      </c>
      <c r="W154" s="42">
        <f>IFERROR(IF(V154=0,"",ROUNDUP(V154/H154,0)*0.00937),"")</f>
        <v/>
      </c>
      <c r="X154" s="69" t="inlineStr"/>
      <c r="Y154" s="70" t="inlineStr"/>
      <c r="AC154" s="154" t="inlineStr">
        <is>
          <t>КИ</t>
        </is>
      </c>
    </row>
    <row r="155">
      <c r="A155" s="380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кор</t>
        </is>
      </c>
      <c r="U155" s="675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/>
      </c>
      <c r="V155" s="675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/>
      </c>
      <c r="W155" s="675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/>
      </c>
      <c r="X155" s="676" t="n"/>
      <c r="Y155" s="676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3" t="n"/>
      <c r="M156" s="674" t="inlineStr">
        <is>
          <t>Итого</t>
        </is>
      </c>
      <c r="N156" s="644" t="n"/>
      <c r="O156" s="644" t="n"/>
      <c r="P156" s="644" t="n"/>
      <c r="Q156" s="644" t="n"/>
      <c r="R156" s="644" t="n"/>
      <c r="S156" s="645" t="n"/>
      <c r="T156" s="43" t="inlineStr">
        <is>
          <t>кг</t>
        </is>
      </c>
      <c r="U156" s="675">
        <f>IFERROR(SUM(U138:U154),"0")</f>
        <v/>
      </c>
      <c r="V156" s="675">
        <f>IFERROR(SUM(V138:V154),"0")</f>
        <v/>
      </c>
      <c r="W156" s="43" t="n"/>
      <c r="X156" s="676" t="n"/>
      <c r="Y156" s="676" t="n"/>
    </row>
    <row r="157" ht="14.25" customHeight="1">
      <c r="A157" s="371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71" t="n"/>
      <c r="Y157" s="371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72" t="n">
        <v>4680115882935</v>
      </c>
      <c r="E158" s="636" t="n"/>
      <c r="F158" s="668" t="n">
        <v>1.35</v>
      </c>
      <c r="G158" s="38" t="n">
        <v>8</v>
      </c>
      <c r="H158" s="668" t="n">
        <v>10.8</v>
      </c>
      <c r="I158" s="668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59" t="inlineStr">
        <is>
          <t>Ветчина "Сочинка с сочным окороком" Весовой п/а ТМ "Стародворье"</t>
        </is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>
        <is>
          <t>Новинка</t>
        </is>
      </c>
      <c r="AC158" s="155" t="inlineStr">
        <is>
          <t>КИ</t>
        </is>
      </c>
    </row>
    <row r="159" ht="27" customHeight="1">
      <c r="A159" s="64" t="inlineStr">
        <is>
          <t>SU002788</t>
        </is>
      </c>
      <c r="B159" s="64" t="inlineStr">
        <is>
          <t>P003190</t>
        </is>
      </c>
      <c r="C159" s="37" t="n">
        <v>4301020254</v>
      </c>
      <c r="D159" s="372" t="n">
        <v>4680115881914</v>
      </c>
      <c r="E159" s="636" t="n"/>
      <c r="F159" s="668" t="n">
        <v>0.4</v>
      </c>
      <c r="G159" s="38" t="n">
        <v>10</v>
      </c>
      <c r="H159" s="668" t="n">
        <v>4</v>
      </c>
      <c r="I159" s="668" t="n">
        <v>4.24</v>
      </c>
      <c r="J159" s="38" t="n">
        <v>120</v>
      </c>
      <c r="K159" s="39" t="inlineStr">
        <is>
          <t>СК1</t>
        </is>
      </c>
      <c r="L159" s="38" t="n">
        <v>90</v>
      </c>
      <c r="M159" s="760" t="inlineStr">
        <is>
          <t>Ветчины пастеризованная "Нежная с филе" Фикс.вес 0,4 п/а ТМ "Особый рецепт"</t>
        </is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156" t="inlineStr">
        <is>
          <t>КИ</t>
        </is>
      </c>
    </row>
    <row r="160" ht="16.5" customHeight="1">
      <c r="A160" s="64" t="inlineStr">
        <is>
          <t>SU002757</t>
        </is>
      </c>
      <c r="B160" s="64" t="inlineStr">
        <is>
          <t>P003128</t>
        </is>
      </c>
      <c r="C160" s="37" t="n">
        <v>4301020220</v>
      </c>
      <c r="D160" s="372" t="n">
        <v>4680115880764</v>
      </c>
      <c r="E160" s="636" t="n"/>
      <c r="F160" s="668" t="n">
        <v>0.35</v>
      </c>
      <c r="G160" s="38" t="n">
        <v>6</v>
      </c>
      <c r="H160" s="668" t="n">
        <v>2.1</v>
      </c>
      <c r="I160" s="668" t="n">
        <v>2.3</v>
      </c>
      <c r="J160" s="38" t="n">
        <v>156</v>
      </c>
      <c r="K160" s="39" t="inlineStr">
        <is>
          <t>СК1</t>
        </is>
      </c>
      <c r="L160" s="38" t="n">
        <v>50</v>
      </c>
      <c r="M160" s="761" t="inlineStr">
        <is>
          <t>Ветчина Сочинка с сочным окороком ТМ Стародворье полиамид ф/в 0,35 кг</t>
        </is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IFERROR(IF(V160=0,"",ROUNDUP(V160/H160,0)*0.00753),"")</f>
        <v/>
      </c>
      <c r="X160" s="69" t="inlineStr"/>
      <c r="Y160" s="70" t="inlineStr"/>
      <c r="AC160" s="157" t="inlineStr">
        <is>
          <t>КИ</t>
        </is>
      </c>
    </row>
    <row r="161">
      <c r="A161" s="380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кор</t>
        </is>
      </c>
      <c r="U161" s="675">
        <f>IFERROR(U158/H158,"0")+IFERROR(U159/H159,"0")+IFERROR(U160/H160,"0")</f>
        <v/>
      </c>
      <c r="V161" s="675">
        <f>IFERROR(V158/H158,"0")+IFERROR(V159/H159,"0")+IFERROR(V160/H160,"0")</f>
        <v/>
      </c>
      <c r="W161" s="675">
        <f>IFERROR(IF(W158="",0,W158),"0")+IFERROR(IF(W159="",0,W159),"0")+IFERROR(IF(W160="",0,W160),"0")</f>
        <v/>
      </c>
      <c r="X161" s="676" t="n"/>
      <c r="Y161" s="676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кг</t>
        </is>
      </c>
      <c r="U162" s="675">
        <f>IFERROR(SUM(U158:U160),"0")</f>
        <v/>
      </c>
      <c r="V162" s="675">
        <f>IFERROR(SUM(V158:V160),"0")</f>
        <v/>
      </c>
      <c r="W162" s="43" t="n"/>
      <c r="X162" s="676" t="n"/>
      <c r="Y162" s="676" t="n"/>
    </row>
    <row r="163" ht="14.25" customHeight="1">
      <c r="A163" s="371" t="inlineStr">
        <is>
          <t>Копченые колбасы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71" t="n"/>
      <c r="Y163" s="371" t="n"/>
    </row>
    <row r="164" ht="27" customHeight="1">
      <c r="A164" s="64" t="inlineStr">
        <is>
          <t>SU001820</t>
        </is>
      </c>
      <c r="B164" s="64" t="inlineStr">
        <is>
          <t>P001820</t>
        </is>
      </c>
      <c r="C164" s="37" t="n">
        <v>4301030878</v>
      </c>
      <c r="D164" s="372" t="n">
        <v>4607091387193</v>
      </c>
      <c r="E164" s="636" t="n"/>
      <c r="F164" s="668" t="n">
        <v>0.7</v>
      </c>
      <c r="G164" s="38" t="n">
        <v>6</v>
      </c>
      <c r="H164" s="668" t="n">
        <v>4.2</v>
      </c>
      <c r="I164" s="668" t="n">
        <v>4.46</v>
      </c>
      <c r="J164" s="38" t="n">
        <v>156</v>
      </c>
      <c r="K164" s="39" t="inlineStr">
        <is>
          <t>СК2</t>
        </is>
      </c>
      <c r="L164" s="38" t="n">
        <v>35</v>
      </c>
      <c r="M164" s="76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0</v>
      </c>
      <c r="V164" s="672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SU001822</t>
        </is>
      </c>
      <c r="B165" s="64" t="inlineStr">
        <is>
          <t>P003013</t>
        </is>
      </c>
      <c r="C165" s="37" t="n">
        <v>4301031153</v>
      </c>
      <c r="D165" s="372" t="n">
        <v>4607091387230</v>
      </c>
      <c r="E165" s="636" t="n"/>
      <c r="F165" s="668" t="n">
        <v>0.7</v>
      </c>
      <c r="G165" s="38" t="n">
        <v>6</v>
      </c>
      <c r="H165" s="668" t="n">
        <v>4.2</v>
      </c>
      <c r="I165" s="668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6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SU002756</t>
        </is>
      </c>
      <c r="B166" s="64" t="inlineStr">
        <is>
          <t>P003179</t>
        </is>
      </c>
      <c r="C166" s="37" t="n">
        <v>4301031191</v>
      </c>
      <c r="D166" s="372" t="n">
        <v>4680115880993</v>
      </c>
      <c r="E166" s="636" t="n"/>
      <c r="F166" s="668" t="n">
        <v>0.7</v>
      </c>
      <c r="G166" s="38" t="n">
        <v>6</v>
      </c>
      <c r="H166" s="668" t="n">
        <v>4.2</v>
      </c>
      <c r="I166" s="668" t="n">
        <v>4.46</v>
      </c>
      <c r="J166" s="38" t="n">
        <v>156</v>
      </c>
      <c r="K166" s="39" t="inlineStr">
        <is>
          <t>СК2</t>
        </is>
      </c>
      <c r="L166" s="38" t="n">
        <v>40</v>
      </c>
      <c r="M166" s="764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SU002876</t>
        </is>
      </c>
      <c r="B167" s="64" t="inlineStr">
        <is>
          <t>P003276</t>
        </is>
      </c>
      <c r="C167" s="37" t="n">
        <v>4301031204</v>
      </c>
      <c r="D167" s="372" t="n">
        <v>4680115881761</v>
      </c>
      <c r="E167" s="636" t="n"/>
      <c r="F167" s="668" t="n">
        <v>0.7</v>
      </c>
      <c r="G167" s="38" t="n">
        <v>6</v>
      </c>
      <c r="H167" s="668" t="n">
        <v>4.2</v>
      </c>
      <c r="I167" s="668" t="n">
        <v>4.46</v>
      </c>
      <c r="J167" s="38" t="n">
        <v>156</v>
      </c>
      <c r="K167" s="39" t="inlineStr">
        <is>
          <t>СК2</t>
        </is>
      </c>
      <c r="L167" s="38" t="n">
        <v>40</v>
      </c>
      <c r="M167" s="765" t="inlineStr">
        <is>
          <t>Копченые колбасы Салями Мясорубская с рубленым шпиком Бордо Весовой фиброуз Стародворье</t>
        </is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IFERROR(IF(V167=0,"",ROUNDUP(V167/H167,0)*0.00753),"")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SU002847</t>
        </is>
      </c>
      <c r="B168" s="64" t="inlineStr">
        <is>
          <t>P003259</t>
        </is>
      </c>
      <c r="C168" s="37" t="n">
        <v>4301031201</v>
      </c>
      <c r="D168" s="372" t="n">
        <v>4680115881563</v>
      </c>
      <c r="E168" s="636" t="n"/>
      <c r="F168" s="668" t="n">
        <v>0.7</v>
      </c>
      <c r="G168" s="38" t="n">
        <v>6</v>
      </c>
      <c r="H168" s="668" t="n">
        <v>4.2</v>
      </c>
      <c r="I168" s="668" t="n">
        <v>4.4</v>
      </c>
      <c r="J168" s="38" t="n">
        <v>156</v>
      </c>
      <c r="K168" s="39" t="inlineStr">
        <is>
          <t>СК2</t>
        </is>
      </c>
      <c r="L168" s="38" t="n">
        <v>40</v>
      </c>
      <c r="M168" s="766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IFERROR(IF(V168=0,"",ROUNDUP(V168/H168,0)*0.00753),"")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372" t="n">
        <v>4680115882683</v>
      </c>
      <c r="E169" s="636" t="n"/>
      <c r="F169" s="668" t="n">
        <v>0.9</v>
      </c>
      <c r="G169" s="38" t="n">
        <v>6</v>
      </c>
      <c r="H169" s="668" t="n">
        <v>5.4</v>
      </c>
      <c r="I169" s="668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67" t="inlineStr">
        <is>
          <t>В/к колбасы "Сочинка по-европейски с сочной грудинкой" Весовой фиброуз ТМ "Стародворье"</t>
        </is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372" t="n">
        <v>4680115882690</v>
      </c>
      <c r="E170" s="636" t="n"/>
      <c r="F170" s="668" t="n">
        <v>0.9</v>
      </c>
      <c r="G170" s="38" t="n">
        <v>6</v>
      </c>
      <c r="H170" s="668" t="n">
        <v>5.4</v>
      </c>
      <c r="I170" s="668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68" t="inlineStr">
        <is>
          <t>В/к колбасы "Сочинка по-фински с сочным окороком" Весовой фиброуз ТМ "Стародворье"</t>
        </is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372" t="n">
        <v>4680115882669</v>
      </c>
      <c r="E171" s="636" t="n"/>
      <c r="F171" s="668" t="n">
        <v>0.9</v>
      </c>
      <c r="G171" s="38" t="n">
        <v>6</v>
      </c>
      <c r="H171" s="668" t="n">
        <v>5.4</v>
      </c>
      <c r="I171" s="668" t="n">
        <v>5.61</v>
      </c>
      <c r="J171" s="38" t="n">
        <v>120</v>
      </c>
      <c r="K171" s="39" t="inlineStr">
        <is>
          <t>СК2</t>
        </is>
      </c>
      <c r="L171" s="38" t="n">
        <v>40</v>
      </c>
      <c r="M171" s="769" t="inlineStr">
        <is>
          <t>П/к колбасы "Сочинка зернистая с сочной грудинкой" Весовой фиброуз ТМ "Стародворье"</t>
        </is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372" t="n">
        <v>4680115882676</v>
      </c>
      <c r="E172" s="636" t="n"/>
      <c r="F172" s="668" t="n">
        <v>0.9</v>
      </c>
      <c r="G172" s="38" t="n">
        <v>6</v>
      </c>
      <c r="H172" s="668" t="n">
        <v>5.4</v>
      </c>
      <c r="I172" s="668" t="n">
        <v>5.61</v>
      </c>
      <c r="J172" s="38" t="n">
        <v>120</v>
      </c>
      <c r="K172" s="39" t="inlineStr">
        <is>
          <t>СК2</t>
        </is>
      </c>
      <c r="L172" s="38" t="n">
        <v>40</v>
      </c>
      <c r="M172" s="770" t="inlineStr">
        <is>
          <t>П/к колбасы "Сочинка рубленая с сочным окороком" Весовой фиброуз ТМ "Стародворье"</t>
        </is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SU002579</t>
        </is>
      </c>
      <c r="B173" s="64" t="inlineStr">
        <is>
          <t>P003012</t>
        </is>
      </c>
      <c r="C173" s="37" t="n">
        <v>4301031152</v>
      </c>
      <c r="D173" s="372" t="n">
        <v>4607091387285</v>
      </c>
      <c r="E173" s="636" t="n"/>
      <c r="F173" s="668" t="n">
        <v>0.35</v>
      </c>
      <c r="G173" s="38" t="n">
        <v>6</v>
      </c>
      <c r="H173" s="668" t="n">
        <v>2.1</v>
      </c>
      <c r="I173" s="668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7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SU002660</t>
        </is>
      </c>
      <c r="B174" s="64" t="inlineStr">
        <is>
          <t>P003256</t>
        </is>
      </c>
      <c r="C174" s="37" t="n">
        <v>4301031199</v>
      </c>
      <c r="D174" s="372" t="n">
        <v>4680115880986</v>
      </c>
      <c r="E174" s="636" t="n"/>
      <c r="F174" s="668" t="n">
        <v>0.35</v>
      </c>
      <c r="G174" s="38" t="n">
        <v>6</v>
      </c>
      <c r="H174" s="668" t="n">
        <v>2.1</v>
      </c>
      <c r="I174" s="668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72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SU002826</t>
        </is>
      </c>
      <c r="B175" s="64" t="inlineStr">
        <is>
          <t>P003178</t>
        </is>
      </c>
      <c r="C175" s="37" t="n">
        <v>4301031190</v>
      </c>
      <c r="D175" s="372" t="n">
        <v>4680115880207</v>
      </c>
      <c r="E175" s="636" t="n"/>
      <c r="F175" s="668" t="n">
        <v>0.4</v>
      </c>
      <c r="G175" s="38" t="n">
        <v>6</v>
      </c>
      <c r="H175" s="668" t="n">
        <v>2.4</v>
      </c>
      <c r="I175" s="668" t="n">
        <v>2.63</v>
      </c>
      <c r="J175" s="38" t="n">
        <v>156</v>
      </c>
      <c r="K175" s="39" t="inlineStr">
        <is>
          <t>СК2</t>
        </is>
      </c>
      <c r="L175" s="38" t="n">
        <v>40</v>
      </c>
      <c r="M175" s="773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SU002877</t>
        </is>
      </c>
      <c r="B176" s="64" t="inlineStr">
        <is>
          <t>P003277</t>
        </is>
      </c>
      <c r="C176" s="37" t="n">
        <v>4301031205</v>
      </c>
      <c r="D176" s="372" t="n">
        <v>4680115881785</v>
      </c>
      <c r="E176" s="636" t="n"/>
      <c r="F176" s="668" t="n">
        <v>0.35</v>
      </c>
      <c r="G176" s="38" t="n">
        <v>6</v>
      </c>
      <c r="H176" s="668" t="n">
        <v>2.1</v>
      </c>
      <c r="I176" s="668" t="n">
        <v>2.23</v>
      </c>
      <c r="J176" s="38" t="n">
        <v>234</v>
      </c>
      <c r="K176" s="39" t="inlineStr">
        <is>
          <t>СК2</t>
        </is>
      </c>
      <c r="L176" s="38" t="n">
        <v>40</v>
      </c>
      <c r="M176" s="774" t="inlineStr">
        <is>
          <t>Копченые колбасы Салями Мясорубская с рубленым шпиком срез Бордо ф/в 0,35 фиброуз Стародворье</t>
        </is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SU002848</t>
        </is>
      </c>
      <c r="B177" s="64" t="inlineStr">
        <is>
          <t>P003260</t>
        </is>
      </c>
      <c r="C177" s="37" t="n">
        <v>4301031202</v>
      </c>
      <c r="D177" s="372" t="n">
        <v>4680115881679</v>
      </c>
      <c r="E177" s="636" t="n"/>
      <c r="F177" s="668" t="n">
        <v>0.35</v>
      </c>
      <c r="G177" s="38" t="n">
        <v>6</v>
      </c>
      <c r="H177" s="668" t="n">
        <v>2.1</v>
      </c>
      <c r="I177" s="668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75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 ht="27" customHeight="1">
      <c r="A178" s="64" t="inlineStr">
        <is>
          <t>SU002659</t>
        </is>
      </c>
      <c r="B178" s="64" t="inlineStr">
        <is>
          <t>P003034</t>
        </is>
      </c>
      <c r="C178" s="37" t="n">
        <v>4301031158</v>
      </c>
      <c r="D178" s="372" t="n">
        <v>4680115880191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2.5</v>
      </c>
      <c r="J178" s="38" t="n">
        <v>234</v>
      </c>
      <c r="K178" s="39" t="inlineStr">
        <is>
          <t>СК2</t>
        </is>
      </c>
      <c r="L178" s="38" t="n">
        <v>40</v>
      </c>
      <c r="M178" s="776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IFERROR(IF(V178=0,"",ROUNDUP(V178/H178,0)*0.00502),"")</f>
        <v/>
      </c>
      <c r="X178" s="69" t="inlineStr"/>
      <c r="Y178" s="70" t="inlineStr"/>
      <c r="AC178" s="172" t="inlineStr">
        <is>
          <t>КИ</t>
        </is>
      </c>
    </row>
    <row r="179" ht="27" customHeight="1">
      <c r="A179" s="64" t="inlineStr">
        <is>
          <t>SU002617</t>
        </is>
      </c>
      <c r="B179" s="64" t="inlineStr">
        <is>
          <t>P002951</t>
        </is>
      </c>
      <c r="C179" s="37" t="n">
        <v>4301031151</v>
      </c>
      <c r="D179" s="372" t="n">
        <v>4607091389845</v>
      </c>
      <c r="E179" s="636" t="n"/>
      <c r="F179" s="668" t="n">
        <v>0.35</v>
      </c>
      <c r="G179" s="38" t="n">
        <v>6</v>
      </c>
      <c r="H179" s="668" t="n">
        <v>2.1</v>
      </c>
      <c r="I179" s="668" t="n">
        <v>2.2</v>
      </c>
      <c r="J179" s="38" t="n">
        <v>234</v>
      </c>
      <c r="K179" s="39" t="inlineStr">
        <is>
          <t>СК2</t>
        </is>
      </c>
      <c r="L179" s="38" t="n">
        <v>40</v>
      </c>
      <c r="M179" s="77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IFERROR(IF(V179=0,"",ROUNDUP(V179/H179,0)*0.00502),"")</f>
        <v/>
      </c>
      <c r="X179" s="69" t="inlineStr"/>
      <c r="Y179" s="70" t="inlineStr"/>
      <c r="AC179" s="173" t="inlineStr">
        <is>
          <t>КИ</t>
        </is>
      </c>
    </row>
    <row r="180">
      <c r="A180" s="380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3" t="n"/>
      <c r="M180" s="674" t="inlineStr">
        <is>
          <t>Итого</t>
        </is>
      </c>
      <c r="N180" s="644" t="n"/>
      <c r="O180" s="644" t="n"/>
      <c r="P180" s="644" t="n"/>
      <c r="Q180" s="644" t="n"/>
      <c r="R180" s="644" t="n"/>
      <c r="S180" s="645" t="n"/>
      <c r="T180" s="43" t="inlineStr">
        <is>
          <t>кор</t>
        </is>
      </c>
      <c r="U180" s="675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5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5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76" t="n"/>
      <c r="Y180" s="676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кг</t>
        </is>
      </c>
      <c r="U181" s="675">
        <f>IFERROR(SUM(U164:U179),"0")</f>
        <v/>
      </c>
      <c r="V181" s="675">
        <f>IFERROR(SUM(V164:V179),"0")</f>
        <v/>
      </c>
      <c r="W181" s="43" t="n"/>
      <c r="X181" s="676" t="n"/>
      <c r="Y181" s="676" t="n"/>
    </row>
    <row r="182" ht="14.25" customHeight="1">
      <c r="A182" s="371" t="inlineStr">
        <is>
          <t>Сосиски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71" t="n"/>
      <c r="Y182" s="371" t="n"/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72" t="n">
        <v>4680115881556</v>
      </c>
      <c r="E183" s="636" t="n"/>
      <c r="F183" s="668" t="n">
        <v>1</v>
      </c>
      <c r="G183" s="38" t="n">
        <v>4</v>
      </c>
      <c r="H183" s="668" t="n">
        <v>4</v>
      </c>
      <c r="I183" s="668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78" t="inlineStr">
        <is>
          <t>Сосиски Сочинки по-баварски ТМ Стародворье полиамид мгс вес СК3</t>
        </is>
      </c>
      <c r="N183" s="670" t="n"/>
      <c r="O183" s="670" t="n"/>
      <c r="P183" s="670" t="n"/>
      <c r="Q183" s="636" t="n"/>
      <c r="R183" s="40" t="inlineStr"/>
      <c r="S183" s="40" t="inlineStr"/>
      <c r="T183" s="41" t="inlineStr">
        <is>
          <t>кг</t>
        </is>
      </c>
      <c r="U183" s="671" t="n">
        <v>0</v>
      </c>
      <c r="V183" s="672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72" t="n">
        <v>4607091387766</v>
      </c>
      <c r="E184" s="636" t="n"/>
      <c r="F184" s="668" t="n">
        <v>1.35</v>
      </c>
      <c r="G184" s="38" t="n">
        <v>6</v>
      </c>
      <c r="H184" s="668" t="n">
        <v>8.1</v>
      </c>
      <c r="I184" s="668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79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0</v>
      </c>
      <c r="V184" s="672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72" t="n">
        <v>4607091387957</v>
      </c>
      <c r="E185" s="636" t="n"/>
      <c r="F185" s="668" t="n">
        <v>1.3</v>
      </c>
      <c r="G185" s="38" t="n">
        <v>6</v>
      </c>
      <c r="H185" s="668" t="n">
        <v>7.8</v>
      </c>
      <c r="I185" s="668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8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72" t="n">
        <v>4607091387964</v>
      </c>
      <c r="E186" s="636" t="n"/>
      <c r="F186" s="668" t="n">
        <v>1.35</v>
      </c>
      <c r="G186" s="38" t="n">
        <v>6</v>
      </c>
      <c r="H186" s="668" t="n">
        <v>8.1</v>
      </c>
      <c r="I186" s="668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8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70" t="n"/>
      <c r="O186" s="670" t="n"/>
      <c r="P186" s="670" t="n"/>
      <c r="Q186" s="636" t="n"/>
      <c r="R186" s="40" t="inlineStr"/>
      <c r="S186" s="40" t="inlineStr"/>
      <c r="T186" s="41" t="inlineStr">
        <is>
          <t>кг</t>
        </is>
      </c>
      <c r="U186" s="671" t="n">
        <v>0</v>
      </c>
      <c r="V186" s="672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72" t="n">
        <v>4680115880573</v>
      </c>
      <c r="E187" s="636" t="n"/>
      <c r="F187" s="668" t="n">
        <v>1.3</v>
      </c>
      <c r="G187" s="38" t="n">
        <v>6</v>
      </c>
      <c r="H187" s="668" t="n">
        <v>7.8</v>
      </c>
      <c r="I187" s="668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82" t="inlineStr">
        <is>
          <t>Сосиски "Сочинки" Весовой п/а ТМ "Стародворье"</t>
        </is>
      </c>
      <c r="N187" s="670" t="n"/>
      <c r="O187" s="670" t="n"/>
      <c r="P187" s="670" t="n"/>
      <c r="Q187" s="636" t="n"/>
      <c r="R187" s="40" t="inlineStr"/>
      <c r="S187" s="40" t="inlineStr"/>
      <c r="T187" s="41" t="inlineStr">
        <is>
          <t>кг</t>
        </is>
      </c>
      <c r="U187" s="671" t="n">
        <v>0</v>
      </c>
      <c r="V187" s="672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72" t="n">
        <v>4680115881594</v>
      </c>
      <c r="E188" s="636" t="n"/>
      <c r="F188" s="668" t="n">
        <v>1.35</v>
      </c>
      <c r="G188" s="38" t="n">
        <v>6</v>
      </c>
      <c r="H188" s="668" t="n">
        <v>8.1</v>
      </c>
      <c r="I188" s="668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83" t="inlineStr">
        <is>
          <t>Сосиски "Сочинки Молочные" Весовой п/а мгс ТМ "Стародворье"</t>
        </is>
      </c>
      <c r="N188" s="670" t="n"/>
      <c r="O188" s="670" t="n"/>
      <c r="P188" s="670" t="n"/>
      <c r="Q188" s="636" t="n"/>
      <c r="R188" s="40" t="inlineStr"/>
      <c r="S188" s="40" t="inlineStr"/>
      <c r="T188" s="41" t="inlineStr">
        <is>
          <t>кг</t>
        </is>
      </c>
      <c r="U188" s="671" t="n">
        <v>0</v>
      </c>
      <c r="V188" s="672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72" t="n">
        <v>4680115881587</v>
      </c>
      <c r="E189" s="636" t="n"/>
      <c r="F189" s="668" t="n">
        <v>1</v>
      </c>
      <c r="G189" s="38" t="n">
        <v>4</v>
      </c>
      <c r="H189" s="668" t="n">
        <v>4</v>
      </c>
      <c r="I189" s="668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84" t="inlineStr">
        <is>
          <t>Сосиски Сочинки по-баварски с сыром Бордо Весовой п/а Стародворье</t>
        </is>
      </c>
      <c r="N189" s="670" t="n"/>
      <c r="O189" s="670" t="n"/>
      <c r="P189" s="670" t="n"/>
      <c r="Q189" s="636" t="n"/>
      <c r="R189" s="40" t="inlineStr"/>
      <c r="S189" s="40" t="inlineStr"/>
      <c r="T189" s="41" t="inlineStr">
        <is>
          <t>кг</t>
        </is>
      </c>
      <c r="U189" s="671" t="n">
        <v>0</v>
      </c>
      <c r="V189" s="672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72" t="n">
        <v>4680115880962</v>
      </c>
      <c r="E190" s="636" t="n"/>
      <c r="F190" s="668" t="n">
        <v>1.3</v>
      </c>
      <c r="G190" s="38" t="n">
        <v>6</v>
      </c>
      <c r="H190" s="668" t="n">
        <v>7.8</v>
      </c>
      <c r="I190" s="668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85" t="inlineStr">
        <is>
          <t>Сосиски Сочинки с сыром Бордо Весовой п/а Стародворье</t>
        </is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72" t="n">
        <v>4680115881617</v>
      </c>
      <c r="E191" s="636" t="n"/>
      <c r="F191" s="668" t="n">
        <v>1.35</v>
      </c>
      <c r="G191" s="38" t="n">
        <v>6</v>
      </c>
      <c r="H191" s="668" t="n">
        <v>8.1</v>
      </c>
      <c r="I191" s="668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86" t="inlineStr">
        <is>
          <t>Сосиски "Сочинки Сливочные" Весовые ТМ "Стародворье" 1,35 кг</t>
        </is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72" t="n">
        <v>4680115881228</v>
      </c>
      <c r="E192" s="636" t="n"/>
      <c r="F192" s="668" t="n">
        <v>0.4</v>
      </c>
      <c r="G192" s="38" t="n">
        <v>6</v>
      </c>
      <c r="H192" s="668" t="n">
        <v>2.4</v>
      </c>
      <c r="I192" s="668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8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72" t="n">
        <v>4680115881037</v>
      </c>
      <c r="E193" s="636" t="n"/>
      <c r="F193" s="668" t="n">
        <v>0.84</v>
      </c>
      <c r="G193" s="38" t="n">
        <v>4</v>
      </c>
      <c r="H193" s="668" t="n">
        <v>3.36</v>
      </c>
      <c r="I193" s="668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88" t="inlineStr">
        <is>
          <t>Сосиски Сочинки по-баварски с сыром ТМ Стародворье полиамид мгс ф/в 0,84 кг СК3</t>
        </is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72" t="n">
        <v>4680115881211</v>
      </c>
      <c r="E194" s="636" t="n"/>
      <c r="F194" s="668" t="n">
        <v>0.4</v>
      </c>
      <c r="G194" s="38" t="n">
        <v>6</v>
      </c>
      <c r="H194" s="668" t="n">
        <v>2.4</v>
      </c>
      <c r="I194" s="668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89" t="inlineStr">
        <is>
          <t>Сосиски Сочинки по-баварски Бавария Фикс.вес 0,4 П/а мгс Стародворье</t>
        </is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72" t="n">
        <v>4680115881020</v>
      </c>
      <c r="E195" s="636" t="n"/>
      <c r="F195" s="668" t="n">
        <v>0.84</v>
      </c>
      <c r="G195" s="38" t="n">
        <v>4</v>
      </c>
      <c r="H195" s="668" t="n">
        <v>3.36</v>
      </c>
      <c r="I195" s="668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90" t="inlineStr">
        <is>
          <t>Сосиски Сочинки по-баварски Бавария Фикс.вес 0,84 П/а мгс Стародворье</t>
        </is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72" t="n">
        <v>4607091381672</v>
      </c>
      <c r="E196" s="636" t="n"/>
      <c r="F196" s="668" t="n">
        <v>0.6</v>
      </c>
      <c r="G196" s="38" t="n">
        <v>6</v>
      </c>
      <c r="H196" s="668" t="n">
        <v>3.6</v>
      </c>
      <c r="I196" s="668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9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72" t="n">
        <v>4607091387537</v>
      </c>
      <c r="E197" s="636" t="n"/>
      <c r="F197" s="668" t="n">
        <v>0.45</v>
      </c>
      <c r="G197" s="38" t="n">
        <v>6</v>
      </c>
      <c r="H197" s="668" t="n">
        <v>2.7</v>
      </c>
      <c r="I197" s="668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9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72" t="n">
        <v>4607091387513</v>
      </c>
      <c r="E198" s="636" t="n"/>
      <c r="F198" s="668" t="n">
        <v>0.45</v>
      </c>
      <c r="G198" s="38" t="n">
        <v>6</v>
      </c>
      <c r="H198" s="668" t="n">
        <v>2.7</v>
      </c>
      <c r="I198" s="668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9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72" t="n">
        <v>4680115882195</v>
      </c>
      <c r="E199" s="636" t="n"/>
      <c r="F199" s="668" t="n">
        <v>0.4</v>
      </c>
      <c r="G199" s="38" t="n">
        <v>6</v>
      </c>
      <c r="H199" s="668" t="n">
        <v>2.4</v>
      </c>
      <c r="I199" s="668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94" t="inlineStr">
        <is>
          <t>Сосиски "Сочинки Молочные" Фикс.вес 0,4 п/а мгс ТМ "Стародворье"</t>
        </is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SU002992</t>
        </is>
      </c>
      <c r="B200" s="64" t="inlineStr">
        <is>
          <t>P003443</t>
        </is>
      </c>
      <c r="C200" s="37" t="n">
        <v>4301051479</v>
      </c>
      <c r="D200" s="372" t="n">
        <v>4680115882607</v>
      </c>
      <c r="E200" s="636" t="n"/>
      <c r="F200" s="668" t="n">
        <v>0.3</v>
      </c>
      <c r="G200" s="38" t="n">
        <v>6</v>
      </c>
      <c r="H200" s="668" t="n">
        <v>1.8</v>
      </c>
      <c r="I200" s="668" t="n">
        <v>2.072</v>
      </c>
      <c r="J200" s="38" t="n">
        <v>156</v>
      </c>
      <c r="K200" s="39" t="inlineStr">
        <is>
          <t>СК3</t>
        </is>
      </c>
      <c r="L200" s="38" t="n">
        <v>45</v>
      </c>
      <c r="M200" s="795" t="inlineStr">
        <is>
          <t>Сосиски "Сочинки с сочной грудинкой" Фикс.вес 0,3 П/а мгс ТМ "Стародворье"</t>
        </is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SU002618</t>
        </is>
      </c>
      <c r="B201" s="64" t="inlineStr">
        <is>
          <t>P003398</t>
        </is>
      </c>
      <c r="C201" s="37" t="n">
        <v>4301051468</v>
      </c>
      <c r="D201" s="372" t="n">
        <v>4680115880092</v>
      </c>
      <c r="E201" s="636" t="n"/>
      <c r="F201" s="668" t="n">
        <v>0.4</v>
      </c>
      <c r="G201" s="38" t="n">
        <v>6</v>
      </c>
      <c r="H201" s="668" t="n">
        <v>2.4</v>
      </c>
      <c r="I201" s="668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796" t="inlineStr">
        <is>
          <t>Сосиски "Сочинки с сочной грудинкой" Фикс.вес 0,4 П/а мгс ТМ "Стародворье"</t>
        </is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27" customHeight="1">
      <c r="A202" s="64" t="inlineStr">
        <is>
          <t>SU002621</t>
        </is>
      </c>
      <c r="B202" s="64" t="inlineStr">
        <is>
          <t>P003399</t>
        </is>
      </c>
      <c r="C202" s="37" t="n">
        <v>4301051469</v>
      </c>
      <c r="D202" s="372" t="n">
        <v>4680115880221</v>
      </c>
      <c r="E202" s="636" t="n"/>
      <c r="F202" s="668" t="n">
        <v>0.4</v>
      </c>
      <c r="G202" s="38" t="n">
        <v>6</v>
      </c>
      <c r="H202" s="668" t="n">
        <v>2.4</v>
      </c>
      <c r="I202" s="668" t="n">
        <v>2.672</v>
      </c>
      <c r="J202" s="38" t="n">
        <v>156</v>
      </c>
      <c r="K202" s="39" t="inlineStr">
        <is>
          <t>СК3</t>
        </is>
      </c>
      <c r="L202" s="38" t="n">
        <v>45</v>
      </c>
      <c r="M202" s="797" t="inlineStr">
        <is>
          <t>Сосиски Сочинки с сочным окороком Бордо Фикс.вес 0,4 П/а мгс Стародворье</t>
        </is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16.5" customHeight="1">
      <c r="A203" s="64" t="inlineStr">
        <is>
          <t>SU003073</t>
        </is>
      </c>
      <c r="B203" s="64" t="inlineStr">
        <is>
          <t>P003613</t>
        </is>
      </c>
      <c r="C203" s="37" t="n">
        <v>4301051523</v>
      </c>
      <c r="D203" s="372" t="n">
        <v>4680115882942</v>
      </c>
      <c r="E203" s="636" t="n"/>
      <c r="F203" s="668" t="n">
        <v>0.3</v>
      </c>
      <c r="G203" s="38" t="n">
        <v>6</v>
      </c>
      <c r="H203" s="668" t="n">
        <v>1.8</v>
      </c>
      <c r="I203" s="668" t="n">
        <v>2.072</v>
      </c>
      <c r="J203" s="38" t="n">
        <v>156</v>
      </c>
      <c r="K203" s="39" t="inlineStr">
        <is>
          <t>СК2</t>
        </is>
      </c>
      <c r="L203" s="38" t="n">
        <v>40</v>
      </c>
      <c r="M203" s="798" t="inlineStr">
        <is>
          <t>Сосиски "Сочинки с сыром" ф/в 0,3 кг п/а ТМ "Стародворье"</t>
        </is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 ht="16.5" customHeight="1">
      <c r="A204" s="64" t="inlineStr">
        <is>
          <t>SU002686</t>
        </is>
      </c>
      <c r="B204" s="64" t="inlineStr">
        <is>
          <t>P003071</t>
        </is>
      </c>
      <c r="C204" s="37" t="n">
        <v>4301051326</v>
      </c>
      <c r="D204" s="372" t="n">
        <v>4680115880504</v>
      </c>
      <c r="E204" s="636" t="n"/>
      <c r="F204" s="668" t="n">
        <v>0.4</v>
      </c>
      <c r="G204" s="38" t="n">
        <v>6</v>
      </c>
      <c r="H204" s="668" t="n">
        <v>2.4</v>
      </c>
      <c r="I204" s="668" t="n">
        <v>2.672</v>
      </c>
      <c r="J204" s="38" t="n">
        <v>156</v>
      </c>
      <c r="K204" s="39" t="inlineStr">
        <is>
          <t>СК2</t>
        </is>
      </c>
      <c r="L204" s="38" t="n">
        <v>40</v>
      </c>
      <c r="M204" s="799">
        <f>HYPERLINK("https://abi.ru/products/Охлажденные/Стародворье/Бордо/Сосиски/P003071/","Сосиски Сочинки с сыром Бордо ф/в 0,4 кг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IFERROR(IF(V204=0,"",ROUNDUP(V204/H204,0)*0.00753),"")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SU002844</t>
        </is>
      </c>
      <c r="B205" s="64" t="inlineStr">
        <is>
          <t>P003265</t>
        </is>
      </c>
      <c r="C205" s="37" t="n">
        <v>4301051410</v>
      </c>
      <c r="D205" s="372" t="n">
        <v>4680115882164</v>
      </c>
      <c r="E205" s="636" t="n"/>
      <c r="F205" s="668" t="n">
        <v>0.4</v>
      </c>
      <c r="G205" s="38" t="n">
        <v>6</v>
      </c>
      <c r="H205" s="668" t="n">
        <v>2.4</v>
      </c>
      <c r="I205" s="668" t="n">
        <v>2.678</v>
      </c>
      <c r="J205" s="38" t="n">
        <v>156</v>
      </c>
      <c r="K205" s="39" t="inlineStr">
        <is>
          <t>СК3</t>
        </is>
      </c>
      <c r="L205" s="38" t="n">
        <v>40</v>
      </c>
      <c r="M205" s="800" t="inlineStr">
        <is>
          <t>Сосиски "Сочинки Сливочные" Фикс.вес 0,4 п/а мгс ТМ "Стародворье"</t>
        </is>
      </c>
      <c r="N205" s="670" t="n"/>
      <c r="O205" s="670" t="n"/>
      <c r="P205" s="670" t="n"/>
      <c r="Q205" s="636" t="n"/>
      <c r="R205" s="40" t="inlineStr"/>
      <c r="S205" s="40" t="inlineStr"/>
      <c r="T205" s="41" t="inlineStr">
        <is>
          <t>кг</t>
        </is>
      </c>
      <c r="U205" s="671" t="n">
        <v>0</v>
      </c>
      <c r="V205" s="672">
        <f>IFERROR(IF(U205="",0,CEILING((U205/$H205),1)*$H205),"")</f>
        <v/>
      </c>
      <c r="W205" s="42">
        <f>IFERROR(IF(V205=0,"",ROUNDUP(V205/H205,0)*0.00753),"")</f>
        <v/>
      </c>
      <c r="X205" s="69" t="inlineStr"/>
      <c r="Y205" s="70" t="inlineStr"/>
      <c r="AC205" s="196" t="inlineStr">
        <is>
          <t>КИ</t>
        </is>
      </c>
    </row>
    <row r="206">
      <c r="A206" s="380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кор</t>
        </is>
      </c>
      <c r="U206" s="675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5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5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76" t="n"/>
      <c r="Y206" s="676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3" t="n"/>
      <c r="M207" s="674" t="inlineStr">
        <is>
          <t>Итого</t>
        </is>
      </c>
      <c r="N207" s="644" t="n"/>
      <c r="O207" s="644" t="n"/>
      <c r="P207" s="644" t="n"/>
      <c r="Q207" s="644" t="n"/>
      <c r="R207" s="644" t="n"/>
      <c r="S207" s="645" t="n"/>
      <c r="T207" s="43" t="inlineStr">
        <is>
          <t>кг</t>
        </is>
      </c>
      <c r="U207" s="675">
        <f>IFERROR(SUM(U183:U205),"0")</f>
        <v/>
      </c>
      <c r="V207" s="675">
        <f>IFERROR(SUM(V183:V205),"0")</f>
        <v/>
      </c>
      <c r="W207" s="43" t="n"/>
      <c r="X207" s="676" t="n"/>
      <c r="Y207" s="676" t="n"/>
    </row>
    <row r="208" ht="14.25" customHeight="1">
      <c r="A208" s="371" t="inlineStr">
        <is>
          <t>Сардельки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71" t="n"/>
      <c r="Y208" s="371" t="n"/>
    </row>
    <row r="209" ht="16.5" customHeight="1">
      <c r="A209" s="64" t="inlineStr">
        <is>
          <t>SU001051</t>
        </is>
      </c>
      <c r="B209" s="64" t="inlineStr">
        <is>
          <t>P002061</t>
        </is>
      </c>
      <c r="C209" s="37" t="n">
        <v>4301060326</v>
      </c>
      <c r="D209" s="372" t="n">
        <v>4607091380880</v>
      </c>
      <c r="E209" s="636" t="n"/>
      <c r="F209" s="668" t="n">
        <v>1.4</v>
      </c>
      <c r="G209" s="38" t="n">
        <v>6</v>
      </c>
      <c r="H209" s="668" t="n">
        <v>8.4</v>
      </c>
      <c r="I209" s="668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801">
        <f>HYPERLINK("https://abi.ru/products/Охлажденные/Стародворье/Бордо/Сардельки/P002061/","Сардельки Нежные Бордо Весовые н/о мгс Стародворье")</f>
        <v/>
      </c>
      <c r="N209" s="670" t="n"/>
      <c r="O209" s="670" t="n"/>
      <c r="P209" s="670" t="n"/>
      <c r="Q209" s="636" t="n"/>
      <c r="R209" s="40" t="inlineStr"/>
      <c r="S209" s="40" t="inlineStr"/>
      <c r="T209" s="41" t="inlineStr">
        <is>
          <t>кг</t>
        </is>
      </c>
      <c r="U209" s="671" t="n">
        <v>0</v>
      </c>
      <c r="V209" s="672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27" customHeight="1">
      <c r="A210" s="64" t="inlineStr">
        <is>
          <t>SU000227</t>
        </is>
      </c>
      <c r="B210" s="64" t="inlineStr">
        <is>
          <t>P002536</t>
        </is>
      </c>
      <c r="C210" s="37" t="n">
        <v>4301060308</v>
      </c>
      <c r="D210" s="372" t="n">
        <v>4607091384482</v>
      </c>
      <c r="E210" s="636" t="n"/>
      <c r="F210" s="668" t="n">
        <v>1.3</v>
      </c>
      <c r="G210" s="38" t="n">
        <v>6</v>
      </c>
      <c r="H210" s="668" t="n">
        <v>7.8</v>
      </c>
      <c r="I210" s="668" t="n">
        <v>8.364000000000001</v>
      </c>
      <c r="J210" s="38" t="n">
        <v>56</v>
      </c>
      <c r="K210" s="39" t="inlineStr">
        <is>
          <t>СК2</t>
        </is>
      </c>
      <c r="L210" s="38" t="n">
        <v>30</v>
      </c>
      <c r="M210" s="80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10" s="670" t="n"/>
      <c r="O210" s="670" t="n"/>
      <c r="P210" s="670" t="n"/>
      <c r="Q210" s="636" t="n"/>
      <c r="R210" s="40" t="inlineStr"/>
      <c r="S210" s="40" t="inlineStr"/>
      <c r="T210" s="41" t="inlineStr">
        <is>
          <t>кг</t>
        </is>
      </c>
      <c r="U210" s="671" t="n">
        <v>0</v>
      </c>
      <c r="V210" s="672">
        <f>IFERROR(IF(U210="",0,CEILING((U210/$H210),1)*$H210),"")</f>
        <v/>
      </c>
      <c r="W210" s="42">
        <f>IFERROR(IF(V210=0,"",ROUNDUP(V210/H210,0)*0.02175),"")</f>
        <v/>
      </c>
      <c r="X210" s="69" t="inlineStr"/>
      <c r="Y210" s="70" t="inlineStr"/>
      <c r="AC210" s="198" t="inlineStr">
        <is>
          <t>КИ</t>
        </is>
      </c>
    </row>
    <row r="211" ht="16.5" customHeight="1">
      <c r="A211" s="64" t="inlineStr">
        <is>
          <t>SU001430</t>
        </is>
      </c>
      <c r="B211" s="64" t="inlineStr">
        <is>
          <t>P002036</t>
        </is>
      </c>
      <c r="C211" s="37" t="n">
        <v>4301060325</v>
      </c>
      <c r="D211" s="372" t="n">
        <v>4607091380897</v>
      </c>
      <c r="E211" s="636" t="n"/>
      <c r="F211" s="668" t="n">
        <v>1.4</v>
      </c>
      <c r="G211" s="38" t="n">
        <v>6</v>
      </c>
      <c r="H211" s="668" t="n">
        <v>8.4</v>
      </c>
      <c r="I211" s="668" t="n">
        <v>8.964</v>
      </c>
      <c r="J211" s="38" t="n">
        <v>56</v>
      </c>
      <c r="K211" s="39" t="inlineStr">
        <is>
          <t>СК2</t>
        </is>
      </c>
      <c r="L211" s="38" t="n">
        <v>30</v>
      </c>
      <c r="M211" s="803">
        <f>HYPERLINK("https://abi.ru/products/Охлажденные/Стародворье/Бордо/Сардельки/P002036/","Сардельки Шпикачки Бордо Весовые NDX мгс Стародворье")</f>
        <v/>
      </c>
      <c r="N211" s="670" t="n"/>
      <c r="O211" s="670" t="n"/>
      <c r="P211" s="670" t="n"/>
      <c r="Q211" s="636" t="n"/>
      <c r="R211" s="40" t="inlineStr"/>
      <c r="S211" s="40" t="inlineStr"/>
      <c r="T211" s="41" t="inlineStr">
        <is>
          <t>кг</t>
        </is>
      </c>
      <c r="U211" s="671" t="n">
        <v>0</v>
      </c>
      <c r="V211" s="672">
        <f>IFERROR(IF(U211="",0,CEILING((U211/$H211),1)*$H211),"")</f>
        <v/>
      </c>
      <c r="W211" s="42">
        <f>IFERROR(IF(V211=0,"",ROUNDUP(V211/H211,0)*0.02175),"")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SU002758</t>
        </is>
      </c>
      <c r="B212" s="64" t="inlineStr">
        <is>
          <t>P003129</t>
        </is>
      </c>
      <c r="C212" s="37" t="n">
        <v>4301060338</v>
      </c>
      <c r="D212" s="372" t="n">
        <v>4680115880801</v>
      </c>
      <c r="E212" s="636" t="n"/>
      <c r="F212" s="668" t="n">
        <v>0.4</v>
      </c>
      <c r="G212" s="38" t="n">
        <v>6</v>
      </c>
      <c r="H212" s="668" t="n">
        <v>2.4</v>
      </c>
      <c r="I212" s="668" t="n">
        <v>2.672</v>
      </c>
      <c r="J212" s="38" t="n">
        <v>156</v>
      </c>
      <c r="K212" s="39" t="inlineStr">
        <is>
          <t>СК2</t>
        </is>
      </c>
      <c r="L212" s="38" t="n">
        <v>40</v>
      </c>
      <c r="M212" s="804" t="inlineStr">
        <is>
          <t>Сардельки Сочинки с сочным окороком ТМ Стародворье полиамид мгс ф/в 0,4 кг СК3</t>
        </is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0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200" t="inlineStr">
        <is>
          <t>КИ</t>
        </is>
      </c>
    </row>
    <row r="213" ht="27" customHeight="1">
      <c r="A213" s="64" t="inlineStr">
        <is>
          <t>SU002759</t>
        </is>
      </c>
      <c r="B213" s="64" t="inlineStr">
        <is>
          <t>P003130</t>
        </is>
      </c>
      <c r="C213" s="37" t="n">
        <v>4301060339</v>
      </c>
      <c r="D213" s="372" t="n">
        <v>4680115880818</v>
      </c>
      <c r="E213" s="636" t="n"/>
      <c r="F213" s="668" t="n">
        <v>0.4</v>
      </c>
      <c r="G213" s="38" t="n">
        <v>6</v>
      </c>
      <c r="H213" s="668" t="n">
        <v>2.4</v>
      </c>
      <c r="I213" s="668" t="n">
        <v>2.672</v>
      </c>
      <c r="J213" s="38" t="n">
        <v>156</v>
      </c>
      <c r="K213" s="39" t="inlineStr">
        <is>
          <t>СК2</t>
        </is>
      </c>
      <c r="L213" s="38" t="n">
        <v>40</v>
      </c>
      <c r="M213" s="805" t="inlineStr">
        <is>
          <t>Сардельки Сочинки с сыром Бордо Фикс.вес 0,4 п/а Стародворье</t>
        </is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16.5" customHeight="1">
      <c r="A214" s="64" t="inlineStr">
        <is>
          <t>SU002691</t>
        </is>
      </c>
      <c r="B214" s="64" t="inlineStr">
        <is>
          <t>P003055</t>
        </is>
      </c>
      <c r="C214" s="37" t="n">
        <v>4301060337</v>
      </c>
      <c r="D214" s="372" t="n">
        <v>4680115880368</v>
      </c>
      <c r="E214" s="636" t="n"/>
      <c r="F214" s="668" t="n">
        <v>1</v>
      </c>
      <c r="G214" s="38" t="n">
        <v>4</v>
      </c>
      <c r="H214" s="668" t="n">
        <v>4</v>
      </c>
      <c r="I214" s="668" t="n">
        <v>4.36</v>
      </c>
      <c r="J214" s="38" t="n">
        <v>104</v>
      </c>
      <c r="K214" s="39" t="inlineStr">
        <is>
          <t>СК3</t>
        </is>
      </c>
      <c r="L214" s="38" t="n">
        <v>40</v>
      </c>
      <c r="M214" s="806" t="inlineStr">
        <is>
          <t>Сардельки Царедворские Бордо ф/в 1 кг п/а Стародворье</t>
        </is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IFERROR(IF(V214=0,"",ROUNDUP(V214/H214,0)*0.01196),"")</f>
        <v/>
      </c>
      <c r="X214" s="69" t="inlineStr"/>
      <c r="Y214" s="70" t="inlineStr"/>
      <c r="AC214" s="202" t="inlineStr">
        <is>
          <t>КИ</t>
        </is>
      </c>
    </row>
    <row r="215">
      <c r="A215" s="380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3" t="n"/>
      <c r="M215" s="674" t="inlineStr">
        <is>
          <t>Итого</t>
        </is>
      </c>
      <c r="N215" s="644" t="n"/>
      <c r="O215" s="644" t="n"/>
      <c r="P215" s="644" t="n"/>
      <c r="Q215" s="644" t="n"/>
      <c r="R215" s="644" t="n"/>
      <c r="S215" s="645" t="n"/>
      <c r="T215" s="43" t="inlineStr">
        <is>
          <t>кор</t>
        </is>
      </c>
      <c r="U215" s="675">
        <f>IFERROR(U209/H209,"0")+IFERROR(U210/H210,"0")+IFERROR(U211/H211,"0")+IFERROR(U212/H212,"0")+IFERROR(U213/H213,"0")+IFERROR(U214/H214,"0")</f>
        <v/>
      </c>
      <c r="V215" s="675">
        <f>IFERROR(V209/H209,"0")+IFERROR(V210/H210,"0")+IFERROR(V211/H211,"0")+IFERROR(V212/H212,"0")+IFERROR(V213/H213,"0")+IFERROR(V214/H214,"0")</f>
        <v/>
      </c>
      <c r="W215" s="675">
        <f>IFERROR(IF(W209="",0,W209),"0")+IFERROR(IF(W210="",0,W210),"0")+IFERROR(IF(W211="",0,W211),"0")+IFERROR(IF(W212="",0,W212),"0")+IFERROR(IF(W213="",0,W213),"0")+IFERROR(IF(W214="",0,W214),"0")</f>
        <v/>
      </c>
      <c r="X215" s="676" t="n"/>
      <c r="Y215" s="676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кг</t>
        </is>
      </c>
      <c r="U216" s="675">
        <f>IFERROR(SUM(U209:U214),"0")</f>
        <v/>
      </c>
      <c r="V216" s="675">
        <f>IFERROR(SUM(V209:V214),"0")</f>
        <v/>
      </c>
      <c r="W216" s="43" t="n"/>
      <c r="X216" s="676" t="n"/>
      <c r="Y216" s="676" t="n"/>
    </row>
    <row r="217" ht="14.25" customHeight="1">
      <c r="A217" s="371" t="inlineStr">
        <is>
          <t>Сырокопченые колбасы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71" t="n"/>
      <c r="Y217" s="371" t="n"/>
    </row>
    <row r="218" ht="16.5" customHeight="1">
      <c r="A218" s="64" t="inlineStr">
        <is>
          <t>SU001920</t>
        </is>
      </c>
      <c r="B218" s="64" t="inlineStr">
        <is>
          <t>P001900</t>
        </is>
      </c>
      <c r="C218" s="37" t="n">
        <v>4301030232</v>
      </c>
      <c r="D218" s="372" t="n">
        <v>4607091388374</v>
      </c>
      <c r="E218" s="636" t="n"/>
      <c r="F218" s="668" t="n">
        <v>0.38</v>
      </c>
      <c r="G218" s="38" t="n">
        <v>8</v>
      </c>
      <c r="H218" s="668" t="n">
        <v>3.04</v>
      </c>
      <c r="I218" s="668" t="n">
        <v>3.28</v>
      </c>
      <c r="J218" s="38" t="n">
        <v>156</v>
      </c>
      <c r="K218" s="39" t="inlineStr">
        <is>
          <t>АК</t>
        </is>
      </c>
      <c r="L218" s="38" t="n">
        <v>180</v>
      </c>
      <c r="M218" s="807" t="inlineStr">
        <is>
          <t>С/к колбасы Княжеская Бордо Весовые б/о терм/п Стародворье</t>
        </is>
      </c>
      <c r="N218" s="670" t="n"/>
      <c r="O218" s="670" t="n"/>
      <c r="P218" s="670" t="n"/>
      <c r="Q218" s="636" t="n"/>
      <c r="R218" s="40" t="inlineStr"/>
      <c r="S218" s="40" t="inlineStr"/>
      <c r="T218" s="41" t="inlineStr">
        <is>
          <t>кг</t>
        </is>
      </c>
      <c r="U218" s="671" t="n">
        <v>0</v>
      </c>
      <c r="V218" s="672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 ht="27" customHeight="1">
      <c r="A219" s="64" t="inlineStr">
        <is>
          <t>SU001921</t>
        </is>
      </c>
      <c r="B219" s="64" t="inlineStr">
        <is>
          <t>P001916</t>
        </is>
      </c>
      <c r="C219" s="37" t="n">
        <v>4301030235</v>
      </c>
      <c r="D219" s="372" t="n">
        <v>4607091388381</v>
      </c>
      <c r="E219" s="636" t="n"/>
      <c r="F219" s="668" t="n">
        <v>0.38</v>
      </c>
      <c r="G219" s="38" t="n">
        <v>8</v>
      </c>
      <c r="H219" s="668" t="n">
        <v>3.04</v>
      </c>
      <c r="I219" s="668" t="n">
        <v>3.32</v>
      </c>
      <c r="J219" s="38" t="n">
        <v>156</v>
      </c>
      <c r="K219" s="39" t="inlineStr">
        <is>
          <t>АК</t>
        </is>
      </c>
      <c r="L219" s="38" t="n">
        <v>180</v>
      </c>
      <c r="M219" s="808" t="inlineStr">
        <is>
          <t>С/к колбасы Салями Охотничья Бордо Весовые б/о терм/п 180 Стародворье</t>
        </is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0</v>
      </c>
      <c r="V219" s="672">
        <f>IFERROR(IF(U219="",0,CEILING((U219/$H219),1)*$H219),"")</f>
        <v/>
      </c>
      <c r="W219" s="42">
        <f>IFERROR(IF(V219=0,"",ROUNDUP(V219/H219,0)*0.00753),"")</f>
        <v/>
      </c>
      <c r="X219" s="69" t="inlineStr"/>
      <c r="Y219" s="70" t="inlineStr"/>
      <c r="AC219" s="204" t="inlineStr">
        <is>
          <t>КИ</t>
        </is>
      </c>
    </row>
    <row r="220" ht="27" customHeight="1">
      <c r="A220" s="64" t="inlineStr">
        <is>
          <t>SU001869</t>
        </is>
      </c>
      <c r="B220" s="64" t="inlineStr">
        <is>
          <t>P001909</t>
        </is>
      </c>
      <c r="C220" s="37" t="n">
        <v>4301030233</v>
      </c>
      <c r="D220" s="372" t="n">
        <v>4607091388404</v>
      </c>
      <c r="E220" s="636" t="n"/>
      <c r="F220" s="668" t="n">
        <v>0.17</v>
      </c>
      <c r="G220" s="38" t="n">
        <v>15</v>
      </c>
      <c r="H220" s="668" t="n">
        <v>2.55</v>
      </c>
      <c r="I220" s="668" t="n">
        <v>2.9</v>
      </c>
      <c r="J220" s="38" t="n">
        <v>156</v>
      </c>
      <c r="K220" s="39" t="inlineStr">
        <is>
          <t>АК</t>
        </is>
      </c>
      <c r="L220" s="38" t="n">
        <v>180</v>
      </c>
      <c r="M220" s="80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IFERROR(IF(V220=0,"",ROUNDUP(V220/H220,0)*0.00753),"")</f>
        <v/>
      </c>
      <c r="X220" s="69" t="inlineStr"/>
      <c r="Y220" s="70" t="inlineStr"/>
      <c r="AC220" s="205" t="inlineStr">
        <is>
          <t>КИ</t>
        </is>
      </c>
    </row>
    <row r="221">
      <c r="A221" s="380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3" t="n"/>
      <c r="M221" s="674" t="inlineStr">
        <is>
          <t>Итого</t>
        </is>
      </c>
      <c r="N221" s="644" t="n"/>
      <c r="O221" s="644" t="n"/>
      <c r="P221" s="644" t="n"/>
      <c r="Q221" s="644" t="n"/>
      <c r="R221" s="644" t="n"/>
      <c r="S221" s="645" t="n"/>
      <c r="T221" s="43" t="inlineStr">
        <is>
          <t>кор</t>
        </is>
      </c>
      <c r="U221" s="675">
        <f>IFERROR(U218/H218,"0")+IFERROR(U219/H219,"0")+IFERROR(U220/H220,"0")</f>
        <v/>
      </c>
      <c r="V221" s="675">
        <f>IFERROR(V218/H218,"0")+IFERROR(V219/H219,"0")+IFERROR(V220/H220,"0")</f>
        <v/>
      </c>
      <c r="W221" s="675">
        <f>IFERROR(IF(W218="",0,W218),"0")+IFERROR(IF(W219="",0,W219),"0")+IFERROR(IF(W220="",0,W220),"0")</f>
        <v/>
      </c>
      <c r="X221" s="676" t="n"/>
      <c r="Y221" s="676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3" t="n"/>
      <c r="M222" s="674" t="inlineStr">
        <is>
          <t>Итого</t>
        </is>
      </c>
      <c r="N222" s="644" t="n"/>
      <c r="O222" s="644" t="n"/>
      <c r="P222" s="644" t="n"/>
      <c r="Q222" s="644" t="n"/>
      <c r="R222" s="644" t="n"/>
      <c r="S222" s="645" t="n"/>
      <c r="T222" s="43" t="inlineStr">
        <is>
          <t>кг</t>
        </is>
      </c>
      <c r="U222" s="675">
        <f>IFERROR(SUM(U218:U220),"0")</f>
        <v/>
      </c>
      <c r="V222" s="675">
        <f>IFERROR(SUM(V218:V220),"0")</f>
        <v/>
      </c>
      <c r="W222" s="43" t="n"/>
      <c r="X222" s="676" t="n"/>
      <c r="Y222" s="676" t="n"/>
    </row>
    <row r="223" ht="14.25" customHeight="1">
      <c r="A223" s="371" t="inlineStr">
        <is>
          <t>Паштеты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71" t="n"/>
      <c r="Y223" s="371" t="n"/>
    </row>
    <row r="224" ht="16.5" customHeight="1">
      <c r="A224" s="64" t="inlineStr">
        <is>
          <t>SU002369</t>
        </is>
      </c>
      <c r="B224" s="64" t="inlineStr">
        <is>
          <t>P002649</t>
        </is>
      </c>
      <c r="C224" s="37" t="n">
        <v>4301180002</v>
      </c>
      <c r="D224" s="372" t="n">
        <v>4680115880122</v>
      </c>
      <c r="E224" s="636" t="n"/>
      <c r="F224" s="668" t="n">
        <v>0.1</v>
      </c>
      <c r="G224" s="38" t="n">
        <v>20</v>
      </c>
      <c r="H224" s="668" t="n">
        <v>2</v>
      </c>
      <c r="I224" s="668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810">
        <f>HYPERLINK("https://abi.ru/products/Охлажденные/Стародворье/Бордо/Паштеты/P002649/","Паштеты Копчёный бекон Бордо фикс.вес 0,1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16.5" customHeight="1">
      <c r="A225" s="64" t="inlineStr">
        <is>
          <t>SU002841</t>
        </is>
      </c>
      <c r="B225" s="64" t="inlineStr">
        <is>
          <t>P003253</t>
        </is>
      </c>
      <c r="C225" s="37" t="n">
        <v>4301180007</v>
      </c>
      <c r="D225" s="372" t="n">
        <v>4680115881808</v>
      </c>
      <c r="E225" s="636" t="n"/>
      <c r="F225" s="668" t="n">
        <v>0.1</v>
      </c>
      <c r="G225" s="38" t="n">
        <v>20</v>
      </c>
      <c r="H225" s="668" t="n">
        <v>2</v>
      </c>
      <c r="I225" s="668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811" t="inlineStr">
        <is>
          <t>Паштеты "Любительский ГОСТ" Фикс.вес 0,1 ТМ "Стародворье"</t>
        </is>
      </c>
      <c r="N225" s="670" t="n"/>
      <c r="O225" s="670" t="n"/>
      <c r="P225" s="670" t="n"/>
      <c r="Q225" s="636" t="n"/>
      <c r="R225" s="40" t="inlineStr"/>
      <c r="S225" s="40" t="inlineStr"/>
      <c r="T225" s="41" t="inlineStr">
        <is>
          <t>кг</t>
        </is>
      </c>
      <c r="U225" s="671" t="n">
        <v>0</v>
      </c>
      <c r="V225" s="672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 ht="27" customHeight="1">
      <c r="A226" s="64" t="inlineStr">
        <is>
          <t>SU002840</t>
        </is>
      </c>
      <c r="B226" s="64" t="inlineStr">
        <is>
          <t>P003252</t>
        </is>
      </c>
      <c r="C226" s="37" t="n">
        <v>4301180006</v>
      </c>
      <c r="D226" s="372" t="n">
        <v>4680115881822</v>
      </c>
      <c r="E226" s="636" t="n"/>
      <c r="F226" s="668" t="n">
        <v>0.1</v>
      </c>
      <c r="G226" s="38" t="n">
        <v>20</v>
      </c>
      <c r="H226" s="668" t="n">
        <v>2</v>
      </c>
      <c r="I226" s="668" t="n">
        <v>2.24</v>
      </c>
      <c r="J226" s="38" t="n">
        <v>238</v>
      </c>
      <c r="K226" s="39" t="inlineStr">
        <is>
          <t>РК</t>
        </is>
      </c>
      <c r="L226" s="38" t="n">
        <v>730</v>
      </c>
      <c r="M226" s="812" t="inlineStr">
        <is>
          <t>Паштеты "Печеночный с морковью ГОСТ" Фикс.вес 0,1 ТМ "Стародворье"</t>
        </is>
      </c>
      <c r="N226" s="670" t="n"/>
      <c r="O226" s="670" t="n"/>
      <c r="P226" s="670" t="n"/>
      <c r="Q226" s="636" t="n"/>
      <c r="R226" s="40" t="inlineStr"/>
      <c r="S226" s="40" t="inlineStr"/>
      <c r="T226" s="41" t="inlineStr">
        <is>
          <t>кг</t>
        </is>
      </c>
      <c r="U226" s="671" t="n">
        <v>0</v>
      </c>
      <c r="V226" s="672">
        <f>IFERROR(IF(U226="",0,CEILING((U226/$H226),1)*$H226),"")</f>
        <v/>
      </c>
      <c r="W226" s="42">
        <f>IFERROR(IF(V226=0,"",ROUNDUP(V226/H226,0)*0.00474),"")</f>
        <v/>
      </c>
      <c r="X226" s="69" t="inlineStr"/>
      <c r="Y226" s="70" t="inlineStr"/>
      <c r="AC226" s="208" t="inlineStr">
        <is>
          <t>КИ</t>
        </is>
      </c>
    </row>
    <row r="227" ht="27" customHeight="1">
      <c r="A227" s="64" t="inlineStr">
        <is>
          <t>SU002368</t>
        </is>
      </c>
      <c r="B227" s="64" t="inlineStr">
        <is>
          <t>P002648</t>
        </is>
      </c>
      <c r="C227" s="37" t="n">
        <v>4301180001</v>
      </c>
      <c r="D227" s="372" t="n">
        <v>4680115880016</v>
      </c>
      <c r="E227" s="636" t="n"/>
      <c r="F227" s="668" t="n">
        <v>0.1</v>
      </c>
      <c r="G227" s="38" t="n">
        <v>20</v>
      </c>
      <c r="H227" s="668" t="n">
        <v>2</v>
      </c>
      <c r="I227" s="668" t="n">
        <v>2.24</v>
      </c>
      <c r="J227" s="38" t="n">
        <v>238</v>
      </c>
      <c r="K227" s="39" t="inlineStr">
        <is>
          <t>РК</t>
        </is>
      </c>
      <c r="L227" s="38" t="n">
        <v>730</v>
      </c>
      <c r="M227" s="8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7" s="670" t="n"/>
      <c r="O227" s="670" t="n"/>
      <c r="P227" s="670" t="n"/>
      <c r="Q227" s="636" t="n"/>
      <c r="R227" s="40" t="inlineStr"/>
      <c r="S227" s="40" t="inlineStr"/>
      <c r="T227" s="41" t="inlineStr">
        <is>
          <t>кг</t>
        </is>
      </c>
      <c r="U227" s="671" t="n">
        <v>0</v>
      </c>
      <c r="V227" s="672">
        <f>IFERROR(IF(U227="",0,CEILING((U227/$H227),1)*$H227),"")</f>
        <v/>
      </c>
      <c r="W227" s="42">
        <f>IFERROR(IF(V227=0,"",ROUNDUP(V227/H227,0)*0.00474),"")</f>
        <v/>
      </c>
      <c r="X227" s="69" t="inlineStr"/>
      <c r="Y227" s="70" t="inlineStr"/>
      <c r="AC227" s="209" t="inlineStr">
        <is>
          <t>КИ</t>
        </is>
      </c>
    </row>
    <row r="228">
      <c r="A228" s="380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3" t="n"/>
      <c r="M228" s="674" t="inlineStr">
        <is>
          <t>Итого</t>
        </is>
      </c>
      <c r="N228" s="644" t="n"/>
      <c r="O228" s="644" t="n"/>
      <c r="P228" s="644" t="n"/>
      <c r="Q228" s="644" t="n"/>
      <c r="R228" s="644" t="n"/>
      <c r="S228" s="645" t="n"/>
      <c r="T228" s="43" t="inlineStr">
        <is>
          <t>кор</t>
        </is>
      </c>
      <c r="U228" s="675">
        <f>IFERROR(U224/H224,"0")+IFERROR(U225/H225,"0")+IFERROR(U226/H226,"0")+IFERROR(U227/H227,"0")</f>
        <v/>
      </c>
      <c r="V228" s="675">
        <f>IFERROR(V224/H224,"0")+IFERROR(V225/H225,"0")+IFERROR(V226/H226,"0")+IFERROR(V227/H227,"0")</f>
        <v/>
      </c>
      <c r="W228" s="675">
        <f>IFERROR(IF(W224="",0,W224),"0")+IFERROR(IF(W225="",0,W225),"0")+IFERROR(IF(W226="",0,W226),"0")+IFERROR(IF(W227="",0,W227),"0")</f>
        <v/>
      </c>
      <c r="X228" s="676" t="n"/>
      <c r="Y228" s="676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3" t="n"/>
      <c r="M229" s="674" t="inlineStr">
        <is>
          <t>Итого</t>
        </is>
      </c>
      <c r="N229" s="644" t="n"/>
      <c r="O229" s="644" t="n"/>
      <c r="P229" s="644" t="n"/>
      <c r="Q229" s="644" t="n"/>
      <c r="R229" s="644" t="n"/>
      <c r="S229" s="645" t="n"/>
      <c r="T229" s="43" t="inlineStr">
        <is>
          <t>кг</t>
        </is>
      </c>
      <c r="U229" s="675">
        <f>IFERROR(SUM(U224:U227),"0")</f>
        <v/>
      </c>
      <c r="V229" s="675">
        <f>IFERROR(SUM(V224:V227),"0")</f>
        <v/>
      </c>
      <c r="W229" s="43" t="n"/>
      <c r="X229" s="676" t="n"/>
      <c r="Y229" s="676" t="n"/>
    </row>
    <row r="230" ht="16.5" customHeight="1">
      <c r="A230" s="370" t="inlineStr">
        <is>
          <t>Фирменная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70" t="n"/>
      <c r="Y230" s="370" t="n"/>
    </row>
    <row r="231" ht="14.25" customHeight="1">
      <c r="A231" s="371" t="inlineStr">
        <is>
          <t>Вареные колбасы</t>
        </is>
      </c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371" t="n"/>
      <c r="Y231" s="371" t="n"/>
    </row>
    <row r="232" ht="27" customHeight="1">
      <c r="A232" s="64" t="inlineStr">
        <is>
          <t>SU001793</t>
        </is>
      </c>
      <c r="B232" s="64" t="inlineStr">
        <is>
          <t>P001793</t>
        </is>
      </c>
      <c r="C232" s="37" t="n">
        <v>4301011315</v>
      </c>
      <c r="D232" s="372" t="n">
        <v>4607091387421</v>
      </c>
      <c r="E232" s="636" t="n"/>
      <c r="F232" s="668" t="n">
        <v>1.35</v>
      </c>
      <c r="G232" s="38" t="n">
        <v>8</v>
      </c>
      <c r="H232" s="668" t="n">
        <v>10.8</v>
      </c>
      <c r="I232" s="668" t="n">
        <v>11.28</v>
      </c>
      <c r="J232" s="38" t="n">
        <v>56</v>
      </c>
      <c r="K232" s="39" t="inlineStr">
        <is>
          <t>СК1</t>
        </is>
      </c>
      <c r="L232" s="38" t="n">
        <v>55</v>
      </c>
      <c r="M232" s="8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2" s="670" t="n"/>
      <c r="O232" s="670" t="n"/>
      <c r="P232" s="670" t="n"/>
      <c r="Q232" s="636" t="n"/>
      <c r="R232" s="40" t="inlineStr"/>
      <c r="S232" s="40" t="inlineStr"/>
      <c r="T232" s="41" t="inlineStr">
        <is>
          <t>кг</t>
        </is>
      </c>
      <c r="U232" s="671" t="n">
        <v>0</v>
      </c>
      <c r="V232" s="672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SU001793</t>
        </is>
      </c>
      <c r="B233" s="64" t="inlineStr">
        <is>
          <t>P002227</t>
        </is>
      </c>
      <c r="C233" s="37" t="n">
        <v>4301011121</v>
      </c>
      <c r="D233" s="372" t="n">
        <v>4607091387421</v>
      </c>
      <c r="E233" s="636" t="n"/>
      <c r="F233" s="668" t="n">
        <v>1.35</v>
      </c>
      <c r="G233" s="38" t="n">
        <v>8</v>
      </c>
      <c r="H233" s="668" t="n">
        <v>10.8</v>
      </c>
      <c r="I233" s="668" t="n">
        <v>11.28</v>
      </c>
      <c r="J233" s="38" t="n">
        <v>48</v>
      </c>
      <c r="K233" s="39" t="inlineStr">
        <is>
          <t>ВЗ</t>
        </is>
      </c>
      <c r="L233" s="38" t="n">
        <v>55</v>
      </c>
      <c r="M233" s="8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3" s="670" t="n"/>
      <c r="O233" s="670" t="n"/>
      <c r="P233" s="670" t="n"/>
      <c r="Q233" s="636" t="n"/>
      <c r="R233" s="40" t="inlineStr"/>
      <c r="S233" s="40" t="inlineStr"/>
      <c r="T233" s="41" t="inlineStr">
        <is>
          <t>кг</t>
        </is>
      </c>
      <c r="U233" s="671" t="n">
        <v>0</v>
      </c>
      <c r="V233" s="672">
        <f>IFERROR(IF(U233="",0,CEILING((U233/$H233),1)*$H233),"")</f>
        <v/>
      </c>
      <c r="W233" s="42">
        <f>IFERROR(IF(V233=0,"",ROUNDUP(V233/H233,0)*0.02039),"")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SU001799</t>
        </is>
      </c>
      <c r="B234" s="64" t="inlineStr">
        <is>
          <t>P003076</t>
        </is>
      </c>
      <c r="C234" s="37" t="n">
        <v>4301011396</v>
      </c>
      <c r="D234" s="372" t="n">
        <v>4607091387452</v>
      </c>
      <c r="E234" s="636" t="n"/>
      <c r="F234" s="668" t="n">
        <v>1.35</v>
      </c>
      <c r="G234" s="38" t="n">
        <v>8</v>
      </c>
      <c r="H234" s="668" t="n">
        <v>10.8</v>
      </c>
      <c r="I234" s="668" t="n">
        <v>11.28</v>
      </c>
      <c r="J234" s="38" t="n">
        <v>48</v>
      </c>
      <c r="K234" s="39" t="inlineStr">
        <is>
          <t>ВЗ</t>
        </is>
      </c>
      <c r="L234" s="38" t="n">
        <v>55</v>
      </c>
      <c r="M234" s="81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4" s="670" t="n"/>
      <c r="O234" s="670" t="n"/>
      <c r="P234" s="670" t="n"/>
      <c r="Q234" s="636" t="n"/>
      <c r="R234" s="40" t="inlineStr"/>
      <c r="S234" s="40" t="inlineStr"/>
      <c r="T234" s="41" t="inlineStr">
        <is>
          <t>кг</t>
        </is>
      </c>
      <c r="U234" s="671" t="n">
        <v>0</v>
      </c>
      <c r="V234" s="672">
        <f>IFERROR(IF(U234="",0,CEILING((U234/$H234),1)*$H234),"")</f>
        <v/>
      </c>
      <c r="W234" s="42">
        <f>IFERROR(IF(V234=0,"",ROUNDUP(V234/H234,0)*0.02039),"")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SU001799</t>
        </is>
      </c>
      <c r="B235" s="64" t="inlineStr">
        <is>
          <t>P001799</t>
        </is>
      </c>
      <c r="C235" s="37" t="n">
        <v>4301011322</v>
      </c>
      <c r="D235" s="372" t="n">
        <v>4607091387452</v>
      </c>
      <c r="E235" s="636" t="n"/>
      <c r="F235" s="668" t="n">
        <v>1.35</v>
      </c>
      <c r="G235" s="38" t="n">
        <v>8</v>
      </c>
      <c r="H235" s="668" t="n">
        <v>10.8</v>
      </c>
      <c r="I235" s="668" t="n">
        <v>11.28</v>
      </c>
      <c r="J235" s="38" t="n">
        <v>56</v>
      </c>
      <c r="K235" s="39" t="inlineStr">
        <is>
          <t>СК3</t>
        </is>
      </c>
      <c r="L235" s="38" t="n">
        <v>55</v>
      </c>
      <c r="M235" s="81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0</v>
      </c>
      <c r="V235" s="672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SU001792</t>
        </is>
      </c>
      <c r="B236" s="64" t="inlineStr">
        <is>
          <t>P001792</t>
        </is>
      </c>
      <c r="C236" s="37" t="n">
        <v>4301011313</v>
      </c>
      <c r="D236" s="372" t="n">
        <v>4607091385984</v>
      </c>
      <c r="E236" s="636" t="n"/>
      <c r="F236" s="668" t="n">
        <v>1.35</v>
      </c>
      <c r="G236" s="38" t="n">
        <v>8</v>
      </c>
      <c r="H236" s="668" t="n">
        <v>10.8</v>
      </c>
      <c r="I236" s="668" t="n">
        <v>11.28</v>
      </c>
      <c r="J236" s="38" t="n">
        <v>56</v>
      </c>
      <c r="K236" s="39" t="inlineStr">
        <is>
          <t>СК1</t>
        </is>
      </c>
      <c r="L236" s="38" t="n">
        <v>55</v>
      </c>
      <c r="M236" s="81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IFERROR(IF(V236=0,"",ROUNDUP(V236/H236,0)*0.02175),"")</f>
        <v/>
      </c>
      <c r="X236" s="69" t="inlineStr"/>
      <c r="Y236" s="70" t="inlineStr"/>
      <c r="AC236" s="214" t="inlineStr">
        <is>
          <t>КИ</t>
        </is>
      </c>
    </row>
    <row r="237" ht="27" customHeight="1">
      <c r="A237" s="64" t="inlineStr">
        <is>
          <t>SU001794</t>
        </is>
      </c>
      <c r="B237" s="64" t="inlineStr">
        <is>
          <t>P001794</t>
        </is>
      </c>
      <c r="C237" s="37" t="n">
        <v>4301011316</v>
      </c>
      <c r="D237" s="372" t="n">
        <v>4607091387438</v>
      </c>
      <c r="E237" s="636" t="n"/>
      <c r="F237" s="668" t="n">
        <v>0.5</v>
      </c>
      <c r="G237" s="38" t="n">
        <v>10</v>
      </c>
      <c r="H237" s="668" t="n">
        <v>5</v>
      </c>
      <c r="I237" s="668" t="n">
        <v>5.24</v>
      </c>
      <c r="J237" s="38" t="n">
        <v>120</v>
      </c>
      <c r="K237" s="39" t="inlineStr">
        <is>
          <t>СК1</t>
        </is>
      </c>
      <c r="L237" s="38" t="n">
        <v>55</v>
      </c>
      <c r="M237" s="81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IFERROR(IF(V237=0,"",ROUNDUP(V237/H237,0)*0.00937),"")</f>
        <v/>
      </c>
      <c r="X237" s="69" t="inlineStr"/>
      <c r="Y237" s="70" t="inlineStr"/>
      <c r="AC237" s="215" t="inlineStr">
        <is>
          <t>КИ</t>
        </is>
      </c>
    </row>
    <row r="238" ht="27" customHeight="1">
      <c r="A238" s="64" t="inlineStr">
        <is>
          <t>SU001795</t>
        </is>
      </c>
      <c r="B238" s="64" t="inlineStr">
        <is>
          <t>P001795</t>
        </is>
      </c>
      <c r="C238" s="37" t="n">
        <v>4301011318</v>
      </c>
      <c r="D238" s="372" t="n">
        <v>4607091387469</v>
      </c>
      <c r="E238" s="636" t="n"/>
      <c r="F238" s="668" t="n">
        <v>0.5</v>
      </c>
      <c r="G238" s="38" t="n">
        <v>10</v>
      </c>
      <c r="H238" s="668" t="n">
        <v>5</v>
      </c>
      <c r="I238" s="668" t="n">
        <v>5.21</v>
      </c>
      <c r="J238" s="38" t="n">
        <v>120</v>
      </c>
      <c r="K238" s="39" t="inlineStr">
        <is>
          <t>СК2</t>
        </is>
      </c>
      <c r="L238" s="38" t="n">
        <v>55</v>
      </c>
      <c r="M238" s="82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8" s="670" t="n"/>
      <c r="O238" s="670" t="n"/>
      <c r="P238" s="670" t="n"/>
      <c r="Q238" s="636" t="n"/>
      <c r="R238" s="40" t="inlineStr"/>
      <c r="S238" s="40" t="inlineStr"/>
      <c r="T238" s="41" t="inlineStr">
        <is>
          <t>кг</t>
        </is>
      </c>
      <c r="U238" s="671" t="n">
        <v>0</v>
      </c>
      <c r="V238" s="672">
        <f>IFERROR(IF(U238="",0,CEILING((U238/$H238),1)*$H238),"")</f>
        <v/>
      </c>
      <c r="W238" s="42">
        <f>IFERROR(IF(V238=0,"",ROUNDUP(V238/H238,0)*0.00937),"")</f>
        <v/>
      </c>
      <c r="X238" s="69" t="inlineStr"/>
      <c r="Y238" s="70" t="inlineStr"/>
      <c r="AC238" s="216" t="inlineStr">
        <is>
          <t>КИ</t>
        </is>
      </c>
    </row>
    <row r="239">
      <c r="A239" s="380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кор</t>
        </is>
      </c>
      <c r="U239" s="675">
        <f>IFERROR(U232/H232,"0")+IFERROR(U233/H233,"0")+IFERROR(U234/H234,"0")+IFERROR(U235/H235,"0")+IFERROR(U236/H236,"0")+IFERROR(U237/H237,"0")+IFERROR(U238/H238,"0")</f>
        <v/>
      </c>
      <c r="V239" s="675">
        <f>IFERROR(V232/H232,"0")+IFERROR(V233/H233,"0")+IFERROR(V234/H234,"0")+IFERROR(V235/H235,"0")+IFERROR(V236/H236,"0")+IFERROR(V237/H237,"0")+IFERROR(V238/H238,"0")</f>
        <v/>
      </c>
      <c r="W239" s="675">
        <f>IFERROR(IF(W232="",0,W232),"0")+IFERROR(IF(W233="",0,W233),"0")+IFERROR(IF(W234="",0,W234),"0")+IFERROR(IF(W235="",0,W235),"0")+IFERROR(IF(W236="",0,W236),"0")+IFERROR(IF(W237="",0,W237),"0")+IFERROR(IF(W238="",0,W238),"0")</f>
        <v/>
      </c>
      <c r="X239" s="676" t="n"/>
      <c r="Y239" s="676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73" t="n"/>
      <c r="M240" s="674" t="inlineStr">
        <is>
          <t>Итого</t>
        </is>
      </c>
      <c r="N240" s="644" t="n"/>
      <c r="O240" s="644" t="n"/>
      <c r="P240" s="644" t="n"/>
      <c r="Q240" s="644" t="n"/>
      <c r="R240" s="644" t="n"/>
      <c r="S240" s="645" t="n"/>
      <c r="T240" s="43" t="inlineStr">
        <is>
          <t>кг</t>
        </is>
      </c>
      <c r="U240" s="675">
        <f>IFERROR(SUM(U232:U238),"0")</f>
        <v/>
      </c>
      <c r="V240" s="675">
        <f>IFERROR(SUM(V232:V238),"0")</f>
        <v/>
      </c>
      <c r="W240" s="43" t="n"/>
      <c r="X240" s="676" t="n"/>
      <c r="Y240" s="676" t="n"/>
    </row>
    <row r="241" ht="14.25" customHeight="1">
      <c r="A241" s="371" t="inlineStr">
        <is>
          <t>Копченые колбасы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71" t="n"/>
      <c r="Y241" s="371" t="n"/>
    </row>
    <row r="242" ht="27" customHeight="1">
      <c r="A242" s="64" t="inlineStr">
        <is>
          <t>SU001801</t>
        </is>
      </c>
      <c r="B242" s="64" t="inlineStr">
        <is>
          <t>P003014</t>
        </is>
      </c>
      <c r="C242" s="37" t="n">
        <v>4301031154</v>
      </c>
      <c r="D242" s="372" t="n">
        <v>4607091387292</v>
      </c>
      <c r="E242" s="636" t="n"/>
      <c r="F242" s="668" t="n">
        <v>0.63</v>
      </c>
      <c r="G242" s="38" t="n">
        <v>6</v>
      </c>
      <c r="H242" s="668" t="n">
        <v>3.78</v>
      </c>
      <c r="I242" s="668" t="n">
        <v>4.04</v>
      </c>
      <c r="J242" s="38" t="n">
        <v>156</v>
      </c>
      <c r="K242" s="39" t="inlineStr">
        <is>
          <t>СК2</t>
        </is>
      </c>
      <c r="L242" s="38" t="n">
        <v>45</v>
      </c>
      <c r="M242" s="82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217" t="inlineStr">
        <is>
          <t>КИ</t>
        </is>
      </c>
    </row>
    <row r="243" ht="27" customHeight="1">
      <c r="A243" s="64" t="inlineStr">
        <is>
          <t>SU000231</t>
        </is>
      </c>
      <c r="B243" s="64" t="inlineStr">
        <is>
          <t>P003015</t>
        </is>
      </c>
      <c r="C243" s="37" t="n">
        <v>4301031155</v>
      </c>
      <c r="D243" s="372" t="n">
        <v>4607091387315</v>
      </c>
      <c r="E243" s="636" t="n"/>
      <c r="F243" s="668" t="n">
        <v>0.7</v>
      </c>
      <c r="G243" s="38" t="n">
        <v>4</v>
      </c>
      <c r="H243" s="668" t="n">
        <v>2.8</v>
      </c>
      <c r="I243" s="668" t="n">
        <v>3.048</v>
      </c>
      <c r="J243" s="38" t="n">
        <v>156</v>
      </c>
      <c r="K243" s="39" t="inlineStr">
        <is>
          <t>СК2</t>
        </is>
      </c>
      <c r="L243" s="38" t="n">
        <v>45</v>
      </c>
      <c r="M243" s="82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8" t="inlineStr">
        <is>
          <t>КИ</t>
        </is>
      </c>
    </row>
    <row r="244">
      <c r="A244" s="380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кор</t>
        </is>
      </c>
      <c r="U244" s="675">
        <f>IFERROR(U242/H242,"0")+IFERROR(U243/H243,"0")</f>
        <v/>
      </c>
      <c r="V244" s="675">
        <f>IFERROR(V242/H242,"0")+IFERROR(V243/H243,"0")</f>
        <v/>
      </c>
      <c r="W244" s="675">
        <f>IFERROR(IF(W242="",0,W242),"0")+IFERROR(IF(W243="",0,W243),"0")</f>
        <v/>
      </c>
      <c r="X244" s="676" t="n"/>
      <c r="Y244" s="676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кг</t>
        </is>
      </c>
      <c r="U245" s="675">
        <f>IFERROR(SUM(U242:U243),"0")</f>
        <v/>
      </c>
      <c r="V245" s="675">
        <f>IFERROR(SUM(V242:V243),"0")</f>
        <v/>
      </c>
      <c r="W245" s="43" t="n"/>
      <c r="X245" s="676" t="n"/>
      <c r="Y245" s="676" t="n"/>
    </row>
    <row r="246" ht="16.5" customHeight="1">
      <c r="A246" s="370" t="inlineStr">
        <is>
          <t>Бавария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70" t="n"/>
      <c r="Y246" s="370" t="n"/>
    </row>
    <row r="247" ht="14.25" customHeight="1">
      <c r="A247" s="371" t="inlineStr">
        <is>
          <t>Копченые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71" t="n"/>
      <c r="Y247" s="371" t="n"/>
    </row>
    <row r="248" ht="37.5" customHeight="1">
      <c r="A248" s="64" t="inlineStr">
        <is>
          <t>SU002061</t>
        </is>
      </c>
      <c r="B248" s="64" t="inlineStr">
        <is>
          <t>P002232</t>
        </is>
      </c>
      <c r="C248" s="37" t="n">
        <v>4301030368</v>
      </c>
      <c r="D248" s="372" t="n">
        <v>4607091383232</v>
      </c>
      <c r="E248" s="636" t="n"/>
      <c r="F248" s="668" t="n">
        <v>0.28</v>
      </c>
      <c r="G248" s="38" t="n">
        <v>6</v>
      </c>
      <c r="H248" s="668" t="n">
        <v>1.68</v>
      </c>
      <c r="I248" s="668" t="n">
        <v>2.6</v>
      </c>
      <c r="J248" s="38" t="n">
        <v>156</v>
      </c>
      <c r="K248" s="39" t="inlineStr">
        <is>
          <t>СК2</t>
        </is>
      </c>
      <c r="L248" s="38" t="n">
        <v>35</v>
      </c>
      <c r="M248" s="823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0</v>
      </c>
      <c r="V248" s="672">
        <f>IFERROR(IF(U248="",0,CEILING((U248/$H248),1)*$H248),"")</f>
        <v/>
      </c>
      <c r="W248" s="42">
        <f>IFERROR(IF(V248=0,"",ROUNDUP(V248/H248,0)*0.00753),"")</f>
        <v/>
      </c>
      <c r="X248" s="69" t="inlineStr"/>
      <c r="Y248" s="70" t="inlineStr"/>
      <c r="AC248" s="219" t="inlineStr">
        <is>
          <t>КИ</t>
        </is>
      </c>
    </row>
    <row r="249" ht="27" customHeight="1">
      <c r="A249" s="64" t="inlineStr">
        <is>
          <t>SU002252</t>
        </is>
      </c>
      <c r="B249" s="64" t="inlineStr">
        <is>
          <t>P002461</t>
        </is>
      </c>
      <c r="C249" s="37" t="n">
        <v>4301031066</v>
      </c>
      <c r="D249" s="372" t="n">
        <v>4607091383836</v>
      </c>
      <c r="E249" s="636" t="n"/>
      <c r="F249" s="668" t="n">
        <v>0.3</v>
      </c>
      <c r="G249" s="38" t="n">
        <v>6</v>
      </c>
      <c r="H249" s="668" t="n">
        <v>1.8</v>
      </c>
      <c r="I249" s="668" t="n">
        <v>2.048</v>
      </c>
      <c r="J249" s="38" t="n">
        <v>156</v>
      </c>
      <c r="K249" s="39" t="inlineStr">
        <is>
          <t>СК2</t>
        </is>
      </c>
      <c r="L249" s="38" t="n">
        <v>40</v>
      </c>
      <c r="M249" s="82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20" t="inlineStr">
        <is>
          <t>КИ</t>
        </is>
      </c>
    </row>
    <row r="250">
      <c r="A250" s="380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3" t="n"/>
      <c r="M250" s="674" t="inlineStr">
        <is>
          <t>Итого</t>
        </is>
      </c>
      <c r="N250" s="644" t="n"/>
      <c r="O250" s="644" t="n"/>
      <c r="P250" s="644" t="n"/>
      <c r="Q250" s="644" t="n"/>
      <c r="R250" s="644" t="n"/>
      <c r="S250" s="645" t="n"/>
      <c r="T250" s="43" t="inlineStr">
        <is>
          <t>кор</t>
        </is>
      </c>
      <c r="U250" s="675">
        <f>IFERROR(U248/H248,"0")+IFERROR(U249/H249,"0")</f>
        <v/>
      </c>
      <c r="V250" s="675">
        <f>IFERROR(V248/H248,"0")+IFERROR(V249/H249,"0")</f>
        <v/>
      </c>
      <c r="W250" s="675">
        <f>IFERROR(IF(W248="",0,W248),"0")+IFERROR(IF(W249="",0,W249),"0")</f>
        <v/>
      </c>
      <c r="X250" s="676" t="n"/>
      <c r="Y250" s="676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73" t="n"/>
      <c r="M251" s="674" t="inlineStr">
        <is>
          <t>Итого</t>
        </is>
      </c>
      <c r="N251" s="644" t="n"/>
      <c r="O251" s="644" t="n"/>
      <c r="P251" s="644" t="n"/>
      <c r="Q251" s="644" t="n"/>
      <c r="R251" s="644" t="n"/>
      <c r="S251" s="645" t="n"/>
      <c r="T251" s="43" t="inlineStr">
        <is>
          <t>кг</t>
        </is>
      </c>
      <c r="U251" s="675">
        <f>IFERROR(SUM(U248:U249),"0")</f>
        <v/>
      </c>
      <c r="V251" s="675">
        <f>IFERROR(SUM(V248:V249),"0")</f>
        <v/>
      </c>
      <c r="W251" s="43" t="n"/>
      <c r="X251" s="676" t="n"/>
      <c r="Y251" s="676" t="n"/>
    </row>
    <row r="252" ht="14.25" customHeight="1">
      <c r="A252" s="371" t="inlineStr">
        <is>
          <t>Сосиски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371" t="n"/>
      <c r="Y252" s="371" t="n"/>
    </row>
    <row r="253" ht="27" customHeight="1">
      <c r="A253" s="64" t="inlineStr">
        <is>
          <t>SU001835</t>
        </is>
      </c>
      <c r="B253" s="64" t="inlineStr">
        <is>
          <t>P002202</t>
        </is>
      </c>
      <c r="C253" s="37" t="n">
        <v>4301051142</v>
      </c>
      <c r="D253" s="372" t="n">
        <v>4607091387919</v>
      </c>
      <c r="E253" s="636" t="n"/>
      <c r="F253" s="668" t="n">
        <v>1.35</v>
      </c>
      <c r="G253" s="38" t="n">
        <v>6</v>
      </c>
      <c r="H253" s="668" t="n">
        <v>8.1</v>
      </c>
      <c r="I253" s="668" t="n">
        <v>8.664</v>
      </c>
      <c r="J253" s="38" t="n">
        <v>56</v>
      </c>
      <c r="K253" s="39" t="inlineStr">
        <is>
          <t>СК2</t>
        </is>
      </c>
      <c r="L253" s="38" t="n">
        <v>45</v>
      </c>
      <c r="M253" s="825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221" t="inlineStr">
        <is>
          <t>КИ</t>
        </is>
      </c>
    </row>
    <row r="254" ht="27" customHeight="1">
      <c r="A254" s="64" t="inlineStr">
        <is>
          <t>SU001836</t>
        </is>
      </c>
      <c r="B254" s="64" t="inlineStr">
        <is>
          <t>P002201</t>
        </is>
      </c>
      <c r="C254" s="37" t="n">
        <v>4301051109</v>
      </c>
      <c r="D254" s="372" t="n">
        <v>4607091383942</v>
      </c>
      <c r="E254" s="636" t="n"/>
      <c r="F254" s="668" t="n">
        <v>0.42</v>
      </c>
      <c r="G254" s="38" t="n">
        <v>6</v>
      </c>
      <c r="H254" s="668" t="n">
        <v>2.52</v>
      </c>
      <c r="I254" s="668" t="n">
        <v>2.792</v>
      </c>
      <c r="J254" s="38" t="n">
        <v>156</v>
      </c>
      <c r="K254" s="39" t="inlineStr">
        <is>
          <t>СК3</t>
        </is>
      </c>
      <c r="L254" s="38" t="n">
        <v>45</v>
      </c>
      <c r="M254" s="826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 ht="27" customHeight="1">
      <c r="A255" s="64" t="inlineStr">
        <is>
          <t>SU001970</t>
        </is>
      </c>
      <c r="B255" s="64" t="inlineStr">
        <is>
          <t>P001837</t>
        </is>
      </c>
      <c r="C255" s="37" t="n">
        <v>4301051300</v>
      </c>
      <c r="D255" s="372" t="n">
        <v>4607091383959</v>
      </c>
      <c r="E255" s="636" t="n"/>
      <c r="F255" s="668" t="n">
        <v>0.42</v>
      </c>
      <c r="G255" s="38" t="n">
        <v>6</v>
      </c>
      <c r="H255" s="668" t="n">
        <v>2.52</v>
      </c>
      <c r="I255" s="668" t="n">
        <v>2.78</v>
      </c>
      <c r="J255" s="38" t="n">
        <v>156</v>
      </c>
      <c r="K255" s="39" t="inlineStr">
        <is>
          <t>СК2</t>
        </is>
      </c>
      <c r="L255" s="38" t="n">
        <v>35</v>
      </c>
      <c r="M255" s="827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5" s="670" t="n"/>
      <c r="O255" s="670" t="n"/>
      <c r="P255" s="670" t="n"/>
      <c r="Q255" s="636" t="n"/>
      <c r="R255" s="40" t="inlineStr"/>
      <c r="S255" s="40" t="inlineStr"/>
      <c r="T255" s="41" t="inlineStr">
        <is>
          <t>кг</t>
        </is>
      </c>
      <c r="U255" s="671" t="n">
        <v>0</v>
      </c>
      <c r="V255" s="672">
        <f>IFERROR(IF(U255="",0,CEILING((U255/$H255),1)*$H255),"")</f>
        <v/>
      </c>
      <c r="W255" s="42">
        <f>IFERROR(IF(V255=0,"",ROUNDUP(V255/H255,0)*0.00753),"")</f>
        <v/>
      </c>
      <c r="X255" s="69" t="inlineStr"/>
      <c r="Y255" s="70" t="inlineStr"/>
      <c r="AC255" s="223" t="inlineStr">
        <is>
          <t>КИ</t>
        </is>
      </c>
    </row>
    <row r="256">
      <c r="A256" s="380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кор</t>
        </is>
      </c>
      <c r="U256" s="675">
        <f>IFERROR(U253/H253,"0")+IFERROR(U254/H254,"0")+IFERROR(U255/H255,"0")</f>
        <v/>
      </c>
      <c r="V256" s="675">
        <f>IFERROR(V253/H253,"0")+IFERROR(V254/H254,"0")+IFERROR(V255/H255,"0")</f>
        <v/>
      </c>
      <c r="W256" s="675">
        <f>IFERROR(IF(W253="",0,W253),"0")+IFERROR(IF(W254="",0,W254),"0")+IFERROR(IF(W255="",0,W255),"0")</f>
        <v/>
      </c>
      <c r="X256" s="676" t="n"/>
      <c r="Y256" s="676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673" t="n"/>
      <c r="M257" s="674" t="inlineStr">
        <is>
          <t>Итого</t>
        </is>
      </c>
      <c r="N257" s="644" t="n"/>
      <c r="O257" s="644" t="n"/>
      <c r="P257" s="644" t="n"/>
      <c r="Q257" s="644" t="n"/>
      <c r="R257" s="644" t="n"/>
      <c r="S257" s="645" t="n"/>
      <c r="T257" s="43" t="inlineStr">
        <is>
          <t>кг</t>
        </is>
      </c>
      <c r="U257" s="675">
        <f>IFERROR(SUM(U253:U255),"0")</f>
        <v/>
      </c>
      <c r="V257" s="675">
        <f>IFERROR(SUM(V253:V255),"0")</f>
        <v/>
      </c>
      <c r="W257" s="43" t="n"/>
      <c r="X257" s="676" t="n"/>
      <c r="Y257" s="676" t="n"/>
    </row>
    <row r="258" ht="14.25" customHeight="1">
      <c r="A258" s="371" t="inlineStr">
        <is>
          <t>Сардельки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371" t="n"/>
      <c r="Y258" s="371" t="n"/>
    </row>
    <row r="259" ht="27" customHeight="1">
      <c r="A259" s="64" t="inlineStr">
        <is>
          <t>SU002173</t>
        </is>
      </c>
      <c r="B259" s="64" t="inlineStr">
        <is>
          <t>P002361</t>
        </is>
      </c>
      <c r="C259" s="37" t="n">
        <v>4301060324</v>
      </c>
      <c r="D259" s="372" t="n">
        <v>4607091388831</v>
      </c>
      <c r="E259" s="636" t="n"/>
      <c r="F259" s="668" t="n">
        <v>0.38</v>
      </c>
      <c r="G259" s="38" t="n">
        <v>6</v>
      </c>
      <c r="H259" s="668" t="n">
        <v>2.28</v>
      </c>
      <c r="I259" s="668" t="n">
        <v>2.552</v>
      </c>
      <c r="J259" s="38" t="n">
        <v>156</v>
      </c>
      <c r="K259" s="39" t="inlineStr">
        <is>
          <t>СК2</t>
        </is>
      </c>
      <c r="L259" s="38" t="n">
        <v>40</v>
      </c>
      <c r="M259" s="82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224" t="inlineStr">
        <is>
          <t>КИ</t>
        </is>
      </c>
    </row>
    <row r="260">
      <c r="A260" s="380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кор</t>
        </is>
      </c>
      <c r="U260" s="675">
        <f>IFERROR(U259/H259,"0")</f>
        <v/>
      </c>
      <c r="V260" s="675">
        <f>IFERROR(V259/H259,"0")</f>
        <v/>
      </c>
      <c r="W260" s="675">
        <f>IFERROR(IF(W259="",0,W259),"0")</f>
        <v/>
      </c>
      <c r="X260" s="676" t="n"/>
      <c r="Y260" s="676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кг</t>
        </is>
      </c>
      <c r="U261" s="675">
        <f>IFERROR(SUM(U259:U259),"0")</f>
        <v/>
      </c>
      <c r="V261" s="675">
        <f>IFERROR(SUM(V259:V259),"0")</f>
        <v/>
      </c>
      <c r="W261" s="43" t="n"/>
      <c r="X261" s="676" t="n"/>
      <c r="Y261" s="676" t="n"/>
    </row>
    <row r="262" ht="14.25" customHeight="1">
      <c r="A262" s="371" t="inlineStr">
        <is>
          <t>Сырокопченые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71" t="n"/>
      <c r="Y262" s="371" t="n"/>
    </row>
    <row r="263" ht="27" customHeight="1">
      <c r="A263" s="64" t="inlineStr">
        <is>
          <t>SU002092</t>
        </is>
      </c>
      <c r="B263" s="64" t="inlineStr">
        <is>
          <t>P002290</t>
        </is>
      </c>
      <c r="C263" s="37" t="n">
        <v>4301032015</v>
      </c>
      <c r="D263" s="372" t="n">
        <v>4607091383102</v>
      </c>
      <c r="E263" s="636" t="n"/>
      <c r="F263" s="668" t="n">
        <v>0.17</v>
      </c>
      <c r="G263" s="38" t="n">
        <v>15</v>
      </c>
      <c r="H263" s="668" t="n">
        <v>2.55</v>
      </c>
      <c r="I263" s="668" t="n">
        <v>2.975</v>
      </c>
      <c r="J263" s="38" t="n">
        <v>156</v>
      </c>
      <c r="K263" s="39" t="inlineStr">
        <is>
          <t>АК</t>
        </is>
      </c>
      <c r="L263" s="38" t="n">
        <v>180</v>
      </c>
      <c r="M263" s="829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3" s="670" t="n"/>
      <c r="O263" s="670" t="n"/>
      <c r="P263" s="670" t="n"/>
      <c r="Q263" s="636" t="n"/>
      <c r="R263" s="40" t="inlineStr"/>
      <c r="S263" s="40" t="inlineStr"/>
      <c r="T263" s="41" t="inlineStr">
        <is>
          <t>кг</t>
        </is>
      </c>
      <c r="U263" s="671" t="n">
        <v>0</v>
      </c>
      <c r="V263" s="672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225" t="inlineStr">
        <is>
          <t>КИ</t>
        </is>
      </c>
    </row>
    <row r="264">
      <c r="A264" s="380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3" t="n"/>
      <c r="M264" s="674" t="inlineStr">
        <is>
          <t>Итого</t>
        </is>
      </c>
      <c r="N264" s="644" t="n"/>
      <c r="O264" s="644" t="n"/>
      <c r="P264" s="644" t="n"/>
      <c r="Q264" s="644" t="n"/>
      <c r="R264" s="644" t="n"/>
      <c r="S264" s="645" t="n"/>
      <c r="T264" s="43" t="inlineStr">
        <is>
          <t>кор</t>
        </is>
      </c>
      <c r="U264" s="675">
        <f>IFERROR(U263/H263,"0")</f>
        <v/>
      </c>
      <c r="V264" s="675">
        <f>IFERROR(V263/H263,"0")</f>
        <v/>
      </c>
      <c r="W264" s="675">
        <f>IFERROR(IF(W263="",0,W263),"0")</f>
        <v/>
      </c>
      <c r="X264" s="676" t="n"/>
      <c r="Y264" s="676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3" t="n"/>
      <c r="M265" s="674" t="inlineStr">
        <is>
          <t>Итого</t>
        </is>
      </c>
      <c r="N265" s="644" t="n"/>
      <c r="O265" s="644" t="n"/>
      <c r="P265" s="644" t="n"/>
      <c r="Q265" s="644" t="n"/>
      <c r="R265" s="644" t="n"/>
      <c r="S265" s="645" t="n"/>
      <c r="T265" s="43" t="inlineStr">
        <is>
          <t>кг</t>
        </is>
      </c>
      <c r="U265" s="675">
        <f>IFERROR(SUM(U263:U263),"0")</f>
        <v/>
      </c>
      <c r="V265" s="675">
        <f>IFERROR(SUM(V263:V263),"0")</f>
        <v/>
      </c>
      <c r="W265" s="43" t="n"/>
      <c r="X265" s="676" t="n"/>
      <c r="Y265" s="676" t="n"/>
    </row>
    <row r="266" ht="27.75" customHeight="1">
      <c r="A266" s="369" t="inlineStr">
        <is>
          <t>Особый рецепт</t>
        </is>
      </c>
      <c r="B266" s="667" t="n"/>
      <c r="C266" s="667" t="n"/>
      <c r="D266" s="667" t="n"/>
      <c r="E266" s="667" t="n"/>
      <c r="F266" s="667" t="n"/>
      <c r="G266" s="667" t="n"/>
      <c r="H266" s="667" t="n"/>
      <c r="I266" s="667" t="n"/>
      <c r="J266" s="667" t="n"/>
      <c r="K266" s="667" t="n"/>
      <c r="L266" s="667" t="n"/>
      <c r="M266" s="667" t="n"/>
      <c r="N266" s="667" t="n"/>
      <c r="O266" s="667" t="n"/>
      <c r="P266" s="667" t="n"/>
      <c r="Q266" s="667" t="n"/>
      <c r="R266" s="667" t="n"/>
      <c r="S266" s="667" t="n"/>
      <c r="T266" s="667" t="n"/>
      <c r="U266" s="667" t="n"/>
      <c r="V266" s="667" t="n"/>
      <c r="W266" s="667" t="n"/>
      <c r="X266" s="55" t="n"/>
      <c r="Y266" s="55" t="n"/>
    </row>
    <row r="267" ht="16.5" customHeight="1">
      <c r="A267" s="370" t="inlineStr">
        <is>
          <t>Особая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70" t="n"/>
      <c r="Y267" s="370" t="n"/>
    </row>
    <row r="268" ht="14.25" customHeight="1">
      <c r="A268" s="371" t="inlineStr">
        <is>
          <t>Вареные колбасы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71" t="n"/>
      <c r="Y268" s="371" t="n"/>
    </row>
    <row r="269" ht="27" customHeight="1">
      <c r="A269" s="64" t="inlineStr">
        <is>
          <t>SU000251</t>
        </is>
      </c>
      <c r="B269" s="64" t="inlineStr">
        <is>
          <t>P002581</t>
        </is>
      </c>
      <c r="C269" s="37" t="n">
        <v>4301011239</v>
      </c>
      <c r="D269" s="372" t="n">
        <v>4607091383997</v>
      </c>
      <c r="E269" s="636" t="n"/>
      <c r="F269" s="668" t="n">
        <v>2.5</v>
      </c>
      <c r="G269" s="38" t="n">
        <v>6</v>
      </c>
      <c r="H269" s="668" t="n">
        <v>15</v>
      </c>
      <c r="I269" s="668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8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SU000251</t>
        </is>
      </c>
      <c r="B270" s="64" t="inlineStr">
        <is>
          <t>P002584</t>
        </is>
      </c>
      <c r="C270" s="37" t="n">
        <v>4301011339</v>
      </c>
      <c r="D270" s="372" t="n">
        <v>4607091383997</v>
      </c>
      <c r="E270" s="636" t="n"/>
      <c r="F270" s="668" t="n">
        <v>2.5</v>
      </c>
      <c r="G270" s="38" t="n">
        <v>6</v>
      </c>
      <c r="H270" s="668" t="n">
        <v>15</v>
      </c>
      <c r="I270" s="668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P002562</t>
        </is>
      </c>
      <c r="C271" s="37" t="n">
        <v>4301011326</v>
      </c>
      <c r="D271" s="372" t="n">
        <v>4607091384130</v>
      </c>
      <c r="E271" s="636" t="n"/>
      <c r="F271" s="668" t="n">
        <v>2.5</v>
      </c>
      <c r="G271" s="38" t="n">
        <v>6</v>
      </c>
      <c r="H271" s="668" t="n">
        <v>15</v>
      </c>
      <c r="I271" s="668" t="n">
        <v>15.48</v>
      </c>
      <c r="J271" s="38" t="n">
        <v>48</v>
      </c>
      <c r="K271" s="39" t="inlineStr">
        <is>
          <t>СК2</t>
        </is>
      </c>
      <c r="L271" s="38" t="n">
        <v>60</v>
      </c>
      <c r="M271" s="83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0</v>
      </c>
      <c r="V271" s="672">
        <f>IFERROR(IF(U271="",0,CEILING((U271/$H271),1)*$H271),"")</f>
        <v/>
      </c>
      <c r="W271" s="42">
        <f>IFERROR(IF(V271=0,"",ROUNDUP(V271/H271,0)*0.02175),"")</f>
        <v/>
      </c>
      <c r="X271" s="69" t="inlineStr"/>
      <c r="Y271" s="70" t="inlineStr"/>
      <c r="AC271" s="228" t="inlineStr">
        <is>
          <t>КИ</t>
        </is>
      </c>
    </row>
    <row r="272" ht="27" customHeight="1">
      <c r="A272" s="64" t="inlineStr">
        <is>
          <t>SU001578</t>
        </is>
      </c>
      <c r="B272" s="64" t="inlineStr">
        <is>
          <t>P002582</t>
        </is>
      </c>
      <c r="C272" s="37" t="n">
        <v>4301011240</v>
      </c>
      <c r="D272" s="372" t="n">
        <v>4607091384130</v>
      </c>
      <c r="E272" s="636" t="n"/>
      <c r="F272" s="668" t="n">
        <v>2.5</v>
      </c>
      <c r="G272" s="38" t="n">
        <v>6</v>
      </c>
      <c r="H272" s="668" t="n">
        <v>15</v>
      </c>
      <c r="I272" s="668" t="n">
        <v>15.48</v>
      </c>
      <c r="J272" s="38" t="n">
        <v>48</v>
      </c>
      <c r="K272" s="39" t="inlineStr">
        <is>
          <t>ВЗ</t>
        </is>
      </c>
      <c r="L272" s="38" t="n">
        <v>60</v>
      </c>
      <c r="M272" s="83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2" s="670" t="n"/>
      <c r="O272" s="670" t="n"/>
      <c r="P272" s="670" t="n"/>
      <c r="Q272" s="636" t="n"/>
      <c r="R272" s="40" t="inlineStr"/>
      <c r="S272" s="40" t="inlineStr"/>
      <c r="T272" s="41" t="inlineStr">
        <is>
          <t>кг</t>
        </is>
      </c>
      <c r="U272" s="671" t="n">
        <v>0</v>
      </c>
      <c r="V272" s="672">
        <f>IFERROR(IF(U272="",0,CEILING((U272/$H272),1)*$H272),"")</f>
        <v/>
      </c>
      <c r="W272" s="42">
        <f>IFERROR(IF(V272=0,"",ROUNDUP(V272/H272,0)*0.02039),"")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P002564</t>
        </is>
      </c>
      <c r="C273" s="37" t="n">
        <v>4301011330</v>
      </c>
      <c r="D273" s="372" t="n">
        <v>4607091384147</v>
      </c>
      <c r="E273" s="636" t="n"/>
      <c r="F273" s="668" t="n">
        <v>2.5</v>
      </c>
      <c r="G273" s="38" t="n">
        <v>6</v>
      </c>
      <c r="H273" s="668" t="n">
        <v>15</v>
      </c>
      <c r="I273" s="668" t="n">
        <v>15.48</v>
      </c>
      <c r="J273" s="38" t="n">
        <v>48</v>
      </c>
      <c r="K273" s="39" t="inlineStr">
        <is>
          <t>СК2</t>
        </is>
      </c>
      <c r="L273" s="38" t="n">
        <v>60</v>
      </c>
      <c r="M273" s="83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3" s="670" t="n"/>
      <c r="O273" s="670" t="n"/>
      <c r="P273" s="670" t="n"/>
      <c r="Q273" s="636" t="n"/>
      <c r="R273" s="40" t="inlineStr"/>
      <c r="S273" s="40" t="inlineStr"/>
      <c r="T273" s="41" t="inlineStr">
        <is>
          <t>кг</t>
        </is>
      </c>
      <c r="U273" s="671" t="n">
        <v>0</v>
      </c>
      <c r="V273" s="672">
        <f>IFERROR(IF(U273="",0,CEILING((U273/$H273),1)*$H273),"")</f>
        <v/>
      </c>
      <c r="W273" s="42">
        <f>IFERROR(IF(V273=0,"",ROUNDUP(V273/H273,0)*0.02175),"")</f>
        <v/>
      </c>
      <c r="X273" s="69" t="inlineStr"/>
      <c r="Y273" s="70" t="inlineStr"/>
      <c r="AC273" s="230" t="inlineStr">
        <is>
          <t>КИ</t>
        </is>
      </c>
    </row>
    <row r="274" ht="16.5" customHeight="1">
      <c r="A274" s="64" t="inlineStr">
        <is>
          <t>SU000102</t>
        </is>
      </c>
      <c r="B274" s="64" t="inlineStr">
        <is>
          <t>P002580</t>
        </is>
      </c>
      <c r="C274" s="37" t="n">
        <v>4301011238</v>
      </c>
      <c r="D274" s="372" t="n">
        <v>4607091384147</v>
      </c>
      <c r="E274" s="636" t="n"/>
      <c r="F274" s="668" t="n">
        <v>2.5</v>
      </c>
      <c r="G274" s="38" t="n">
        <v>6</v>
      </c>
      <c r="H274" s="668" t="n">
        <v>15</v>
      </c>
      <c r="I274" s="668" t="n">
        <v>15.48</v>
      </c>
      <c r="J274" s="38" t="n">
        <v>48</v>
      </c>
      <c r="K274" s="39" t="inlineStr">
        <is>
          <t>ВЗ</t>
        </is>
      </c>
      <c r="L274" s="38" t="n">
        <v>60</v>
      </c>
      <c r="M274" s="835" t="inlineStr">
        <is>
          <t>Вареные колбасы Особая Особая Весовые П/а Особый рецепт</t>
        </is>
      </c>
      <c r="N274" s="670" t="n"/>
      <c r="O274" s="670" t="n"/>
      <c r="P274" s="670" t="n"/>
      <c r="Q274" s="636" t="n"/>
      <c r="R274" s="40" t="inlineStr"/>
      <c r="S274" s="40" t="inlineStr"/>
      <c r="T274" s="41" t="inlineStr">
        <is>
          <t>кг</t>
        </is>
      </c>
      <c r="U274" s="671" t="n">
        <v>0</v>
      </c>
      <c r="V274" s="672">
        <f>IFERROR(IF(U274="",0,CEILING((U274/$H274),1)*$H274),"")</f>
        <v/>
      </c>
      <c r="W274" s="42">
        <f>IFERROR(IF(V274=0,"",ROUNDUP(V274/H274,0)*0.02039),"")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SU001989</t>
        </is>
      </c>
      <c r="B275" s="64" t="inlineStr">
        <is>
          <t>P002560</t>
        </is>
      </c>
      <c r="C275" s="37" t="n">
        <v>4301011327</v>
      </c>
      <c r="D275" s="372" t="n">
        <v>4607091384154</v>
      </c>
      <c r="E275" s="636" t="n"/>
      <c r="F275" s="668" t="n">
        <v>0.5</v>
      </c>
      <c r="G275" s="38" t="n">
        <v>10</v>
      </c>
      <c r="H275" s="668" t="n">
        <v>5</v>
      </c>
      <c r="I275" s="668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3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0</v>
      </c>
      <c r="V275" s="672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 ht="27" customHeight="1">
      <c r="A276" s="64" t="inlineStr">
        <is>
          <t>SU000256</t>
        </is>
      </c>
      <c r="B276" s="64" t="inlineStr">
        <is>
          <t>P002565</t>
        </is>
      </c>
      <c r="C276" s="37" t="n">
        <v>4301011332</v>
      </c>
      <c r="D276" s="372" t="n">
        <v>4607091384161</v>
      </c>
      <c r="E276" s="636" t="n"/>
      <c r="F276" s="668" t="n">
        <v>0.5</v>
      </c>
      <c r="G276" s="38" t="n">
        <v>10</v>
      </c>
      <c r="H276" s="668" t="n">
        <v>5</v>
      </c>
      <c r="I276" s="668" t="n">
        <v>5.21</v>
      </c>
      <c r="J276" s="38" t="n">
        <v>120</v>
      </c>
      <c r="K276" s="39" t="inlineStr">
        <is>
          <t>СК2</t>
        </is>
      </c>
      <c r="L276" s="38" t="n">
        <v>60</v>
      </c>
      <c r="M276" s="83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6" s="670" t="n"/>
      <c r="O276" s="670" t="n"/>
      <c r="P276" s="670" t="n"/>
      <c r="Q276" s="636" t="n"/>
      <c r="R276" s="40" t="inlineStr"/>
      <c r="S276" s="40" t="inlineStr"/>
      <c r="T276" s="41" t="inlineStr">
        <is>
          <t>кг</t>
        </is>
      </c>
      <c r="U276" s="671" t="n">
        <v>0</v>
      </c>
      <c r="V276" s="672">
        <f>IFERROR(IF(U276="",0,CEILING((U276/$H276),1)*$H276),"")</f>
        <v/>
      </c>
      <c r="W276" s="42">
        <f>IFERROR(IF(V276=0,"",ROUNDUP(V276/H276,0)*0.00937),"")</f>
        <v/>
      </c>
      <c r="X276" s="69" t="inlineStr"/>
      <c r="Y276" s="70" t="inlineStr"/>
      <c r="AC276" s="233" t="inlineStr">
        <is>
          <t>КИ</t>
        </is>
      </c>
    </row>
    <row r="277">
      <c r="A277" s="380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кор</t>
        </is>
      </c>
      <c r="U277" s="675">
        <f>IFERROR(U269/H269,"0")+IFERROR(U270/H270,"0")+IFERROR(U271/H271,"0")+IFERROR(U272/H272,"0")+IFERROR(U273/H273,"0")+IFERROR(U274/H274,"0")+IFERROR(U275/H275,"0")+IFERROR(U276/H276,"0")</f>
        <v/>
      </c>
      <c r="V277" s="675">
        <f>IFERROR(V269/H269,"0")+IFERROR(V270/H270,"0")+IFERROR(V271/H271,"0")+IFERROR(V272/H272,"0")+IFERROR(V273/H273,"0")+IFERROR(V274/H274,"0")+IFERROR(V275/H275,"0")+IFERROR(V276/H276,"0")</f>
        <v/>
      </c>
      <c r="W277" s="675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/>
      </c>
      <c r="X277" s="676" t="n"/>
      <c r="Y277" s="676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73" t="n"/>
      <c r="M278" s="674" t="inlineStr">
        <is>
          <t>Итого</t>
        </is>
      </c>
      <c r="N278" s="644" t="n"/>
      <c r="O278" s="644" t="n"/>
      <c r="P278" s="644" t="n"/>
      <c r="Q278" s="644" t="n"/>
      <c r="R278" s="644" t="n"/>
      <c r="S278" s="645" t="n"/>
      <c r="T278" s="43" t="inlineStr">
        <is>
          <t>кг</t>
        </is>
      </c>
      <c r="U278" s="675">
        <f>IFERROR(SUM(U269:U276),"0")</f>
        <v/>
      </c>
      <c r="V278" s="675">
        <f>IFERROR(SUM(V269:V276),"0")</f>
        <v/>
      </c>
      <c r="W278" s="43" t="n"/>
      <c r="X278" s="676" t="n"/>
      <c r="Y278" s="676" t="n"/>
    </row>
    <row r="279" ht="14.25" customHeight="1">
      <c r="A279" s="371" t="inlineStr">
        <is>
          <t>Ветчины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371" t="n"/>
      <c r="Y279" s="371" t="n"/>
    </row>
    <row r="280" ht="27" customHeight="1">
      <c r="A280" s="64" t="inlineStr">
        <is>
          <t>SU000126</t>
        </is>
      </c>
      <c r="B280" s="64" t="inlineStr">
        <is>
          <t>P002555</t>
        </is>
      </c>
      <c r="C280" s="37" t="n">
        <v>4301020178</v>
      </c>
      <c r="D280" s="372" t="n">
        <v>4607091383980</v>
      </c>
      <c r="E280" s="636" t="n"/>
      <c r="F280" s="668" t="n">
        <v>2.5</v>
      </c>
      <c r="G280" s="38" t="n">
        <v>6</v>
      </c>
      <c r="H280" s="668" t="n">
        <v>15</v>
      </c>
      <c r="I280" s="668" t="n">
        <v>15.48</v>
      </c>
      <c r="J280" s="38" t="n">
        <v>48</v>
      </c>
      <c r="K280" s="39" t="inlineStr">
        <is>
          <t>СК1</t>
        </is>
      </c>
      <c r="L280" s="38" t="n">
        <v>50</v>
      </c>
      <c r="M280" s="83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80" s="670" t="n"/>
      <c r="O280" s="670" t="n"/>
      <c r="P280" s="670" t="n"/>
      <c r="Q280" s="636" t="n"/>
      <c r="R280" s="40" t="inlineStr"/>
      <c r="S280" s="40" t="inlineStr"/>
      <c r="T280" s="41" t="inlineStr">
        <is>
          <t>кг</t>
        </is>
      </c>
      <c r="U280" s="671" t="n">
        <v>0</v>
      </c>
      <c r="V280" s="672">
        <f>IFERROR(IF(U280="",0,CEILING((U280/$H280),1)*$H280),"")</f>
        <v/>
      </c>
      <c r="W280" s="42">
        <f>IFERROR(IF(V280=0,"",ROUNDUP(V280/H280,0)*0.02175),"")</f>
        <v/>
      </c>
      <c r="X280" s="69" t="inlineStr"/>
      <c r="Y280" s="70" t="inlineStr"/>
      <c r="AC280" s="234" t="inlineStr">
        <is>
          <t>КИ</t>
        </is>
      </c>
    </row>
    <row r="281" ht="27" customHeight="1">
      <c r="A281" s="64" t="inlineStr">
        <is>
          <t>SU002027</t>
        </is>
      </c>
      <c r="B281" s="64" t="inlineStr">
        <is>
          <t>P002556</t>
        </is>
      </c>
      <c r="C281" s="37" t="n">
        <v>4301020179</v>
      </c>
      <c r="D281" s="372" t="n">
        <v>4607091384178</v>
      </c>
      <c r="E281" s="636" t="n"/>
      <c r="F281" s="668" t="n">
        <v>0.4</v>
      </c>
      <c r="G281" s="38" t="n">
        <v>10</v>
      </c>
      <c r="H281" s="668" t="n">
        <v>4</v>
      </c>
      <c r="I281" s="668" t="n">
        <v>4.24</v>
      </c>
      <c r="J281" s="38" t="n">
        <v>120</v>
      </c>
      <c r="K281" s="39" t="inlineStr">
        <is>
          <t>СК1</t>
        </is>
      </c>
      <c r="L281" s="38" t="n">
        <v>50</v>
      </c>
      <c r="M281" s="83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1" s="670" t="n"/>
      <c r="O281" s="670" t="n"/>
      <c r="P281" s="670" t="n"/>
      <c r="Q281" s="636" t="n"/>
      <c r="R281" s="40" t="inlineStr"/>
      <c r="S281" s="40" t="inlineStr"/>
      <c r="T281" s="41" t="inlineStr">
        <is>
          <t>кг</t>
        </is>
      </c>
      <c r="U281" s="671" t="n">
        <v>0</v>
      </c>
      <c r="V281" s="672">
        <f>IFERROR(IF(U281="",0,CEILING((U281/$H281),1)*$H281),"")</f>
        <v/>
      </c>
      <c r="W281" s="42">
        <f>IFERROR(IF(V281=0,"",ROUNDUP(V281/H281,0)*0.00937),"")</f>
        <v/>
      </c>
      <c r="X281" s="69" t="inlineStr"/>
      <c r="Y281" s="70" t="inlineStr"/>
      <c r="AC281" s="235" t="inlineStr">
        <is>
          <t>КИ</t>
        </is>
      </c>
    </row>
    <row r="282">
      <c r="A282" s="380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73" t="n"/>
      <c r="M282" s="674" t="inlineStr">
        <is>
          <t>Итого</t>
        </is>
      </c>
      <c r="N282" s="644" t="n"/>
      <c r="O282" s="644" t="n"/>
      <c r="P282" s="644" t="n"/>
      <c r="Q282" s="644" t="n"/>
      <c r="R282" s="644" t="n"/>
      <c r="S282" s="645" t="n"/>
      <c r="T282" s="43" t="inlineStr">
        <is>
          <t>кор</t>
        </is>
      </c>
      <c r="U282" s="675">
        <f>IFERROR(U280/H280,"0")+IFERROR(U281/H281,"0")</f>
        <v/>
      </c>
      <c r="V282" s="675">
        <f>IFERROR(V280/H280,"0")+IFERROR(V281/H281,"0")</f>
        <v/>
      </c>
      <c r="W282" s="675">
        <f>IFERROR(IF(W280="",0,W280),"0")+IFERROR(IF(W281="",0,W281),"0")</f>
        <v/>
      </c>
      <c r="X282" s="676" t="n"/>
      <c r="Y282" s="676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3" t="n"/>
      <c r="M283" s="674" t="inlineStr">
        <is>
          <t>Итого</t>
        </is>
      </c>
      <c r="N283" s="644" t="n"/>
      <c r="O283" s="644" t="n"/>
      <c r="P283" s="644" t="n"/>
      <c r="Q283" s="644" t="n"/>
      <c r="R283" s="644" t="n"/>
      <c r="S283" s="645" t="n"/>
      <c r="T283" s="43" t="inlineStr">
        <is>
          <t>кг</t>
        </is>
      </c>
      <c r="U283" s="675">
        <f>IFERROR(SUM(U280:U281),"0")</f>
        <v/>
      </c>
      <c r="V283" s="675">
        <f>IFERROR(SUM(V280:V281),"0")</f>
        <v/>
      </c>
      <c r="W283" s="43" t="n"/>
      <c r="X283" s="676" t="n"/>
      <c r="Y283" s="676" t="n"/>
    </row>
    <row r="284" ht="14.25" customHeight="1">
      <c r="A284" s="371" t="inlineStr">
        <is>
          <t>Копченые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71" t="n"/>
      <c r="Y284" s="371" t="n"/>
    </row>
    <row r="285" ht="27" customHeight="1">
      <c r="A285" s="64" t="inlineStr">
        <is>
          <t>SU002364</t>
        </is>
      </c>
      <c r="B285" s="64" t="inlineStr">
        <is>
          <t>P002633</t>
        </is>
      </c>
      <c r="C285" s="37" t="n">
        <v>4301031137</v>
      </c>
      <c r="D285" s="372" t="n">
        <v>4607091384857</v>
      </c>
      <c r="E285" s="636" t="n"/>
      <c r="F285" s="668" t="n">
        <v>0.73</v>
      </c>
      <c r="G285" s="38" t="n">
        <v>6</v>
      </c>
      <c r="H285" s="668" t="n">
        <v>4.38</v>
      </c>
      <c r="I285" s="668" t="n">
        <v>4.58</v>
      </c>
      <c r="J285" s="38" t="n">
        <v>156</v>
      </c>
      <c r="K285" s="39" t="inlineStr">
        <is>
          <t>СК2</t>
        </is>
      </c>
      <c r="L285" s="38" t="n">
        <v>35</v>
      </c>
      <c r="M285" s="840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IFERROR(IF(V285=0,"",ROUNDUP(V285/H285,0)*0.00753),"")</f>
        <v/>
      </c>
      <c r="X285" s="69" t="inlineStr"/>
      <c r="Y285" s="70" t="inlineStr"/>
      <c r="AC285" s="236" t="inlineStr">
        <is>
          <t>КИ</t>
        </is>
      </c>
    </row>
    <row r="286">
      <c r="A286" s="380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73" t="n"/>
      <c r="M286" s="674" t="inlineStr">
        <is>
          <t>Итого</t>
        </is>
      </c>
      <c r="N286" s="644" t="n"/>
      <c r="O286" s="644" t="n"/>
      <c r="P286" s="644" t="n"/>
      <c r="Q286" s="644" t="n"/>
      <c r="R286" s="644" t="n"/>
      <c r="S286" s="645" t="n"/>
      <c r="T286" s="43" t="inlineStr">
        <is>
          <t>кор</t>
        </is>
      </c>
      <c r="U286" s="675">
        <f>IFERROR(U285/H285,"0")</f>
        <v/>
      </c>
      <c r="V286" s="675">
        <f>IFERROR(V285/H285,"0")</f>
        <v/>
      </c>
      <c r="W286" s="675">
        <f>IFERROR(IF(W285="",0,W285),"0")</f>
        <v/>
      </c>
      <c r="X286" s="676" t="n"/>
      <c r="Y286" s="676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73" t="n"/>
      <c r="M287" s="674" t="inlineStr">
        <is>
          <t>Итого</t>
        </is>
      </c>
      <c r="N287" s="644" t="n"/>
      <c r="O287" s="644" t="n"/>
      <c r="P287" s="644" t="n"/>
      <c r="Q287" s="644" t="n"/>
      <c r="R287" s="644" t="n"/>
      <c r="S287" s="645" t="n"/>
      <c r="T287" s="43" t="inlineStr">
        <is>
          <t>кг</t>
        </is>
      </c>
      <c r="U287" s="675">
        <f>IFERROR(SUM(U285:U285),"0")</f>
        <v/>
      </c>
      <c r="V287" s="675">
        <f>IFERROR(SUM(V285:V285),"0")</f>
        <v/>
      </c>
      <c r="W287" s="43" t="n"/>
      <c r="X287" s="676" t="n"/>
      <c r="Y287" s="676" t="n"/>
    </row>
    <row r="288" ht="14.25" customHeight="1">
      <c r="A288" s="371" t="inlineStr">
        <is>
          <t>Сосиски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71" t="n"/>
      <c r="Y288" s="371" t="n"/>
    </row>
    <row r="289" ht="27" customHeight="1">
      <c r="A289" s="64" t="inlineStr">
        <is>
          <t>SU000246</t>
        </is>
      </c>
      <c r="B289" s="64" t="inlineStr">
        <is>
          <t>P002690</t>
        </is>
      </c>
      <c r="C289" s="37" t="n">
        <v>4301051298</v>
      </c>
      <c r="D289" s="372" t="n">
        <v>4607091384260</v>
      </c>
      <c r="E289" s="636" t="n"/>
      <c r="F289" s="668" t="n">
        <v>1.3</v>
      </c>
      <c r="G289" s="38" t="n">
        <v>6</v>
      </c>
      <c r="H289" s="668" t="n">
        <v>7.8</v>
      </c>
      <c r="I289" s="668" t="n">
        <v>8.364000000000001</v>
      </c>
      <c r="J289" s="38" t="n">
        <v>56</v>
      </c>
      <c r="K289" s="39" t="inlineStr">
        <is>
          <t>СК2</t>
        </is>
      </c>
      <c r="L289" s="38" t="n">
        <v>35</v>
      </c>
      <c r="M289" s="84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237" t="inlineStr">
        <is>
          <t>КИ</t>
        </is>
      </c>
    </row>
    <row r="290">
      <c r="A290" s="380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73" t="n"/>
      <c r="M290" s="674" t="inlineStr">
        <is>
          <t>Итого</t>
        </is>
      </c>
      <c r="N290" s="644" t="n"/>
      <c r="O290" s="644" t="n"/>
      <c r="P290" s="644" t="n"/>
      <c r="Q290" s="644" t="n"/>
      <c r="R290" s="644" t="n"/>
      <c r="S290" s="645" t="n"/>
      <c r="T290" s="43" t="inlineStr">
        <is>
          <t>кор</t>
        </is>
      </c>
      <c r="U290" s="675">
        <f>IFERROR(U289/H289,"0")</f>
        <v/>
      </c>
      <c r="V290" s="675">
        <f>IFERROR(V289/H289,"0")</f>
        <v/>
      </c>
      <c r="W290" s="675">
        <f>IFERROR(IF(W289="",0,W289),"0")</f>
        <v/>
      </c>
      <c r="X290" s="676" t="n"/>
      <c r="Y290" s="676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73" t="n"/>
      <c r="M291" s="674" t="inlineStr">
        <is>
          <t>Итого</t>
        </is>
      </c>
      <c r="N291" s="644" t="n"/>
      <c r="O291" s="644" t="n"/>
      <c r="P291" s="644" t="n"/>
      <c r="Q291" s="644" t="n"/>
      <c r="R291" s="644" t="n"/>
      <c r="S291" s="645" t="n"/>
      <c r="T291" s="43" t="inlineStr">
        <is>
          <t>кг</t>
        </is>
      </c>
      <c r="U291" s="675">
        <f>IFERROR(SUM(U289:U289),"0")</f>
        <v/>
      </c>
      <c r="V291" s="675">
        <f>IFERROR(SUM(V289:V289),"0")</f>
        <v/>
      </c>
      <c r="W291" s="43" t="n"/>
      <c r="X291" s="676" t="n"/>
      <c r="Y291" s="676" t="n"/>
    </row>
    <row r="292" ht="14.25" customHeight="1">
      <c r="A292" s="371" t="inlineStr">
        <is>
          <t>Сардельки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71" t="n"/>
      <c r="Y292" s="371" t="n"/>
    </row>
    <row r="293" ht="16.5" customHeight="1">
      <c r="A293" s="64" t="inlineStr">
        <is>
          <t>SU002287</t>
        </is>
      </c>
      <c r="B293" s="64" t="inlineStr">
        <is>
          <t>P002490</t>
        </is>
      </c>
      <c r="C293" s="37" t="n">
        <v>4301060314</v>
      </c>
      <c r="D293" s="372" t="n">
        <v>4607091384673</v>
      </c>
      <c r="E293" s="636" t="n"/>
      <c r="F293" s="668" t="n">
        <v>1.3</v>
      </c>
      <c r="G293" s="38" t="n">
        <v>6</v>
      </c>
      <c r="H293" s="668" t="n">
        <v>7.8</v>
      </c>
      <c r="I293" s="668" t="n">
        <v>8.364000000000001</v>
      </c>
      <c r="J293" s="38" t="n">
        <v>56</v>
      </c>
      <c r="K293" s="39" t="inlineStr">
        <is>
          <t>СК2</t>
        </is>
      </c>
      <c r="L293" s="38" t="n">
        <v>30</v>
      </c>
      <c r="M293" s="84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3" s="670" t="n"/>
      <c r="O293" s="670" t="n"/>
      <c r="P293" s="670" t="n"/>
      <c r="Q293" s="636" t="n"/>
      <c r="R293" s="40" t="inlineStr"/>
      <c r="S293" s="40" t="inlineStr"/>
      <c r="T293" s="41" t="inlineStr">
        <is>
          <t>кг</t>
        </is>
      </c>
      <c r="U293" s="671" t="n">
        <v>0</v>
      </c>
      <c r="V293" s="672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8" t="inlineStr">
        <is>
          <t>КИ</t>
        </is>
      </c>
    </row>
    <row r="294">
      <c r="A294" s="380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кор</t>
        </is>
      </c>
      <c r="U294" s="675">
        <f>IFERROR(U293/H293,"0")</f>
        <v/>
      </c>
      <c r="V294" s="675">
        <f>IFERROR(V293/H293,"0")</f>
        <v/>
      </c>
      <c r="W294" s="675">
        <f>IFERROR(IF(W293="",0,W293),"0")</f>
        <v/>
      </c>
      <c r="X294" s="676" t="n"/>
      <c r="Y294" s="676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673" t="n"/>
      <c r="M295" s="674" t="inlineStr">
        <is>
          <t>Итого</t>
        </is>
      </c>
      <c r="N295" s="644" t="n"/>
      <c r="O295" s="644" t="n"/>
      <c r="P295" s="644" t="n"/>
      <c r="Q295" s="644" t="n"/>
      <c r="R295" s="644" t="n"/>
      <c r="S295" s="645" t="n"/>
      <c r="T295" s="43" t="inlineStr">
        <is>
          <t>кг</t>
        </is>
      </c>
      <c r="U295" s="675">
        <f>IFERROR(SUM(U293:U293),"0")</f>
        <v/>
      </c>
      <c r="V295" s="675">
        <f>IFERROR(SUM(V293:V293),"0")</f>
        <v/>
      </c>
      <c r="W295" s="43" t="n"/>
      <c r="X295" s="676" t="n"/>
      <c r="Y295" s="676" t="n"/>
    </row>
    <row r="296" ht="16.5" customHeight="1">
      <c r="A296" s="370" t="inlineStr">
        <is>
          <t>Особая Без свинины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70" t="n"/>
      <c r="Y296" s="370" t="n"/>
    </row>
    <row r="297" ht="14.25" customHeight="1">
      <c r="A297" s="371" t="inlineStr">
        <is>
          <t>Вареные колбасы</t>
        </is>
      </c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371" t="n"/>
      <c r="Y297" s="371" t="n"/>
    </row>
    <row r="298" ht="27" customHeight="1">
      <c r="A298" s="64" t="inlineStr">
        <is>
          <t>SU002073</t>
        </is>
      </c>
      <c r="B298" s="64" t="inlineStr">
        <is>
          <t>P002563</t>
        </is>
      </c>
      <c r="C298" s="37" t="n">
        <v>4301011324</v>
      </c>
      <c r="D298" s="372" t="n">
        <v>4607091384185</v>
      </c>
      <c r="E298" s="636" t="n"/>
      <c r="F298" s="668" t="n">
        <v>0.8</v>
      </c>
      <c r="G298" s="38" t="n">
        <v>15</v>
      </c>
      <c r="H298" s="668" t="n">
        <v>12</v>
      </c>
      <c r="I298" s="668" t="n">
        <v>12.48</v>
      </c>
      <c r="J298" s="38" t="n">
        <v>56</v>
      </c>
      <c r="K298" s="39" t="inlineStr">
        <is>
          <t>СК2</t>
        </is>
      </c>
      <c r="L298" s="38" t="n">
        <v>60</v>
      </c>
      <c r="M298" s="84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8" s="670" t="n"/>
      <c r="O298" s="670" t="n"/>
      <c r="P298" s="670" t="n"/>
      <c r="Q298" s="636" t="n"/>
      <c r="R298" s="40" t="inlineStr"/>
      <c r="S298" s="40" t="inlineStr"/>
      <c r="T298" s="41" t="inlineStr">
        <is>
          <t>кг</t>
        </is>
      </c>
      <c r="U298" s="671" t="n">
        <v>0</v>
      </c>
      <c r="V298" s="672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SU002187</t>
        </is>
      </c>
      <c r="B299" s="64" t="inlineStr">
        <is>
          <t>P002559</t>
        </is>
      </c>
      <c r="C299" s="37" t="n">
        <v>4301011312</v>
      </c>
      <c r="D299" s="372" t="n">
        <v>4607091384192</v>
      </c>
      <c r="E299" s="636" t="n"/>
      <c r="F299" s="668" t="n">
        <v>1.8</v>
      </c>
      <c r="G299" s="38" t="n">
        <v>6</v>
      </c>
      <c r="H299" s="668" t="n">
        <v>10.8</v>
      </c>
      <c r="I299" s="668" t="n">
        <v>11.28</v>
      </c>
      <c r="J299" s="38" t="n">
        <v>56</v>
      </c>
      <c r="K299" s="39" t="inlineStr">
        <is>
          <t>СК1</t>
        </is>
      </c>
      <c r="L299" s="38" t="n">
        <v>60</v>
      </c>
      <c r="M299" s="84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9" s="670" t="n"/>
      <c r="O299" s="670" t="n"/>
      <c r="P299" s="670" t="n"/>
      <c r="Q299" s="636" t="n"/>
      <c r="R299" s="40" t="inlineStr"/>
      <c r="S299" s="40" t="inlineStr"/>
      <c r="T299" s="41" t="inlineStr">
        <is>
          <t>кг</t>
        </is>
      </c>
      <c r="U299" s="671" t="n">
        <v>0</v>
      </c>
      <c r="V299" s="672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SU002899</t>
        </is>
      </c>
      <c r="B300" s="64" t="inlineStr">
        <is>
          <t>P003323</t>
        </is>
      </c>
      <c r="C300" s="37" t="n">
        <v>4301011483</v>
      </c>
      <c r="D300" s="372" t="n">
        <v>4680115881907</v>
      </c>
      <c r="E300" s="636" t="n"/>
      <c r="F300" s="668" t="n">
        <v>1.8</v>
      </c>
      <c r="G300" s="38" t="n">
        <v>6</v>
      </c>
      <c r="H300" s="668" t="n">
        <v>10.8</v>
      </c>
      <c r="I300" s="668" t="n">
        <v>11.28</v>
      </c>
      <c r="J300" s="38" t="n">
        <v>56</v>
      </c>
      <c r="K300" s="39" t="inlineStr">
        <is>
          <t>СК2</t>
        </is>
      </c>
      <c r="L300" s="38" t="n">
        <v>60</v>
      </c>
      <c r="M300" s="845" t="inlineStr">
        <is>
          <t>Вареные колбасы "Молочная оригинальная" Вес П/а ТМ "Особый рецепт" большой батон</t>
        </is>
      </c>
      <c r="N300" s="670" t="n"/>
      <c r="O300" s="670" t="n"/>
      <c r="P300" s="670" t="n"/>
      <c r="Q300" s="636" t="n"/>
      <c r="R300" s="40" t="inlineStr"/>
      <c r="S300" s="40" t="inlineStr"/>
      <c r="T300" s="41" t="inlineStr">
        <is>
          <t>кг</t>
        </is>
      </c>
      <c r="U300" s="671" t="n">
        <v>0</v>
      </c>
      <c r="V300" s="672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241" t="inlineStr">
        <is>
          <t>КИ</t>
        </is>
      </c>
    </row>
    <row r="301" ht="27" customHeight="1">
      <c r="A301" s="64" t="inlineStr">
        <is>
          <t>SU002462</t>
        </is>
      </c>
      <c r="B301" s="64" t="inlineStr">
        <is>
          <t>P002768</t>
        </is>
      </c>
      <c r="C301" s="37" t="n">
        <v>4301011303</v>
      </c>
      <c r="D301" s="372" t="n">
        <v>4607091384680</v>
      </c>
      <c r="E301" s="636" t="n"/>
      <c r="F301" s="668" t="n">
        <v>0.4</v>
      </c>
      <c r="G301" s="38" t="n">
        <v>10</v>
      </c>
      <c r="H301" s="668" t="n">
        <v>4</v>
      </c>
      <c r="I301" s="668" t="n">
        <v>4.21</v>
      </c>
      <c r="J301" s="38" t="n">
        <v>120</v>
      </c>
      <c r="K301" s="39" t="inlineStr">
        <is>
          <t>СК2</t>
        </is>
      </c>
      <c r="L301" s="38" t="n">
        <v>60</v>
      </c>
      <c r="M301" s="84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242" t="inlineStr">
        <is>
          <t>КИ</t>
        </is>
      </c>
    </row>
    <row r="302">
      <c r="A302" s="380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IFERROR(U298/H298,"0")+IFERROR(U299/H299,"0")+IFERROR(U300/H300,"0")+IFERROR(U301/H301,"0")</f>
        <v/>
      </c>
      <c r="V302" s="675">
        <f>IFERROR(V298/H298,"0")+IFERROR(V299/H299,"0")+IFERROR(V300/H300,"0")+IFERROR(V301/H301,"0")</f>
        <v/>
      </c>
      <c r="W302" s="675">
        <f>IFERROR(IF(W298="",0,W298),"0")+IFERROR(IF(W299="",0,W299),"0")+IFERROR(IF(W300="",0,W300),"0")+IFERROR(IF(W301="",0,W301),"0")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IFERROR(SUM(U298:U301),"0")</f>
        <v/>
      </c>
      <c r="V303" s="675">
        <f>IFERROR(SUM(V298:V301),"0")</f>
        <v/>
      </c>
      <c r="W303" s="43" t="n"/>
      <c r="X303" s="676" t="n"/>
      <c r="Y303" s="676" t="n"/>
    </row>
    <row r="304" ht="14.25" customHeight="1">
      <c r="A304" s="371" t="inlineStr">
        <is>
          <t>Копченые колбасы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71" t="n"/>
      <c r="Y304" s="371" t="n"/>
    </row>
    <row r="305" ht="27" customHeight="1">
      <c r="A305" s="64" t="inlineStr">
        <is>
          <t>SU002360</t>
        </is>
      </c>
      <c r="B305" s="64" t="inlineStr">
        <is>
          <t>P002629</t>
        </is>
      </c>
      <c r="C305" s="37" t="n">
        <v>4301031139</v>
      </c>
      <c r="D305" s="372" t="n">
        <v>4607091384802</v>
      </c>
      <c r="E305" s="636" t="n"/>
      <c r="F305" s="668" t="n">
        <v>0.73</v>
      </c>
      <c r="G305" s="38" t="n">
        <v>6</v>
      </c>
      <c r="H305" s="668" t="n">
        <v>4.38</v>
      </c>
      <c r="I305" s="668" t="n">
        <v>4.58</v>
      </c>
      <c r="J305" s="38" t="n">
        <v>156</v>
      </c>
      <c r="K305" s="39" t="inlineStr">
        <is>
          <t>СК2</t>
        </is>
      </c>
      <c r="L305" s="38" t="n">
        <v>35</v>
      </c>
      <c r="M305" s="84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0</v>
      </c>
      <c r="V305" s="672">
        <f>IFERROR(IF(U305="",0,CEILING((U305/$H305),1)*$H305),"")</f>
        <v/>
      </c>
      <c r="W305" s="42">
        <f>IFERROR(IF(V305=0,"",ROUNDUP(V305/H305,0)*0.00753),"")</f>
        <v/>
      </c>
      <c r="X305" s="69" t="inlineStr"/>
      <c r="Y305" s="70" t="inlineStr"/>
      <c r="AC305" s="243" t="inlineStr">
        <is>
          <t>КИ</t>
        </is>
      </c>
    </row>
    <row r="306" ht="27" customHeight="1">
      <c r="A306" s="64" t="inlineStr">
        <is>
          <t>SU002361</t>
        </is>
      </c>
      <c r="B306" s="64" t="inlineStr">
        <is>
          <t>P002630</t>
        </is>
      </c>
      <c r="C306" s="37" t="n">
        <v>4301031140</v>
      </c>
      <c r="D306" s="372" t="n">
        <v>4607091384826</v>
      </c>
      <c r="E306" s="636" t="n"/>
      <c r="F306" s="668" t="n">
        <v>0.35</v>
      </c>
      <c r="G306" s="38" t="n">
        <v>8</v>
      </c>
      <c r="H306" s="668" t="n">
        <v>2.8</v>
      </c>
      <c r="I306" s="668" t="n">
        <v>2.9</v>
      </c>
      <c r="J306" s="38" t="n">
        <v>234</v>
      </c>
      <c r="K306" s="39" t="inlineStr">
        <is>
          <t>СК2</t>
        </is>
      </c>
      <c r="L306" s="38" t="n">
        <v>35</v>
      </c>
      <c r="M306" s="84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6" s="670" t="n"/>
      <c r="O306" s="670" t="n"/>
      <c r="P306" s="670" t="n"/>
      <c r="Q306" s="636" t="n"/>
      <c r="R306" s="40" t="inlineStr"/>
      <c r="S306" s="40" t="inlineStr"/>
      <c r="T306" s="41" t="inlineStr">
        <is>
          <t>кг</t>
        </is>
      </c>
      <c r="U306" s="671" t="n">
        <v>0</v>
      </c>
      <c r="V306" s="672">
        <f>IFERROR(IF(U306="",0,CEILING((U306/$H306),1)*$H306),"")</f>
        <v/>
      </c>
      <c r="W306" s="42">
        <f>IFERROR(IF(V306=0,"",ROUNDUP(V306/H306,0)*0.00502),"")</f>
        <v/>
      </c>
      <c r="X306" s="69" t="inlineStr"/>
      <c r="Y306" s="70" t="inlineStr"/>
      <c r="AC306" s="244" t="inlineStr">
        <is>
          <t>КИ</t>
        </is>
      </c>
    </row>
    <row r="307">
      <c r="A307" s="380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кор</t>
        </is>
      </c>
      <c r="U307" s="675">
        <f>IFERROR(U305/H305,"0")+IFERROR(U306/H306,"0")</f>
        <v/>
      </c>
      <c r="V307" s="675">
        <f>IFERROR(V305/H305,"0")+IFERROR(V306/H306,"0")</f>
        <v/>
      </c>
      <c r="W307" s="675">
        <f>IFERROR(IF(W305="",0,W305),"0")+IFERROR(IF(W306="",0,W306),"0")</f>
        <v/>
      </c>
      <c r="X307" s="676" t="n"/>
      <c r="Y307" s="676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73" t="n"/>
      <c r="M308" s="674" t="inlineStr">
        <is>
          <t>Итого</t>
        </is>
      </c>
      <c r="N308" s="644" t="n"/>
      <c r="O308" s="644" t="n"/>
      <c r="P308" s="644" t="n"/>
      <c r="Q308" s="644" t="n"/>
      <c r="R308" s="644" t="n"/>
      <c r="S308" s="645" t="n"/>
      <c r="T308" s="43" t="inlineStr">
        <is>
          <t>кг</t>
        </is>
      </c>
      <c r="U308" s="675">
        <f>IFERROR(SUM(U305:U306),"0")</f>
        <v/>
      </c>
      <c r="V308" s="675">
        <f>IFERROR(SUM(V305:V306),"0")</f>
        <v/>
      </c>
      <c r="W308" s="43" t="n"/>
      <c r="X308" s="676" t="n"/>
      <c r="Y308" s="676" t="n"/>
    </row>
    <row r="309" ht="14.25" customHeight="1">
      <c r="A309" s="371" t="inlineStr">
        <is>
          <t>Сосиски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71" t="n"/>
      <c r="Y309" s="371" t="n"/>
    </row>
    <row r="310" ht="27" customHeight="1">
      <c r="A310" s="64" t="inlineStr">
        <is>
          <t>SU002074</t>
        </is>
      </c>
      <c r="B310" s="64" t="inlineStr">
        <is>
          <t>P002693</t>
        </is>
      </c>
      <c r="C310" s="37" t="n">
        <v>4301051303</v>
      </c>
      <c r="D310" s="372" t="n">
        <v>4607091384246</v>
      </c>
      <c r="E310" s="636" t="n"/>
      <c r="F310" s="668" t="n">
        <v>1.3</v>
      </c>
      <c r="G310" s="38" t="n">
        <v>6</v>
      </c>
      <c r="H310" s="668" t="n">
        <v>7.8</v>
      </c>
      <c r="I310" s="668" t="n">
        <v>8.364000000000001</v>
      </c>
      <c r="J310" s="38" t="n">
        <v>56</v>
      </c>
      <c r="K310" s="39" t="inlineStr">
        <is>
          <t>СК2</t>
        </is>
      </c>
      <c r="L310" s="38" t="n">
        <v>40</v>
      </c>
      <c r="M310" s="84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SU002896</t>
        </is>
      </c>
      <c r="B311" s="64" t="inlineStr">
        <is>
          <t>P003330</t>
        </is>
      </c>
      <c r="C311" s="37" t="n">
        <v>4301051445</v>
      </c>
      <c r="D311" s="372" t="n">
        <v>4680115881976</v>
      </c>
      <c r="E311" s="636" t="n"/>
      <c r="F311" s="668" t="n">
        <v>1.3</v>
      </c>
      <c r="G311" s="38" t="n">
        <v>6</v>
      </c>
      <c r="H311" s="668" t="n">
        <v>7.8</v>
      </c>
      <c r="I311" s="668" t="n">
        <v>8.279999999999999</v>
      </c>
      <c r="J311" s="38" t="n">
        <v>56</v>
      </c>
      <c r="K311" s="39" t="inlineStr">
        <is>
          <t>СК2</t>
        </is>
      </c>
      <c r="L311" s="38" t="n">
        <v>40</v>
      </c>
      <c r="M311" s="850" t="inlineStr">
        <is>
          <t>Сосиски "Сочные без свинины" Весовые ТМ "Особый рецепт" 1,3 кг</t>
        </is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246" t="inlineStr">
        <is>
          <t>КИ</t>
        </is>
      </c>
    </row>
    <row r="312" ht="27" customHeight="1">
      <c r="A312" s="64" t="inlineStr">
        <is>
          <t>SU002205</t>
        </is>
      </c>
      <c r="B312" s="64" t="inlineStr">
        <is>
          <t>P002694</t>
        </is>
      </c>
      <c r="C312" s="37" t="n">
        <v>4301051297</v>
      </c>
      <c r="D312" s="372" t="n">
        <v>4607091384253</v>
      </c>
      <c r="E312" s="636" t="n"/>
      <c r="F312" s="668" t="n">
        <v>0.4</v>
      </c>
      <c r="G312" s="38" t="n">
        <v>6</v>
      </c>
      <c r="H312" s="668" t="n">
        <v>2.4</v>
      </c>
      <c r="I312" s="668" t="n">
        <v>2.684</v>
      </c>
      <c r="J312" s="38" t="n">
        <v>156</v>
      </c>
      <c r="K312" s="39" t="inlineStr">
        <is>
          <t>СК2</t>
        </is>
      </c>
      <c r="L312" s="38" t="n">
        <v>40</v>
      </c>
      <c r="M312" s="85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IFERROR(IF(V312=0,"",ROUNDUP(V312/H312,0)*0.00753),"")</f>
        <v/>
      </c>
      <c r="X312" s="69" t="inlineStr"/>
      <c r="Y312" s="70" t="inlineStr"/>
      <c r="AC312" s="247" t="inlineStr">
        <is>
          <t>КИ</t>
        </is>
      </c>
    </row>
    <row r="313" ht="27" customHeight="1">
      <c r="A313" s="64" t="inlineStr">
        <is>
          <t>SU002895</t>
        </is>
      </c>
      <c r="B313" s="64" t="inlineStr">
        <is>
          <t>P003329</t>
        </is>
      </c>
      <c r="C313" s="37" t="n">
        <v>4301051444</v>
      </c>
      <c r="D313" s="372" t="n">
        <v>4680115881969</v>
      </c>
      <c r="E313" s="636" t="n"/>
      <c r="F313" s="668" t="n">
        <v>0.4</v>
      </c>
      <c r="G313" s="38" t="n">
        <v>6</v>
      </c>
      <c r="H313" s="668" t="n">
        <v>2.4</v>
      </c>
      <c r="I313" s="668" t="n">
        <v>2.6</v>
      </c>
      <c r="J313" s="38" t="n">
        <v>156</v>
      </c>
      <c r="K313" s="39" t="inlineStr">
        <is>
          <t>СК2</t>
        </is>
      </c>
      <c r="L313" s="38" t="n">
        <v>40</v>
      </c>
      <c r="M313" s="852" t="inlineStr">
        <is>
          <t>Сосиски "Сочные без свинины" ф/в 0,4 кг ТМ "Особый рецепт"</t>
        </is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IFERROR(IF(V313=0,"",ROUNDUP(V313/H313,0)*0.00753),"")</f>
        <v/>
      </c>
      <c r="X313" s="69" t="inlineStr"/>
      <c r="Y313" s="70" t="inlineStr"/>
      <c r="AC313" s="248" t="inlineStr">
        <is>
          <t>КИ</t>
        </is>
      </c>
    </row>
    <row r="314">
      <c r="A314" s="380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71" t="inlineStr">
        <is>
          <t>Сардельки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71" t="n"/>
      <c r="Y316" s="371" t="n"/>
    </row>
    <row r="317" ht="27" customHeight="1">
      <c r="A317" s="64" t="inlineStr">
        <is>
          <t>SU002472</t>
        </is>
      </c>
      <c r="B317" s="64" t="inlineStr">
        <is>
          <t>P002973</t>
        </is>
      </c>
      <c r="C317" s="37" t="n">
        <v>4301060322</v>
      </c>
      <c r="D317" s="372" t="n">
        <v>4607091389357</v>
      </c>
      <c r="E317" s="636" t="n"/>
      <c r="F317" s="668" t="n">
        <v>1.3</v>
      </c>
      <c r="G317" s="38" t="n">
        <v>6</v>
      </c>
      <c r="H317" s="668" t="n">
        <v>7.8</v>
      </c>
      <c r="I317" s="668" t="n">
        <v>8.279999999999999</v>
      </c>
      <c r="J317" s="38" t="n">
        <v>56</v>
      </c>
      <c r="K317" s="39" t="inlineStr">
        <is>
          <t>СК2</t>
        </is>
      </c>
      <c r="L317" s="38" t="n">
        <v>40</v>
      </c>
      <c r="M317" s="853" t="inlineStr">
        <is>
          <t>Сардельки Левантские Особая Без свинины Весовые NDX мгс Особый рецепт</t>
        </is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49" t="inlineStr">
        <is>
          <t>КИ</t>
        </is>
      </c>
    </row>
    <row r="318">
      <c r="A318" s="380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3" t="n"/>
      <c r="M318" s="674" t="inlineStr">
        <is>
          <t>Итого</t>
        </is>
      </c>
      <c r="N318" s="644" t="n"/>
      <c r="O318" s="644" t="n"/>
      <c r="P318" s="644" t="n"/>
      <c r="Q318" s="644" t="n"/>
      <c r="R318" s="644" t="n"/>
      <c r="S318" s="645" t="n"/>
      <c r="T318" s="43" t="inlineStr">
        <is>
          <t>кор</t>
        </is>
      </c>
      <c r="U318" s="675">
        <f>IFERROR(U317/H317,"0")</f>
        <v/>
      </c>
      <c r="V318" s="675">
        <f>IFERROR(V317/H317,"0")</f>
        <v/>
      </c>
      <c r="W318" s="675">
        <f>IFERROR(IF(W317="",0,W317),"0")</f>
        <v/>
      </c>
      <c r="X318" s="676" t="n"/>
      <c r="Y318" s="676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кг</t>
        </is>
      </c>
      <c r="U319" s="675">
        <f>IFERROR(SUM(U317:U317),"0")</f>
        <v/>
      </c>
      <c r="V319" s="675">
        <f>IFERROR(SUM(V317:V317),"0")</f>
        <v/>
      </c>
      <c r="W319" s="43" t="n"/>
      <c r="X319" s="676" t="n"/>
      <c r="Y319" s="676" t="n"/>
    </row>
    <row r="320" ht="27.75" customHeight="1">
      <c r="A320" s="369" t="inlineStr">
        <is>
          <t>Баварушка</t>
        </is>
      </c>
      <c r="B320" s="667" t="n"/>
      <c r="C320" s="667" t="n"/>
      <c r="D320" s="667" t="n"/>
      <c r="E320" s="667" t="n"/>
      <c r="F320" s="667" t="n"/>
      <c r="G320" s="667" t="n"/>
      <c r="H320" s="667" t="n"/>
      <c r="I320" s="667" t="n"/>
      <c r="J320" s="667" t="n"/>
      <c r="K320" s="667" t="n"/>
      <c r="L320" s="667" t="n"/>
      <c r="M320" s="667" t="n"/>
      <c r="N320" s="667" t="n"/>
      <c r="O320" s="667" t="n"/>
      <c r="P320" s="667" t="n"/>
      <c r="Q320" s="667" t="n"/>
      <c r="R320" s="667" t="n"/>
      <c r="S320" s="667" t="n"/>
      <c r="T320" s="667" t="n"/>
      <c r="U320" s="667" t="n"/>
      <c r="V320" s="667" t="n"/>
      <c r="W320" s="667" t="n"/>
      <c r="X320" s="55" t="n"/>
      <c r="Y320" s="55" t="n"/>
    </row>
    <row r="321" ht="16.5" customHeight="1">
      <c r="A321" s="370" t="inlineStr">
        <is>
          <t>Филейбургская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70" t="n"/>
      <c r="Y321" s="370" t="n"/>
    </row>
    <row r="322" ht="14.25" customHeight="1">
      <c r="A322" s="371" t="inlineStr">
        <is>
          <t>Вареные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71" t="n"/>
      <c r="Y322" s="371" t="n"/>
    </row>
    <row r="323" ht="27" customHeight="1">
      <c r="A323" s="64" t="inlineStr">
        <is>
          <t>SU002477</t>
        </is>
      </c>
      <c r="B323" s="64" t="inlineStr">
        <is>
          <t>P003148</t>
        </is>
      </c>
      <c r="C323" s="37" t="n">
        <v>4301011428</v>
      </c>
      <c r="D323" s="372" t="n">
        <v>4607091389708</v>
      </c>
      <c r="E323" s="636" t="n"/>
      <c r="F323" s="668" t="n">
        <v>0.45</v>
      </c>
      <c r="G323" s="38" t="n">
        <v>6</v>
      </c>
      <c r="H323" s="668" t="n">
        <v>2.7</v>
      </c>
      <c r="I323" s="668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5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 ht="27" customHeight="1">
      <c r="A324" s="64" t="inlineStr">
        <is>
          <t>SU002476</t>
        </is>
      </c>
      <c r="B324" s="64" t="inlineStr">
        <is>
          <t>P003147</t>
        </is>
      </c>
      <c r="C324" s="37" t="n">
        <v>4301011427</v>
      </c>
      <c r="D324" s="372" t="n">
        <v>4607091389692</v>
      </c>
      <c r="E324" s="636" t="n"/>
      <c r="F324" s="668" t="n">
        <v>0.45</v>
      </c>
      <c r="G324" s="38" t="n">
        <v>6</v>
      </c>
      <c r="H324" s="668" t="n">
        <v>2.7</v>
      </c>
      <c r="I324" s="668" t="n">
        <v>2.9</v>
      </c>
      <c r="J324" s="38" t="n">
        <v>156</v>
      </c>
      <c r="K324" s="39" t="inlineStr">
        <is>
          <t>СК1</t>
        </is>
      </c>
      <c r="L324" s="38" t="n">
        <v>50</v>
      </c>
      <c r="M324" s="855" t="inlineStr">
        <is>
          <t>Вареные колбасы Филейбургская Филейбургская Фикс.Вес 0,45 П/а Баварушка</t>
        </is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51" t="inlineStr">
        <is>
          <t>КИ</t>
        </is>
      </c>
    </row>
    <row r="325">
      <c r="A325" s="380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3" t="n"/>
      <c r="M325" s="674" t="inlineStr">
        <is>
          <t>Итого</t>
        </is>
      </c>
      <c r="N325" s="644" t="n"/>
      <c r="O325" s="644" t="n"/>
      <c r="P325" s="644" t="n"/>
      <c r="Q325" s="644" t="n"/>
      <c r="R325" s="644" t="n"/>
      <c r="S325" s="645" t="n"/>
      <c r="T325" s="43" t="inlineStr">
        <is>
          <t>кор</t>
        </is>
      </c>
      <c r="U325" s="675">
        <f>IFERROR(U323/H323,"0")+IFERROR(U324/H324,"0")</f>
        <v/>
      </c>
      <c r="V325" s="675">
        <f>IFERROR(V323/H323,"0")+IFERROR(V324/H324,"0")</f>
        <v/>
      </c>
      <c r="W325" s="675">
        <f>IFERROR(IF(W323="",0,W323),"0")+IFERROR(IF(W324="",0,W324),"0")</f>
        <v/>
      </c>
      <c r="X325" s="676" t="n"/>
      <c r="Y325" s="676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кг</t>
        </is>
      </c>
      <c r="U326" s="675">
        <f>IFERROR(SUM(U323:U324),"0")</f>
        <v/>
      </c>
      <c r="V326" s="675">
        <f>IFERROR(SUM(V323:V324),"0")</f>
        <v/>
      </c>
      <c r="W326" s="43" t="n"/>
      <c r="X326" s="676" t="n"/>
      <c r="Y326" s="676" t="n"/>
    </row>
    <row r="327" ht="14.25" customHeight="1">
      <c r="A327" s="371" t="inlineStr">
        <is>
          <t>Копченые колбасы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71" t="n"/>
      <c r="Y327" s="371" t="n"/>
    </row>
    <row r="328" ht="37.5" customHeight="1">
      <c r="A328" s="64" t="inlineStr">
        <is>
          <t>SU003035</t>
        </is>
      </c>
      <c r="B328" s="64" t="inlineStr">
        <is>
          <t>P003496</t>
        </is>
      </c>
      <c r="C328" s="37" t="n">
        <v>4301031236</v>
      </c>
      <c r="D328" s="372" t="n">
        <v>4680115882928</v>
      </c>
      <c r="E328" s="636" t="n"/>
      <c r="F328" s="668" t="n">
        <v>0.28</v>
      </c>
      <c r="G328" s="38" t="n">
        <v>6</v>
      </c>
      <c r="H328" s="668" t="n">
        <v>1.68</v>
      </c>
      <c r="I328" s="668" t="n">
        <v>2.6</v>
      </c>
      <c r="J328" s="38" t="n">
        <v>156</v>
      </c>
      <c r="K328" s="39" t="inlineStr">
        <is>
          <t>СК2</t>
        </is>
      </c>
      <c r="L328" s="38" t="n">
        <v>35</v>
      </c>
      <c r="M328" s="856" t="inlineStr">
        <is>
          <t>Копченые колбасы "Филейбурские с филе сочного окорока копченые" ф/в 0,28 б/о ТМ "Баварушка"</t>
        </is>
      </c>
      <c r="N328" s="670" t="n"/>
      <c r="O328" s="670" t="n"/>
      <c r="P328" s="670" t="n"/>
      <c r="Q328" s="636" t="n"/>
      <c r="R328" s="40" t="inlineStr"/>
      <c r="S328" s="40" t="inlineStr"/>
      <c r="T328" s="41" t="inlineStr">
        <is>
          <t>кг</t>
        </is>
      </c>
      <c r="U328" s="671" t="n">
        <v>0</v>
      </c>
      <c r="V328" s="672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SU003083</t>
        </is>
      </c>
      <c r="B329" s="64" t="inlineStr">
        <is>
          <t>P003646</t>
        </is>
      </c>
      <c r="C329" s="37" t="n">
        <v>4301031257</v>
      </c>
      <c r="D329" s="372" t="n">
        <v>4680115883147</v>
      </c>
      <c r="E329" s="636" t="n"/>
      <c r="F329" s="668" t="n">
        <v>0.28</v>
      </c>
      <c r="G329" s="38" t="n">
        <v>6</v>
      </c>
      <c r="H329" s="668" t="n">
        <v>1.68</v>
      </c>
      <c r="I329" s="668" t="n">
        <v>1.81</v>
      </c>
      <c r="J329" s="38" t="n">
        <v>234</v>
      </c>
      <c r="K329" s="39" t="inlineStr">
        <is>
          <t>СК2</t>
        </is>
      </c>
      <c r="L329" s="38" t="n">
        <v>45</v>
      </c>
      <c r="M329" s="857" t="inlineStr">
        <is>
          <t>В/к колбасы "Салями Филейбургская зернистая" срез Фикс.вес 0,28 фиброуз ТМ "Баварушка"</t>
        </is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>
        <is>
          <t>Новинка</t>
        </is>
      </c>
      <c r="AC329" s="253" t="inlineStr">
        <is>
          <t>КИ</t>
        </is>
      </c>
    </row>
    <row r="330" ht="37.5" customHeight="1">
      <c r="A330" s="64" t="inlineStr">
        <is>
          <t>SU003079</t>
        </is>
      </c>
      <c r="B330" s="64" t="inlineStr">
        <is>
          <t>P003643</t>
        </is>
      </c>
      <c r="C330" s="37" t="n">
        <v>4301031254</v>
      </c>
      <c r="D330" s="372" t="n">
        <v>4680115883154</v>
      </c>
      <c r="E330" s="636" t="n"/>
      <c r="F330" s="668" t="n">
        <v>0.28</v>
      </c>
      <c r="G330" s="38" t="n">
        <v>6</v>
      </c>
      <c r="H330" s="668" t="n">
        <v>1.68</v>
      </c>
      <c r="I330" s="668" t="n">
        <v>1.81</v>
      </c>
      <c r="J330" s="38" t="n">
        <v>234</v>
      </c>
      <c r="K330" s="39" t="inlineStr">
        <is>
          <t>СК2</t>
        </is>
      </c>
      <c r="L330" s="38" t="n">
        <v>45</v>
      </c>
      <c r="M330" s="858" t="inlineStr">
        <is>
          <t>В/к колбасы "Сервелат Филейбургский с ароматными пряностями" срез Фикс.вес 0,28 фиброуз ТМ "Баварушка"</t>
        </is>
      </c>
      <c r="N330" s="670" t="n"/>
      <c r="O330" s="670" t="n"/>
      <c r="P330" s="670" t="n"/>
      <c r="Q330" s="636" t="n"/>
      <c r="R330" s="40" t="inlineStr"/>
      <c r="S330" s="40" t="inlineStr"/>
      <c r="T330" s="41" t="inlineStr">
        <is>
          <t>кг</t>
        </is>
      </c>
      <c r="U330" s="671" t="n">
        <v>0</v>
      </c>
      <c r="V330" s="672">
        <f>IFERROR(IF(U330="",0,CEILING((U330/$H330),1)*$H330),"")</f>
        <v/>
      </c>
      <c r="W330" s="42">
        <f>IFERROR(IF(V330=0,"",ROUNDUP(V330/H330,0)*0.00502),"")</f>
        <v/>
      </c>
      <c r="X330" s="69" t="inlineStr"/>
      <c r="Y330" s="70" t="inlineStr">
        <is>
          <t>Новинка</t>
        </is>
      </c>
      <c r="AC330" s="254" t="inlineStr">
        <is>
          <t>КИ</t>
        </is>
      </c>
    </row>
    <row r="331" ht="27" customHeight="1">
      <c r="A331" s="64" t="inlineStr">
        <is>
          <t>SU003080</t>
        </is>
      </c>
      <c r="B331" s="64" t="inlineStr">
        <is>
          <t>P003647</t>
        </is>
      </c>
      <c r="C331" s="37" t="n">
        <v>4301031258</v>
      </c>
      <c r="D331" s="372" t="n">
        <v>4680115883161</v>
      </c>
      <c r="E331" s="636" t="n"/>
      <c r="F331" s="668" t="n">
        <v>0.28</v>
      </c>
      <c r="G331" s="38" t="n">
        <v>6</v>
      </c>
      <c r="H331" s="668" t="n">
        <v>1.68</v>
      </c>
      <c r="I331" s="668" t="n">
        <v>1.81</v>
      </c>
      <c r="J331" s="38" t="n">
        <v>234</v>
      </c>
      <c r="K331" s="39" t="inlineStr">
        <is>
          <t>СК2</t>
        </is>
      </c>
      <c r="L331" s="38" t="n">
        <v>45</v>
      </c>
      <c r="M331" s="859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31" s="670" t="n"/>
      <c r="O331" s="670" t="n"/>
      <c r="P331" s="670" t="n"/>
      <c r="Q331" s="636" t="n"/>
      <c r="R331" s="40" t="inlineStr"/>
      <c r="S331" s="40" t="inlineStr"/>
      <c r="T331" s="41" t="inlineStr">
        <is>
          <t>кг</t>
        </is>
      </c>
      <c r="U331" s="671" t="n">
        <v>0</v>
      </c>
      <c r="V331" s="672">
        <f>IFERROR(IF(U331="",0,CEILING((U331/$H331),1)*$H331),"")</f>
        <v/>
      </c>
      <c r="W331" s="42">
        <f>IFERROR(IF(V331=0,"",ROUNDUP(V331/H331,0)*0.00502),"")</f>
        <v/>
      </c>
      <c r="X331" s="69" t="inlineStr"/>
      <c r="Y331" s="70" t="inlineStr">
        <is>
          <t>Новинка</t>
        </is>
      </c>
      <c r="AC331" s="255" t="inlineStr">
        <is>
          <t>КИ</t>
        </is>
      </c>
    </row>
    <row r="332" ht="27" customHeight="1">
      <c r="A332" s="64" t="inlineStr">
        <is>
          <t>SU003081</t>
        </is>
      </c>
      <c r="B332" s="64" t="inlineStr">
        <is>
          <t>P003645</t>
        </is>
      </c>
      <c r="C332" s="37" t="n">
        <v>4301031256</v>
      </c>
      <c r="D332" s="372" t="n">
        <v>4680115883178</v>
      </c>
      <c r="E332" s="636" t="n"/>
      <c r="F332" s="668" t="n">
        <v>0.28</v>
      </c>
      <c r="G332" s="38" t="n">
        <v>6</v>
      </c>
      <c r="H332" s="668" t="n">
        <v>1.68</v>
      </c>
      <c r="I332" s="668" t="n">
        <v>1.81</v>
      </c>
      <c r="J332" s="38" t="n">
        <v>234</v>
      </c>
      <c r="K332" s="39" t="inlineStr">
        <is>
          <t>СК2</t>
        </is>
      </c>
      <c r="L332" s="38" t="n">
        <v>45</v>
      </c>
      <c r="M332" s="860" t="inlineStr">
        <is>
          <t>В/к колбасы "Сервелат Филейбургский с филе сочного окорока" срез Фикс.вес 0,28 Фиброуз в/у ТМ "Баварушка"</t>
        </is>
      </c>
      <c r="N332" s="670" t="n"/>
      <c r="O332" s="670" t="n"/>
      <c r="P332" s="670" t="n"/>
      <c r="Q332" s="636" t="n"/>
      <c r="R332" s="40" t="inlineStr"/>
      <c r="S332" s="40" t="inlineStr"/>
      <c r="T332" s="41" t="inlineStr">
        <is>
          <t>кг</t>
        </is>
      </c>
      <c r="U332" s="671" t="n">
        <v>0</v>
      </c>
      <c r="V332" s="672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>
        <is>
          <t>Новинка</t>
        </is>
      </c>
      <c r="AC332" s="256" t="inlineStr">
        <is>
          <t>КИ</t>
        </is>
      </c>
    </row>
    <row r="333" ht="27" customHeight="1">
      <c r="A333" s="64" t="inlineStr">
        <is>
          <t>SU003082</t>
        </is>
      </c>
      <c r="B333" s="64" t="inlineStr">
        <is>
          <t>P003644</t>
        </is>
      </c>
      <c r="C333" s="37" t="n">
        <v>4301031255</v>
      </c>
      <c r="D333" s="372" t="n">
        <v>4680115883185</v>
      </c>
      <c r="E333" s="636" t="n"/>
      <c r="F333" s="668" t="n">
        <v>0.28</v>
      </c>
      <c r="G333" s="38" t="n">
        <v>6</v>
      </c>
      <c r="H333" s="668" t="n">
        <v>1.68</v>
      </c>
      <c r="I333" s="668" t="n">
        <v>1.81</v>
      </c>
      <c r="J333" s="38" t="n">
        <v>234</v>
      </c>
      <c r="K333" s="39" t="inlineStr">
        <is>
          <t>СК2</t>
        </is>
      </c>
      <c r="L333" s="38" t="n">
        <v>45</v>
      </c>
      <c r="M333" s="861" t="inlineStr">
        <is>
          <t>В/к колбасы "Филейбургская с душистым чесноком" срез Фикс.вес 0,28 фиброуз в/у Баварушка</t>
        </is>
      </c>
      <c r="N333" s="670" t="n"/>
      <c r="O333" s="670" t="n"/>
      <c r="P333" s="670" t="n"/>
      <c r="Q333" s="636" t="n"/>
      <c r="R333" s="40" t="inlineStr"/>
      <c r="S333" s="40" t="inlineStr"/>
      <c r="T333" s="41" t="inlineStr">
        <is>
          <t>кг</t>
        </is>
      </c>
      <c r="U333" s="671" t="n">
        <v>0</v>
      </c>
      <c r="V333" s="672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>
        <is>
          <t>Новинка</t>
        </is>
      </c>
      <c r="AC333" s="257" t="inlineStr">
        <is>
          <t>КИ</t>
        </is>
      </c>
    </row>
    <row r="334" ht="27" customHeight="1">
      <c r="A334" s="64" t="inlineStr">
        <is>
          <t>SU002614</t>
        </is>
      </c>
      <c r="B334" s="64" t="inlineStr">
        <is>
          <t>P003138</t>
        </is>
      </c>
      <c r="C334" s="37" t="n">
        <v>4301031177</v>
      </c>
      <c r="D334" s="372" t="n">
        <v>4607091389753</v>
      </c>
      <c r="E334" s="636" t="n"/>
      <c r="F334" s="668" t="n">
        <v>0.7</v>
      </c>
      <c r="G334" s="38" t="n">
        <v>6</v>
      </c>
      <c r="H334" s="668" t="n">
        <v>4.2</v>
      </c>
      <c r="I334" s="668" t="n">
        <v>4.43</v>
      </c>
      <c r="J334" s="38" t="n">
        <v>156</v>
      </c>
      <c r="K334" s="39" t="inlineStr">
        <is>
          <t>СК2</t>
        </is>
      </c>
      <c r="L334" s="38" t="n">
        <v>45</v>
      </c>
      <c r="M334" s="86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4" s="670" t="n"/>
      <c r="O334" s="670" t="n"/>
      <c r="P334" s="670" t="n"/>
      <c r="Q334" s="636" t="n"/>
      <c r="R334" s="40" t="inlineStr"/>
      <c r="S334" s="40" t="inlineStr"/>
      <c r="T334" s="41" t="inlineStr">
        <is>
          <t>кг</t>
        </is>
      </c>
      <c r="U334" s="671" t="n">
        <v>0</v>
      </c>
      <c r="V334" s="672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258" t="inlineStr">
        <is>
          <t>КИ</t>
        </is>
      </c>
    </row>
    <row r="335" ht="27" customHeight="1">
      <c r="A335" s="64" t="inlineStr">
        <is>
          <t>SU002615</t>
        </is>
      </c>
      <c r="B335" s="64" t="inlineStr">
        <is>
          <t>P003136</t>
        </is>
      </c>
      <c r="C335" s="37" t="n">
        <v>4301031174</v>
      </c>
      <c r="D335" s="372" t="n">
        <v>4607091389760</v>
      </c>
      <c r="E335" s="636" t="n"/>
      <c r="F335" s="668" t="n">
        <v>0.7</v>
      </c>
      <c r="G335" s="38" t="n">
        <v>6</v>
      </c>
      <c r="H335" s="668" t="n">
        <v>4.2</v>
      </c>
      <c r="I335" s="668" t="n">
        <v>4.43</v>
      </c>
      <c r="J335" s="38" t="n">
        <v>156</v>
      </c>
      <c r="K335" s="39" t="inlineStr">
        <is>
          <t>СК2</t>
        </is>
      </c>
      <c r="L335" s="38" t="n">
        <v>45</v>
      </c>
      <c r="M335" s="86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SU002613</t>
        </is>
      </c>
      <c r="B336" s="64" t="inlineStr">
        <is>
          <t>P003133</t>
        </is>
      </c>
      <c r="C336" s="37" t="n">
        <v>4301031175</v>
      </c>
      <c r="D336" s="372" t="n">
        <v>4607091389746</v>
      </c>
      <c r="E336" s="636" t="n"/>
      <c r="F336" s="668" t="n">
        <v>0.7</v>
      </c>
      <c r="G336" s="38" t="n">
        <v>6</v>
      </c>
      <c r="H336" s="668" t="n">
        <v>4.2</v>
      </c>
      <c r="I336" s="668" t="n">
        <v>4.43</v>
      </c>
      <c r="J336" s="38" t="n">
        <v>156</v>
      </c>
      <c r="K336" s="39" t="inlineStr">
        <is>
          <t>СК2</t>
        </is>
      </c>
      <c r="L336" s="38" t="n">
        <v>45</v>
      </c>
      <c r="M336" s="864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260" t="inlineStr">
        <is>
          <t>КИ</t>
        </is>
      </c>
    </row>
    <row r="337" ht="27" customHeight="1">
      <c r="A337" s="64" t="inlineStr">
        <is>
          <t>SU002538</t>
        </is>
      </c>
      <c r="B337" s="64" t="inlineStr">
        <is>
          <t>P003139</t>
        </is>
      </c>
      <c r="C337" s="37" t="n">
        <v>4301031178</v>
      </c>
      <c r="D337" s="372" t="n">
        <v>4607091384338</v>
      </c>
      <c r="E337" s="636" t="n"/>
      <c r="F337" s="668" t="n">
        <v>0.35</v>
      </c>
      <c r="G337" s="38" t="n">
        <v>6</v>
      </c>
      <c r="H337" s="668" t="n">
        <v>2.1</v>
      </c>
      <c r="I337" s="668" t="n">
        <v>2.23</v>
      </c>
      <c r="J337" s="38" t="n">
        <v>234</v>
      </c>
      <c r="K337" s="39" t="inlineStr">
        <is>
          <t>СК2</t>
        </is>
      </c>
      <c r="L337" s="38" t="n">
        <v>45</v>
      </c>
      <c r="M337" s="86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7" s="670" t="n"/>
      <c r="O337" s="670" t="n"/>
      <c r="P337" s="670" t="n"/>
      <c r="Q337" s="636" t="n"/>
      <c r="R337" s="40" t="inlineStr"/>
      <c r="S337" s="40" t="inlineStr"/>
      <c r="T337" s="41" t="inlineStr">
        <is>
          <t>кг</t>
        </is>
      </c>
      <c r="U337" s="671" t="n">
        <v>0</v>
      </c>
      <c r="V337" s="672">
        <f>IFERROR(IF(U337="",0,CEILING((U337/$H337),1)*$H337),"")</f>
        <v/>
      </c>
      <c r="W337" s="42">
        <f>IFERROR(IF(V337=0,"",ROUNDUP(V337/H337,0)*0.00502),"")</f>
        <v/>
      </c>
      <c r="X337" s="69" t="inlineStr"/>
      <c r="Y337" s="70" t="inlineStr"/>
      <c r="AC337" s="261" t="inlineStr">
        <is>
          <t>КИ</t>
        </is>
      </c>
    </row>
    <row r="338" ht="37.5" customHeight="1">
      <c r="A338" s="64" t="inlineStr">
        <is>
          <t>SU002602</t>
        </is>
      </c>
      <c r="B338" s="64" t="inlineStr">
        <is>
          <t>P003132</t>
        </is>
      </c>
      <c r="C338" s="37" t="n">
        <v>4301031171</v>
      </c>
      <c r="D338" s="372" t="n">
        <v>4607091389524</v>
      </c>
      <c r="E338" s="636" t="n"/>
      <c r="F338" s="668" t="n">
        <v>0.35</v>
      </c>
      <c r="G338" s="38" t="n">
        <v>6</v>
      </c>
      <c r="H338" s="668" t="n">
        <v>2.1</v>
      </c>
      <c r="I338" s="668" t="n">
        <v>2.23</v>
      </c>
      <c r="J338" s="38" t="n">
        <v>234</v>
      </c>
      <c r="K338" s="39" t="inlineStr">
        <is>
          <t>СК2</t>
        </is>
      </c>
      <c r="L338" s="38" t="n">
        <v>45</v>
      </c>
      <c r="M338" s="866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8" s="670" t="n"/>
      <c r="O338" s="670" t="n"/>
      <c r="P338" s="670" t="n"/>
      <c r="Q338" s="636" t="n"/>
      <c r="R338" s="40" t="inlineStr"/>
      <c r="S338" s="40" t="inlineStr"/>
      <c r="T338" s="41" t="inlineStr">
        <is>
          <t>кг</t>
        </is>
      </c>
      <c r="U338" s="671" t="n">
        <v>0</v>
      </c>
      <c r="V338" s="672">
        <f>IFERROR(IF(U338="",0,CEILING((U338/$H338),1)*$H338),"")</f>
        <v/>
      </c>
      <c r="W338" s="42">
        <f>IFERROR(IF(V338=0,"",ROUNDUP(V338/H338,0)*0.00502),"")</f>
        <v/>
      </c>
      <c r="X338" s="69" t="inlineStr"/>
      <c r="Y338" s="70" t="inlineStr"/>
      <c r="AC338" s="262" t="inlineStr">
        <is>
          <t>КИ</t>
        </is>
      </c>
    </row>
    <row r="339" ht="27" customHeight="1">
      <c r="A339" s="64" t="inlineStr">
        <is>
          <t>SU002603</t>
        </is>
      </c>
      <c r="B339" s="64" t="inlineStr">
        <is>
          <t>P003131</t>
        </is>
      </c>
      <c r="C339" s="37" t="n">
        <v>4301031170</v>
      </c>
      <c r="D339" s="372" t="n">
        <v>4607091384345</v>
      </c>
      <c r="E339" s="636" t="n"/>
      <c r="F339" s="668" t="n">
        <v>0.35</v>
      </c>
      <c r="G339" s="38" t="n">
        <v>6</v>
      </c>
      <c r="H339" s="668" t="n">
        <v>2.1</v>
      </c>
      <c r="I339" s="668" t="n">
        <v>2.23</v>
      </c>
      <c r="J339" s="38" t="n">
        <v>234</v>
      </c>
      <c r="K339" s="39" t="inlineStr">
        <is>
          <t>СК2</t>
        </is>
      </c>
      <c r="L339" s="38" t="n">
        <v>45</v>
      </c>
      <c r="M339" s="86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9" s="670" t="n"/>
      <c r="O339" s="670" t="n"/>
      <c r="P339" s="670" t="n"/>
      <c r="Q339" s="636" t="n"/>
      <c r="R339" s="40" t="inlineStr"/>
      <c r="S339" s="40" t="inlineStr"/>
      <c r="T339" s="41" t="inlineStr">
        <is>
          <t>кг</t>
        </is>
      </c>
      <c r="U339" s="671" t="n">
        <v>0</v>
      </c>
      <c r="V339" s="672">
        <f>IFERROR(IF(U339="",0,CEILING((U339/$H339),1)*$H339),"")</f>
        <v/>
      </c>
      <c r="W339" s="42">
        <f>IFERROR(IF(V339=0,"",ROUNDUP(V339/H339,0)*0.00502),"")</f>
        <v/>
      </c>
      <c r="X339" s="69" t="inlineStr"/>
      <c r="Y339" s="70" t="inlineStr"/>
      <c r="AC339" s="263" t="inlineStr">
        <is>
          <t>КИ</t>
        </is>
      </c>
    </row>
    <row r="340" ht="27" customHeight="1">
      <c r="A340" s="64" t="inlineStr">
        <is>
          <t>SU002606</t>
        </is>
      </c>
      <c r="B340" s="64" t="inlineStr">
        <is>
          <t>P003134</t>
        </is>
      </c>
      <c r="C340" s="37" t="n">
        <v>4301031172</v>
      </c>
      <c r="D340" s="372" t="n">
        <v>4607091389531</v>
      </c>
      <c r="E340" s="636" t="n"/>
      <c r="F340" s="668" t="n">
        <v>0.35</v>
      </c>
      <c r="G340" s="38" t="n">
        <v>6</v>
      </c>
      <c r="H340" s="668" t="n">
        <v>2.1</v>
      </c>
      <c r="I340" s="668" t="n">
        <v>2.23</v>
      </c>
      <c r="J340" s="38" t="n">
        <v>234</v>
      </c>
      <c r="K340" s="39" t="inlineStr">
        <is>
          <t>СК2</t>
        </is>
      </c>
      <c r="L340" s="38" t="n">
        <v>45</v>
      </c>
      <c r="M340" s="868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0</v>
      </c>
      <c r="V340" s="672">
        <f>IFERROR(IF(U340="",0,CEILING((U340/$H340),1)*$H340),"")</f>
        <v/>
      </c>
      <c r="W340" s="42">
        <f>IFERROR(IF(V340=0,"",ROUNDUP(V340/H340,0)*0.00502),"")</f>
        <v/>
      </c>
      <c r="X340" s="69" t="inlineStr"/>
      <c r="Y340" s="70" t="inlineStr"/>
      <c r="AC340" s="264" t="inlineStr">
        <is>
          <t>КИ</t>
        </is>
      </c>
    </row>
    <row r="341">
      <c r="A341" s="380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3" t="n"/>
      <c r="M341" s="674" t="inlineStr">
        <is>
          <t>Итого</t>
        </is>
      </c>
      <c r="N341" s="644" t="n"/>
      <c r="O341" s="644" t="n"/>
      <c r="P341" s="644" t="n"/>
      <c r="Q341" s="644" t="n"/>
      <c r="R341" s="644" t="n"/>
      <c r="S341" s="645" t="n"/>
      <c r="T341" s="43" t="inlineStr">
        <is>
          <t>кор</t>
        </is>
      </c>
      <c r="U341" s="675">
        <f>IFERROR(U328/H328,"0")+IFERROR(U329/H329,"0")+IFERROR(U330/H330,"0")+IFERROR(U331/H331,"0")+IFERROR(U332/H332,"0")+IFERROR(U333/H333,"0")+IFERROR(U334/H334,"0")+IFERROR(U335/H335,"0")+IFERROR(U336/H336,"0")+IFERROR(U337/H337,"0")+IFERROR(U338/H338,"0")+IFERROR(U339/H339,"0")+IFERROR(U340/H340,"0")</f>
        <v/>
      </c>
      <c r="V341" s="675">
        <f>IFERROR(V328/H328,"0")+IFERROR(V329/H329,"0")+IFERROR(V330/H330,"0")+IFERROR(V331/H331,"0")+IFERROR(V332/H332,"0")+IFERROR(V333/H333,"0")+IFERROR(V334/H334,"0")+IFERROR(V335/H335,"0")+IFERROR(V336/H336,"0")+IFERROR(V337/H337,"0")+IFERROR(V338/H338,"0")+IFERROR(V339/H339,"0")+IFERROR(V340/H340,"0")</f>
        <v/>
      </c>
      <c r="W341" s="675">
        <f>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+IFERROR(IF(W340="",0,W340),"0")</f>
        <v/>
      </c>
      <c r="X341" s="676" t="n"/>
      <c r="Y341" s="676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73" t="n"/>
      <c r="M342" s="674" t="inlineStr">
        <is>
          <t>Итого</t>
        </is>
      </c>
      <c r="N342" s="644" t="n"/>
      <c r="O342" s="644" t="n"/>
      <c r="P342" s="644" t="n"/>
      <c r="Q342" s="644" t="n"/>
      <c r="R342" s="644" t="n"/>
      <c r="S342" s="645" t="n"/>
      <c r="T342" s="43" t="inlineStr">
        <is>
          <t>кг</t>
        </is>
      </c>
      <c r="U342" s="675">
        <f>IFERROR(SUM(U328:U340),"0")</f>
        <v/>
      </c>
      <c r="V342" s="675">
        <f>IFERROR(SUM(V328:V340),"0")</f>
        <v/>
      </c>
      <c r="W342" s="43" t="n"/>
      <c r="X342" s="676" t="n"/>
      <c r="Y342" s="676" t="n"/>
    </row>
    <row r="343" ht="14.25" customHeight="1">
      <c r="A343" s="371" t="inlineStr">
        <is>
          <t>Сосиски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71" t="n"/>
      <c r="Y343" s="371" t="n"/>
    </row>
    <row r="344" ht="27" customHeight="1">
      <c r="A344" s="64" t="inlineStr">
        <is>
          <t>SU002448</t>
        </is>
      </c>
      <c r="B344" s="64" t="inlineStr">
        <is>
          <t>P002914</t>
        </is>
      </c>
      <c r="C344" s="37" t="n">
        <v>4301051258</v>
      </c>
      <c r="D344" s="372" t="n">
        <v>4607091389685</v>
      </c>
      <c r="E344" s="636" t="n"/>
      <c r="F344" s="668" t="n">
        <v>1.3</v>
      </c>
      <c r="G344" s="38" t="n">
        <v>6</v>
      </c>
      <c r="H344" s="668" t="n">
        <v>7.8</v>
      </c>
      <c r="I344" s="668" t="n">
        <v>8.346</v>
      </c>
      <c r="J344" s="38" t="n">
        <v>56</v>
      </c>
      <c r="K344" s="39" t="inlineStr">
        <is>
          <t>СК3</t>
        </is>
      </c>
      <c r="L344" s="38" t="n">
        <v>45</v>
      </c>
      <c r="M344" s="86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IFERROR(IF(V344=0,"",ROUNDUP(V344/H344,0)*0.02175),"")</f>
        <v/>
      </c>
      <c r="X344" s="69" t="inlineStr"/>
      <c r="Y344" s="70" t="inlineStr"/>
      <c r="AC344" s="265" t="inlineStr">
        <is>
          <t>КИ</t>
        </is>
      </c>
    </row>
    <row r="345" ht="27" customHeight="1">
      <c r="A345" s="64" t="inlineStr">
        <is>
          <t>SU002557</t>
        </is>
      </c>
      <c r="B345" s="64" t="inlineStr">
        <is>
          <t>P003318</t>
        </is>
      </c>
      <c r="C345" s="37" t="n">
        <v>4301051431</v>
      </c>
      <c r="D345" s="372" t="n">
        <v>4607091389654</v>
      </c>
      <c r="E345" s="636" t="n"/>
      <c r="F345" s="668" t="n">
        <v>0.33</v>
      </c>
      <c r="G345" s="38" t="n">
        <v>6</v>
      </c>
      <c r="H345" s="668" t="n">
        <v>1.98</v>
      </c>
      <c r="I345" s="668" t="n">
        <v>2.258</v>
      </c>
      <c r="J345" s="38" t="n">
        <v>156</v>
      </c>
      <c r="K345" s="39" t="inlineStr">
        <is>
          <t>СК3</t>
        </is>
      </c>
      <c r="L345" s="38" t="n">
        <v>45</v>
      </c>
      <c r="M345" s="870" t="inlineStr">
        <is>
          <t>Сосиски Баварушки (с грудкой ГОСТ 31962-2013) Филейбургская Фикс.вес 0,33 П/а мгс Баварушка</t>
        </is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266" t="inlineStr">
        <is>
          <t>КИ</t>
        </is>
      </c>
    </row>
    <row r="346" ht="27" customHeight="1">
      <c r="A346" s="64" t="inlineStr">
        <is>
          <t>SU002285</t>
        </is>
      </c>
      <c r="B346" s="64" t="inlineStr">
        <is>
          <t>P002969</t>
        </is>
      </c>
      <c r="C346" s="37" t="n">
        <v>4301051284</v>
      </c>
      <c r="D346" s="372" t="n">
        <v>4607091384352</v>
      </c>
      <c r="E346" s="636" t="n"/>
      <c r="F346" s="668" t="n">
        <v>0.6</v>
      </c>
      <c r="G346" s="38" t="n">
        <v>4</v>
      </c>
      <c r="H346" s="668" t="n">
        <v>2.4</v>
      </c>
      <c r="I346" s="668" t="n">
        <v>2.646</v>
      </c>
      <c r="J346" s="38" t="n">
        <v>120</v>
      </c>
      <c r="K346" s="39" t="inlineStr">
        <is>
          <t>СК3</t>
        </is>
      </c>
      <c r="L346" s="38" t="n">
        <v>45</v>
      </c>
      <c r="M346" s="87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IFERROR(IF(V346=0,"",ROUNDUP(V346/H346,0)*0.00937),"")</f>
        <v/>
      </c>
      <c r="X346" s="69" t="inlineStr"/>
      <c r="Y346" s="70" t="inlineStr"/>
      <c r="AC346" s="267" t="inlineStr">
        <is>
          <t>КИ</t>
        </is>
      </c>
    </row>
    <row r="347" ht="27" customHeight="1">
      <c r="A347" s="64" t="inlineStr">
        <is>
          <t>SU002419</t>
        </is>
      </c>
      <c r="B347" s="64" t="inlineStr">
        <is>
          <t>P002913</t>
        </is>
      </c>
      <c r="C347" s="37" t="n">
        <v>4301051257</v>
      </c>
      <c r="D347" s="372" t="n">
        <v>4607091389661</v>
      </c>
      <c r="E347" s="636" t="n"/>
      <c r="F347" s="668" t="n">
        <v>0.55</v>
      </c>
      <c r="G347" s="38" t="n">
        <v>4</v>
      </c>
      <c r="H347" s="668" t="n">
        <v>2.2</v>
      </c>
      <c r="I347" s="668" t="n">
        <v>2.492</v>
      </c>
      <c r="J347" s="38" t="n">
        <v>120</v>
      </c>
      <c r="K347" s="39" t="inlineStr">
        <is>
          <t>СК3</t>
        </is>
      </c>
      <c r="L347" s="38" t="n">
        <v>45</v>
      </c>
      <c r="M347" s="87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IFERROR(IF(V347=0,"",ROUNDUP(V347/H347,0)*0.00937),"")</f>
        <v/>
      </c>
      <c r="X347" s="69" t="inlineStr"/>
      <c r="Y347" s="70" t="inlineStr"/>
      <c r="AC347" s="268" t="inlineStr">
        <is>
          <t>КИ</t>
        </is>
      </c>
    </row>
    <row r="348">
      <c r="A348" s="380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73" t="n"/>
      <c r="M348" s="674" t="inlineStr">
        <is>
          <t>Итого</t>
        </is>
      </c>
      <c r="N348" s="644" t="n"/>
      <c r="O348" s="644" t="n"/>
      <c r="P348" s="644" t="n"/>
      <c r="Q348" s="644" t="n"/>
      <c r="R348" s="644" t="n"/>
      <c r="S348" s="645" t="n"/>
      <c r="T348" s="43" t="inlineStr">
        <is>
          <t>кор</t>
        </is>
      </c>
      <c r="U348" s="675">
        <f>IFERROR(U344/H344,"0")+IFERROR(U345/H345,"0")+IFERROR(U346/H346,"0")+IFERROR(U347/H347,"0")</f>
        <v/>
      </c>
      <c r="V348" s="675">
        <f>IFERROR(V344/H344,"0")+IFERROR(V345/H345,"0")+IFERROR(V346/H346,"0")+IFERROR(V347/H347,"0")</f>
        <v/>
      </c>
      <c r="W348" s="675">
        <f>IFERROR(IF(W344="",0,W344),"0")+IFERROR(IF(W345="",0,W345),"0")+IFERROR(IF(W346="",0,W346),"0")+IFERROR(IF(W347="",0,W347),"0")</f>
        <v/>
      </c>
      <c r="X348" s="676" t="n"/>
      <c r="Y348" s="676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673" t="n"/>
      <c r="M349" s="674" t="inlineStr">
        <is>
          <t>Итого</t>
        </is>
      </c>
      <c r="N349" s="644" t="n"/>
      <c r="O349" s="644" t="n"/>
      <c r="P349" s="644" t="n"/>
      <c r="Q349" s="644" t="n"/>
      <c r="R349" s="644" t="n"/>
      <c r="S349" s="645" t="n"/>
      <c r="T349" s="43" t="inlineStr">
        <is>
          <t>кг</t>
        </is>
      </c>
      <c r="U349" s="675">
        <f>IFERROR(SUM(U344:U347),"0")</f>
        <v/>
      </c>
      <c r="V349" s="675">
        <f>IFERROR(SUM(V344:V347),"0")</f>
        <v/>
      </c>
      <c r="W349" s="43" t="n"/>
      <c r="X349" s="676" t="n"/>
      <c r="Y349" s="676" t="n"/>
    </row>
    <row r="350" ht="14.25" customHeight="1">
      <c r="A350" s="371" t="inlineStr">
        <is>
          <t>Сардельки</t>
        </is>
      </c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371" t="n"/>
      <c r="Y350" s="371" t="n"/>
    </row>
    <row r="351" ht="27" customHeight="1">
      <c r="A351" s="64" t="inlineStr">
        <is>
          <t>SU002846</t>
        </is>
      </c>
      <c r="B351" s="64" t="inlineStr">
        <is>
          <t>P003254</t>
        </is>
      </c>
      <c r="C351" s="37" t="n">
        <v>4301060352</v>
      </c>
      <c r="D351" s="372" t="n">
        <v>4680115881648</v>
      </c>
      <c r="E351" s="636" t="n"/>
      <c r="F351" s="668" t="n">
        <v>1</v>
      </c>
      <c r="G351" s="38" t="n">
        <v>4</v>
      </c>
      <c r="H351" s="668" t="n">
        <v>4</v>
      </c>
      <c r="I351" s="668" t="n">
        <v>4.404</v>
      </c>
      <c r="J351" s="38" t="n">
        <v>104</v>
      </c>
      <c r="K351" s="39" t="inlineStr">
        <is>
          <t>СК2</t>
        </is>
      </c>
      <c r="L351" s="38" t="n">
        <v>35</v>
      </c>
      <c r="M351" s="873" t="inlineStr">
        <is>
          <t>Сардельки "Шпикачки Филейбургские" весовые н/о ТМ "Баварушка"</t>
        </is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IFERROR(IF(V351=0,"",ROUNDUP(V351/H351,0)*0.01196),"")</f>
        <v/>
      </c>
      <c r="X351" s="69" t="inlineStr"/>
      <c r="Y351" s="70" t="inlineStr"/>
      <c r="AC351" s="269" t="inlineStr">
        <is>
          <t>КИ</t>
        </is>
      </c>
    </row>
    <row r="352">
      <c r="A352" s="380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3" t="n"/>
      <c r="M352" s="674" t="inlineStr">
        <is>
          <t>Итого</t>
        </is>
      </c>
      <c r="N352" s="644" t="n"/>
      <c r="O352" s="644" t="n"/>
      <c r="P352" s="644" t="n"/>
      <c r="Q352" s="644" t="n"/>
      <c r="R352" s="644" t="n"/>
      <c r="S352" s="645" t="n"/>
      <c r="T352" s="43" t="inlineStr">
        <is>
          <t>кор</t>
        </is>
      </c>
      <c r="U352" s="675">
        <f>IFERROR(U351/H351,"0")</f>
        <v/>
      </c>
      <c r="V352" s="675">
        <f>IFERROR(V351/H351,"0")</f>
        <v/>
      </c>
      <c r="W352" s="675">
        <f>IFERROR(IF(W351="",0,W351),"0")</f>
        <v/>
      </c>
      <c r="X352" s="676" t="n"/>
      <c r="Y352" s="676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кг</t>
        </is>
      </c>
      <c r="U353" s="675">
        <f>IFERROR(SUM(U351:U351),"0")</f>
        <v/>
      </c>
      <c r="V353" s="675">
        <f>IFERROR(SUM(V351:V351),"0")</f>
        <v/>
      </c>
      <c r="W353" s="43" t="n"/>
      <c r="X353" s="676" t="n"/>
      <c r="Y353" s="676" t="n"/>
    </row>
    <row r="354" ht="14.25" customHeight="1">
      <c r="A354" s="371" t="inlineStr">
        <is>
          <t>Сырокопченые колбасы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71" t="n"/>
      <c r="Y354" s="371" t="n"/>
    </row>
    <row r="355" ht="27" customHeight="1">
      <c r="A355" s="64" t="inlineStr">
        <is>
          <t>SU003058</t>
        </is>
      </c>
      <c r="B355" s="64" t="inlineStr">
        <is>
          <t>P003620</t>
        </is>
      </c>
      <c r="C355" s="37" t="n">
        <v>4301032042</v>
      </c>
      <c r="D355" s="372" t="n">
        <v>4680115883017</v>
      </c>
      <c r="E355" s="636" t="n"/>
      <c r="F355" s="668" t="n">
        <v>0.03</v>
      </c>
      <c r="G355" s="38" t="n">
        <v>20</v>
      </c>
      <c r="H355" s="668" t="n">
        <v>0.6</v>
      </c>
      <c r="I355" s="668" t="n">
        <v>0.63</v>
      </c>
      <c r="J355" s="38" t="n">
        <v>350</v>
      </c>
      <c r="K355" s="39" t="inlineStr">
        <is>
          <t>ДК</t>
        </is>
      </c>
      <c r="L355" s="38" t="n">
        <v>60</v>
      </c>
      <c r="M355" s="874" t="inlineStr">
        <is>
          <t>с/к колбасы "Филейбургская зернистая" ф/в 0,03 ТМ "Баварушка"</t>
        </is>
      </c>
      <c r="N355" s="670" t="n"/>
      <c r="O355" s="670" t="n"/>
      <c r="P355" s="670" t="n"/>
      <c r="Q355" s="636" t="n"/>
      <c r="R355" s="40" t="inlineStr"/>
      <c r="S355" s="40" t="inlineStr"/>
      <c r="T355" s="41" t="inlineStr">
        <is>
          <t>кг</t>
        </is>
      </c>
      <c r="U355" s="671" t="n">
        <v>0</v>
      </c>
      <c r="V355" s="672">
        <f>IFERROR(IF(U355="",0,CEILING((U355/$H355),1)*$H355),"")</f>
        <v/>
      </c>
      <c r="W355" s="42">
        <f>IFERROR(IF(V355=0,"",ROUNDUP(V355/H355,0)*0.00349),"")</f>
        <v/>
      </c>
      <c r="X355" s="69" t="inlineStr"/>
      <c r="Y355" s="70" t="inlineStr">
        <is>
          <t>Новинка</t>
        </is>
      </c>
      <c r="AC355" s="270" t="inlineStr">
        <is>
          <t>КИ</t>
        </is>
      </c>
    </row>
    <row r="356" ht="27" customHeight="1">
      <c r="A356" s="64" t="inlineStr">
        <is>
          <t>SU003061</t>
        </is>
      </c>
      <c r="B356" s="64" t="inlineStr">
        <is>
          <t>P003621</t>
        </is>
      </c>
      <c r="C356" s="37" t="n">
        <v>4301032043</v>
      </c>
      <c r="D356" s="372" t="n">
        <v>4680115883031</v>
      </c>
      <c r="E356" s="636" t="n"/>
      <c r="F356" s="668" t="n">
        <v>0.03</v>
      </c>
      <c r="G356" s="38" t="n">
        <v>20</v>
      </c>
      <c r="H356" s="668" t="n">
        <v>0.6</v>
      </c>
      <c r="I356" s="668" t="n">
        <v>0.63</v>
      </c>
      <c r="J356" s="38" t="n">
        <v>350</v>
      </c>
      <c r="K356" s="39" t="inlineStr">
        <is>
          <t>ДК</t>
        </is>
      </c>
      <c r="L356" s="38" t="n">
        <v>60</v>
      </c>
      <c r="M356" s="875" t="inlineStr">
        <is>
          <t>с/к колбасы "Филейбургская с ароматными пряностями" ф/в 0,03 нарезка ТМ "Баварушка"</t>
        </is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IFERROR(IF(V356=0,"",ROUNDUP(V356/H356,0)*0.00349),"")</f>
        <v/>
      </c>
      <c r="X356" s="69" t="inlineStr"/>
      <c r="Y356" s="70" t="inlineStr">
        <is>
          <t>Новинка</t>
        </is>
      </c>
      <c r="AC356" s="271" t="inlineStr">
        <is>
          <t>КИ</t>
        </is>
      </c>
    </row>
    <row r="357" ht="27" customHeight="1">
      <c r="A357" s="64" t="inlineStr">
        <is>
          <t>SU003057</t>
        </is>
      </c>
      <c r="B357" s="64" t="inlineStr">
        <is>
          <t>P003619</t>
        </is>
      </c>
      <c r="C357" s="37" t="n">
        <v>4301032041</v>
      </c>
      <c r="D357" s="372" t="n">
        <v>4680115883024</v>
      </c>
      <c r="E357" s="636" t="n"/>
      <c r="F357" s="668" t="n">
        <v>0.03</v>
      </c>
      <c r="G357" s="38" t="n">
        <v>20</v>
      </c>
      <c r="H357" s="668" t="n">
        <v>0.6</v>
      </c>
      <c r="I357" s="668" t="n">
        <v>0.63</v>
      </c>
      <c r="J357" s="38" t="n">
        <v>350</v>
      </c>
      <c r="K357" s="39" t="inlineStr">
        <is>
          <t>ДК</t>
        </is>
      </c>
      <c r="L357" s="38" t="n">
        <v>60</v>
      </c>
      <c r="M357" s="876" t="inlineStr">
        <is>
          <t>с/к колбасы "Филейбургская с душистым чесноком" ф/в 0,03 н/о нарезка ТМ "Баварушка"</t>
        </is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IFERROR(IF(V357=0,"",ROUNDUP(V357/H357,0)*0.00349),"")</f>
        <v/>
      </c>
      <c r="X357" s="69" t="inlineStr"/>
      <c r="Y357" s="70" t="inlineStr">
        <is>
          <t>Новинка</t>
        </is>
      </c>
      <c r="AC357" s="272" t="inlineStr">
        <is>
          <t>КИ</t>
        </is>
      </c>
    </row>
    <row r="358">
      <c r="A358" s="380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3" t="n"/>
      <c r="M358" s="674" t="inlineStr">
        <is>
          <t>Итого</t>
        </is>
      </c>
      <c r="N358" s="644" t="n"/>
      <c r="O358" s="644" t="n"/>
      <c r="P358" s="644" t="n"/>
      <c r="Q358" s="644" t="n"/>
      <c r="R358" s="644" t="n"/>
      <c r="S358" s="645" t="n"/>
      <c r="T358" s="43" t="inlineStr">
        <is>
          <t>кор</t>
        </is>
      </c>
      <c r="U358" s="675">
        <f>IFERROR(U355/H355,"0")+IFERROR(U356/H356,"0")+IFERROR(U357/H357,"0")</f>
        <v/>
      </c>
      <c r="V358" s="675">
        <f>IFERROR(V355/H355,"0")+IFERROR(V356/H356,"0")+IFERROR(V357/H357,"0")</f>
        <v/>
      </c>
      <c r="W358" s="675">
        <f>IFERROR(IF(W355="",0,W355),"0")+IFERROR(IF(W356="",0,W356),"0")+IFERROR(IF(W357="",0,W357),"0")</f>
        <v/>
      </c>
      <c r="X358" s="676" t="n"/>
      <c r="Y358" s="676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73" t="n"/>
      <c r="M359" s="674" t="inlineStr">
        <is>
          <t>Итого</t>
        </is>
      </c>
      <c r="N359" s="644" t="n"/>
      <c r="O359" s="644" t="n"/>
      <c r="P359" s="644" t="n"/>
      <c r="Q359" s="644" t="n"/>
      <c r="R359" s="644" t="n"/>
      <c r="S359" s="645" t="n"/>
      <c r="T359" s="43" t="inlineStr">
        <is>
          <t>кг</t>
        </is>
      </c>
      <c r="U359" s="675">
        <f>IFERROR(SUM(U355:U357),"0")</f>
        <v/>
      </c>
      <c r="V359" s="675">
        <f>IFERROR(SUM(V355:V357),"0")</f>
        <v/>
      </c>
      <c r="W359" s="43" t="n"/>
      <c r="X359" s="676" t="n"/>
      <c r="Y359" s="676" t="n"/>
    </row>
    <row r="360" ht="14.25" customHeight="1">
      <c r="A360" s="371" t="inlineStr">
        <is>
          <t>Сыровяленые колбасы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71" t="n"/>
      <c r="Y360" s="371" t="n"/>
    </row>
    <row r="361" ht="27" customHeight="1">
      <c r="A361" s="64" t="inlineStr">
        <is>
          <t>SU003060</t>
        </is>
      </c>
      <c r="B361" s="64" t="inlineStr">
        <is>
          <t>P003624</t>
        </is>
      </c>
      <c r="C361" s="37" t="n">
        <v>4301170009</v>
      </c>
      <c r="D361" s="372" t="n">
        <v>4680115882997</v>
      </c>
      <c r="E361" s="636" t="n"/>
      <c r="F361" s="668" t="n">
        <v>0.13</v>
      </c>
      <c r="G361" s="38" t="n">
        <v>10</v>
      </c>
      <c r="H361" s="668" t="n">
        <v>1.3</v>
      </c>
      <c r="I361" s="668" t="n">
        <v>1.43</v>
      </c>
      <c r="J361" s="38" t="n">
        <v>320</v>
      </c>
      <c r="K361" s="39" t="inlineStr">
        <is>
          <t>ДК</t>
        </is>
      </c>
      <c r="L361" s="38" t="n">
        <v>150</v>
      </c>
      <c r="M361" s="877" t="inlineStr">
        <is>
          <t>с/в колбасы "Филейбургская с филе сочного окорока" ф/в 0,13 н/о ТМ "Баварушка"</t>
        </is>
      </c>
      <c r="N361" s="670" t="n"/>
      <c r="O361" s="670" t="n"/>
      <c r="P361" s="670" t="n"/>
      <c r="Q361" s="636" t="n"/>
      <c r="R361" s="40" t="inlineStr"/>
      <c r="S361" s="40" t="inlineStr"/>
      <c r="T361" s="41" t="inlineStr">
        <is>
          <t>кг</t>
        </is>
      </c>
      <c r="U361" s="671" t="n">
        <v>0</v>
      </c>
      <c r="V361" s="672">
        <f>IFERROR(IF(U361="",0,CEILING((U361/$H361),1)*$H361),"")</f>
        <v/>
      </c>
      <c r="W361" s="42">
        <f>IFERROR(IF(V361=0,"",ROUNDUP(V361/H361,0)*0.00266),"")</f>
        <v/>
      </c>
      <c r="X361" s="69" t="inlineStr"/>
      <c r="Y361" s="70" t="inlineStr">
        <is>
          <t>Новинка</t>
        </is>
      </c>
      <c r="AC361" s="273" t="inlineStr">
        <is>
          <t>КИ</t>
        </is>
      </c>
    </row>
    <row r="362">
      <c r="A362" s="380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73" t="n"/>
      <c r="M362" s="674" t="inlineStr">
        <is>
          <t>Итого</t>
        </is>
      </c>
      <c r="N362" s="644" t="n"/>
      <c r="O362" s="644" t="n"/>
      <c r="P362" s="644" t="n"/>
      <c r="Q362" s="644" t="n"/>
      <c r="R362" s="644" t="n"/>
      <c r="S362" s="645" t="n"/>
      <c r="T362" s="43" t="inlineStr">
        <is>
          <t>кор</t>
        </is>
      </c>
      <c r="U362" s="675">
        <f>IFERROR(U361/H361,"0")</f>
        <v/>
      </c>
      <c r="V362" s="675">
        <f>IFERROR(V361/H361,"0")</f>
        <v/>
      </c>
      <c r="W362" s="675">
        <f>IFERROR(IF(W361="",0,W361),"0")</f>
        <v/>
      </c>
      <c r="X362" s="676" t="n"/>
      <c r="Y362" s="676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3" t="n"/>
      <c r="M363" s="674" t="inlineStr">
        <is>
          <t>Итого</t>
        </is>
      </c>
      <c r="N363" s="644" t="n"/>
      <c r="O363" s="644" t="n"/>
      <c r="P363" s="644" t="n"/>
      <c r="Q363" s="644" t="n"/>
      <c r="R363" s="644" t="n"/>
      <c r="S363" s="645" t="n"/>
      <c r="T363" s="43" t="inlineStr">
        <is>
          <t>кг</t>
        </is>
      </c>
      <c r="U363" s="675">
        <f>IFERROR(SUM(U361:U361),"0")</f>
        <v/>
      </c>
      <c r="V363" s="675">
        <f>IFERROR(SUM(V361:V361),"0")</f>
        <v/>
      </c>
      <c r="W363" s="43" t="n"/>
      <c r="X363" s="676" t="n"/>
      <c r="Y363" s="676" t="n"/>
    </row>
    <row r="364" ht="16.5" customHeight="1">
      <c r="A364" s="370" t="inlineStr">
        <is>
          <t>Балыкбургская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70" t="n"/>
      <c r="Y364" s="370" t="n"/>
    </row>
    <row r="365" ht="14.25" customHeight="1">
      <c r="A365" s="371" t="inlineStr">
        <is>
          <t>Ветчины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71" t="n"/>
      <c r="Y365" s="371" t="n"/>
    </row>
    <row r="366" ht="27" customHeight="1">
      <c r="A366" s="64" t="inlineStr">
        <is>
          <t>SU002542</t>
        </is>
      </c>
      <c r="B366" s="64" t="inlineStr">
        <is>
          <t>P002847</t>
        </is>
      </c>
      <c r="C366" s="37" t="n">
        <v>4301020196</v>
      </c>
      <c r="D366" s="372" t="n">
        <v>4607091389388</v>
      </c>
      <c r="E366" s="636" t="n"/>
      <c r="F366" s="668" t="n">
        <v>1.3</v>
      </c>
      <c r="G366" s="38" t="n">
        <v>4</v>
      </c>
      <c r="H366" s="668" t="n">
        <v>5.2</v>
      </c>
      <c r="I366" s="668" t="n">
        <v>5.608</v>
      </c>
      <c r="J366" s="38" t="n">
        <v>104</v>
      </c>
      <c r="K366" s="39" t="inlineStr">
        <is>
          <t>СК3</t>
        </is>
      </c>
      <c r="L366" s="38" t="n">
        <v>35</v>
      </c>
      <c r="M366" s="87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66" s="670" t="n"/>
      <c r="O366" s="670" t="n"/>
      <c r="P366" s="670" t="n"/>
      <c r="Q366" s="636" t="n"/>
      <c r="R366" s="40" t="inlineStr"/>
      <c r="S366" s="40" t="inlineStr"/>
      <c r="T366" s="41" t="inlineStr">
        <is>
          <t>кг</t>
        </is>
      </c>
      <c r="U366" s="671" t="n">
        <v>0</v>
      </c>
      <c r="V366" s="672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  <c r="AC366" s="274" t="inlineStr">
        <is>
          <t>КИ</t>
        </is>
      </c>
    </row>
    <row r="367" ht="27" customHeight="1">
      <c r="A367" s="64" t="inlineStr">
        <is>
          <t>SU002319</t>
        </is>
      </c>
      <c r="B367" s="64" t="inlineStr">
        <is>
          <t>P002597</t>
        </is>
      </c>
      <c r="C367" s="37" t="n">
        <v>4301020185</v>
      </c>
      <c r="D367" s="372" t="n">
        <v>4607091389364</v>
      </c>
      <c r="E367" s="636" t="n"/>
      <c r="F367" s="668" t="n">
        <v>0.42</v>
      </c>
      <c r="G367" s="38" t="n">
        <v>6</v>
      </c>
      <c r="H367" s="668" t="n">
        <v>2.52</v>
      </c>
      <c r="I367" s="668" t="n">
        <v>2.75</v>
      </c>
      <c r="J367" s="38" t="n">
        <v>156</v>
      </c>
      <c r="K367" s="39" t="inlineStr">
        <is>
          <t>СК3</t>
        </is>
      </c>
      <c r="L367" s="38" t="n">
        <v>35</v>
      </c>
      <c r="M367" s="87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IFERROR(IF(V367=0,"",ROUNDUP(V367/H367,0)*0.00753),"")</f>
        <v/>
      </c>
      <c r="X367" s="69" t="inlineStr"/>
      <c r="Y367" s="70" t="inlineStr"/>
      <c r="AC367" s="275" t="inlineStr">
        <is>
          <t>КИ</t>
        </is>
      </c>
    </row>
    <row r="368">
      <c r="A368" s="380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3" t="n"/>
      <c r="M368" s="674" t="inlineStr">
        <is>
          <t>Итого</t>
        </is>
      </c>
      <c r="N368" s="644" t="n"/>
      <c r="O368" s="644" t="n"/>
      <c r="P368" s="644" t="n"/>
      <c r="Q368" s="644" t="n"/>
      <c r="R368" s="644" t="n"/>
      <c r="S368" s="645" t="n"/>
      <c r="T368" s="43" t="inlineStr">
        <is>
          <t>кор</t>
        </is>
      </c>
      <c r="U368" s="675">
        <f>IFERROR(U366/H366,"0")+IFERROR(U367/H367,"0")</f>
        <v/>
      </c>
      <c r="V368" s="675">
        <f>IFERROR(V366/H366,"0")+IFERROR(V367/H367,"0")</f>
        <v/>
      </c>
      <c r="W368" s="675">
        <f>IFERROR(IF(W366="",0,W366),"0")+IFERROR(IF(W367="",0,W367),"0")</f>
        <v/>
      </c>
      <c r="X368" s="676" t="n"/>
      <c r="Y368" s="676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3" t="n"/>
      <c r="M369" s="674" t="inlineStr">
        <is>
          <t>Итого</t>
        </is>
      </c>
      <c r="N369" s="644" t="n"/>
      <c r="O369" s="644" t="n"/>
      <c r="P369" s="644" t="n"/>
      <c r="Q369" s="644" t="n"/>
      <c r="R369" s="644" t="n"/>
      <c r="S369" s="645" t="n"/>
      <c r="T369" s="43" t="inlineStr">
        <is>
          <t>кг</t>
        </is>
      </c>
      <c r="U369" s="675">
        <f>IFERROR(SUM(U366:U367),"0")</f>
        <v/>
      </c>
      <c r="V369" s="675">
        <f>IFERROR(SUM(V366:V367),"0")</f>
        <v/>
      </c>
      <c r="W369" s="43" t="n"/>
      <c r="X369" s="676" t="n"/>
      <c r="Y369" s="676" t="n"/>
    </row>
    <row r="370" ht="14.25" customHeight="1">
      <c r="A370" s="371" t="inlineStr">
        <is>
          <t>Копченые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71" t="n"/>
      <c r="Y370" s="371" t="n"/>
    </row>
    <row r="371" ht="27" customHeight="1">
      <c r="A371" s="64" t="inlineStr">
        <is>
          <t>SU002612</t>
        </is>
      </c>
      <c r="B371" s="64" t="inlineStr">
        <is>
          <t>P003140</t>
        </is>
      </c>
      <c r="C371" s="37" t="n">
        <v>4301031179</v>
      </c>
      <c r="D371" s="372" t="n">
        <v>4607091389739</v>
      </c>
      <c r="E371" s="636" t="n"/>
      <c r="F371" s="668" t="n">
        <v>0.7</v>
      </c>
      <c r="G371" s="38" t="n">
        <v>6</v>
      </c>
      <c r="H371" s="668" t="n">
        <v>4.2</v>
      </c>
      <c r="I371" s="668" t="n">
        <v>4.43</v>
      </c>
      <c r="J371" s="38" t="n">
        <v>156</v>
      </c>
      <c r="K371" s="39" t="inlineStr">
        <is>
          <t>СК2</t>
        </is>
      </c>
      <c r="L371" s="38" t="n">
        <v>45</v>
      </c>
      <c r="M371" s="880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71" s="670" t="n"/>
      <c r="O371" s="670" t="n"/>
      <c r="P371" s="670" t="n"/>
      <c r="Q371" s="636" t="n"/>
      <c r="R371" s="40" t="inlineStr"/>
      <c r="S371" s="40" t="inlineStr"/>
      <c r="T371" s="41" t="inlineStr">
        <is>
          <t>кг</t>
        </is>
      </c>
      <c r="U371" s="671" t="n">
        <v>0</v>
      </c>
      <c r="V371" s="672">
        <f>IFERROR(IF(U371="",0,CEILING((U371/$H371),1)*$H371),"")</f>
        <v/>
      </c>
      <c r="W371" s="42">
        <f>IFERROR(IF(V371=0,"",ROUNDUP(V371/H371,0)*0.00753),"")</f>
        <v/>
      </c>
      <c r="X371" s="69" t="inlineStr"/>
      <c r="Y371" s="70" t="inlineStr"/>
      <c r="AC371" s="276" t="inlineStr">
        <is>
          <t>КИ</t>
        </is>
      </c>
    </row>
    <row r="372" ht="27" customHeight="1">
      <c r="A372" s="64" t="inlineStr">
        <is>
          <t>SU002545</t>
        </is>
      </c>
      <c r="B372" s="64" t="inlineStr">
        <is>
          <t>P003137</t>
        </is>
      </c>
      <c r="C372" s="37" t="n">
        <v>4301031176</v>
      </c>
      <c r="D372" s="372" t="n">
        <v>4607091389425</v>
      </c>
      <c r="E372" s="636" t="n"/>
      <c r="F372" s="668" t="n">
        <v>0.35</v>
      </c>
      <c r="G372" s="38" t="n">
        <v>6</v>
      </c>
      <c r="H372" s="668" t="n">
        <v>2.1</v>
      </c>
      <c r="I372" s="668" t="n">
        <v>2.23</v>
      </c>
      <c r="J372" s="38" t="n">
        <v>234</v>
      </c>
      <c r="K372" s="39" t="inlineStr">
        <is>
          <t>СК2</t>
        </is>
      </c>
      <c r="L372" s="38" t="n">
        <v>45</v>
      </c>
      <c r="M372" s="88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72" s="670" t="n"/>
      <c r="O372" s="670" t="n"/>
      <c r="P372" s="670" t="n"/>
      <c r="Q372" s="636" t="n"/>
      <c r="R372" s="40" t="inlineStr"/>
      <c r="S372" s="40" t="inlineStr"/>
      <c r="T372" s="41" t="inlineStr">
        <is>
          <t>кг</t>
        </is>
      </c>
      <c r="U372" s="671" t="n">
        <v>0</v>
      </c>
      <c r="V372" s="672">
        <f>IFERROR(IF(U372="",0,CEILING((U372/$H372),1)*$H372),"")</f>
        <v/>
      </c>
      <c r="W372" s="42">
        <f>IFERROR(IF(V372=0,"",ROUNDUP(V372/H372,0)*0.00502),"")</f>
        <v/>
      </c>
      <c r="X372" s="69" t="inlineStr"/>
      <c r="Y372" s="70" t="inlineStr"/>
      <c r="AC372" s="277" t="inlineStr">
        <is>
          <t>КИ</t>
        </is>
      </c>
    </row>
    <row r="373" ht="27" customHeight="1">
      <c r="A373" s="64" t="inlineStr">
        <is>
          <t>SU002726</t>
        </is>
      </c>
      <c r="B373" s="64" t="inlineStr">
        <is>
          <t>P003095</t>
        </is>
      </c>
      <c r="C373" s="37" t="n">
        <v>4301031167</v>
      </c>
      <c r="D373" s="372" t="n">
        <v>4680115880771</v>
      </c>
      <c r="E373" s="636" t="n"/>
      <c r="F373" s="668" t="n">
        <v>0.28</v>
      </c>
      <c r="G373" s="38" t="n">
        <v>6</v>
      </c>
      <c r="H373" s="668" t="n">
        <v>1.68</v>
      </c>
      <c r="I373" s="668" t="n">
        <v>1.81</v>
      </c>
      <c r="J373" s="38" t="n">
        <v>234</v>
      </c>
      <c r="K373" s="39" t="inlineStr">
        <is>
          <t>СК2</t>
        </is>
      </c>
      <c r="L373" s="38" t="n">
        <v>45</v>
      </c>
      <c r="M373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IFERROR(IF(V373=0,"",ROUNDUP(V373/H373,0)*0.00502),"")</f>
        <v/>
      </c>
      <c r="X373" s="69" t="inlineStr"/>
      <c r="Y373" s="70" t="inlineStr"/>
      <c r="AC373" s="278" t="inlineStr">
        <is>
          <t>КИ</t>
        </is>
      </c>
    </row>
    <row r="374" ht="27" customHeight="1">
      <c r="A374" s="64" t="inlineStr">
        <is>
          <t>SU002604</t>
        </is>
      </c>
      <c r="B374" s="64" t="inlineStr">
        <is>
          <t>P003135</t>
        </is>
      </c>
      <c r="C374" s="37" t="n">
        <v>4301031173</v>
      </c>
      <c r="D374" s="372" t="n">
        <v>4607091389500</v>
      </c>
      <c r="E374" s="636" t="n"/>
      <c r="F374" s="668" t="n">
        <v>0.35</v>
      </c>
      <c r="G374" s="38" t="n">
        <v>6</v>
      </c>
      <c r="H374" s="668" t="n">
        <v>2.1</v>
      </c>
      <c r="I374" s="668" t="n">
        <v>2.23</v>
      </c>
      <c r="J374" s="38" t="n">
        <v>234</v>
      </c>
      <c r="K374" s="39" t="inlineStr">
        <is>
          <t>СК2</t>
        </is>
      </c>
      <c r="L374" s="38" t="n">
        <v>45</v>
      </c>
      <c r="M374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74" s="670" t="n"/>
      <c r="O374" s="670" t="n"/>
      <c r="P374" s="670" t="n"/>
      <c r="Q374" s="636" t="n"/>
      <c r="R374" s="40" t="inlineStr"/>
      <c r="S374" s="40" t="inlineStr"/>
      <c r="T374" s="41" t="inlineStr">
        <is>
          <t>кг</t>
        </is>
      </c>
      <c r="U374" s="671" t="n">
        <v>0</v>
      </c>
      <c r="V374" s="672">
        <f>IFERROR(IF(U374="",0,CEILING((U374/$H374),1)*$H374),"")</f>
        <v/>
      </c>
      <c r="W374" s="42">
        <f>IFERROR(IF(V374=0,"",ROUNDUP(V374/H374,0)*0.00502),"")</f>
        <v/>
      </c>
      <c r="X374" s="69" t="inlineStr"/>
      <c r="Y374" s="70" t="inlineStr"/>
      <c r="AC374" s="279" t="inlineStr">
        <is>
          <t>КИ</t>
        </is>
      </c>
    </row>
    <row r="375" ht="27" customHeight="1">
      <c r="A375" s="64" t="inlineStr">
        <is>
          <t>SU002358</t>
        </is>
      </c>
      <c r="B375" s="64" t="inlineStr">
        <is>
          <t>P002642</t>
        </is>
      </c>
      <c r="C375" s="37" t="n">
        <v>4301031103</v>
      </c>
      <c r="D375" s="372" t="n">
        <v>4680115881983</v>
      </c>
      <c r="E375" s="636" t="n"/>
      <c r="F375" s="668" t="n">
        <v>0.28</v>
      </c>
      <c r="G375" s="38" t="n">
        <v>4</v>
      </c>
      <c r="H375" s="668" t="n">
        <v>1.12</v>
      </c>
      <c r="I375" s="668" t="n">
        <v>1.252</v>
      </c>
      <c r="J375" s="38" t="n">
        <v>234</v>
      </c>
      <c r="K375" s="39" t="inlineStr">
        <is>
          <t>СК2</t>
        </is>
      </c>
      <c r="L375" s="38" t="n">
        <v>40</v>
      </c>
      <c r="M375" s="884" t="inlineStr">
        <is>
          <t>Колбаса Балыкбургская по-краковски с копченым балыком в натуральной оболочке 0,28 кг</t>
        </is>
      </c>
      <c r="N375" s="670" t="n"/>
      <c r="O375" s="670" t="n"/>
      <c r="P375" s="670" t="n"/>
      <c r="Q375" s="636" t="n"/>
      <c r="R375" s="40" t="inlineStr"/>
      <c r="S375" s="40" t="inlineStr"/>
      <c r="T375" s="41" t="inlineStr">
        <is>
          <t>кг</t>
        </is>
      </c>
      <c r="U375" s="671" t="n">
        <v>0</v>
      </c>
      <c r="V375" s="672">
        <f>IFERROR(IF(U375="",0,CEILING((U375/$H375),1)*$H375),"")</f>
        <v/>
      </c>
      <c r="W375" s="42">
        <f>IFERROR(IF(V375=0,"",ROUNDUP(V375/H375,0)*0.00502),"")</f>
        <v/>
      </c>
      <c r="X375" s="69" t="inlineStr"/>
      <c r="Y375" s="70" t="inlineStr"/>
      <c r="AC375" s="280" t="inlineStr">
        <is>
          <t>КИ</t>
        </is>
      </c>
    </row>
    <row r="376">
      <c r="A376" s="380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73" t="n"/>
      <c r="M376" s="674" t="inlineStr">
        <is>
          <t>Итого</t>
        </is>
      </c>
      <c r="N376" s="644" t="n"/>
      <c r="O376" s="644" t="n"/>
      <c r="P376" s="644" t="n"/>
      <c r="Q376" s="644" t="n"/>
      <c r="R376" s="644" t="n"/>
      <c r="S376" s="645" t="n"/>
      <c r="T376" s="43" t="inlineStr">
        <is>
          <t>кор</t>
        </is>
      </c>
      <c r="U376" s="675">
        <f>IFERROR(U371/H371,"0")+IFERROR(U372/H372,"0")+IFERROR(U373/H373,"0")+IFERROR(U374/H374,"0")+IFERROR(U375/H375,"0")</f>
        <v/>
      </c>
      <c r="V376" s="675">
        <f>IFERROR(V371/H371,"0")+IFERROR(V372/H372,"0")+IFERROR(V373/H373,"0")+IFERROR(V374/H374,"0")+IFERROR(V375/H375,"0")</f>
        <v/>
      </c>
      <c r="W376" s="675">
        <f>IFERROR(IF(W371="",0,W371),"0")+IFERROR(IF(W372="",0,W372),"0")+IFERROR(IF(W373="",0,W373),"0")+IFERROR(IF(W374="",0,W374),"0")+IFERROR(IF(W375="",0,W375),"0")</f>
        <v/>
      </c>
      <c r="X376" s="676" t="n"/>
      <c r="Y376" s="676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3" t="n"/>
      <c r="M377" s="674" t="inlineStr">
        <is>
          <t>Итого</t>
        </is>
      </c>
      <c r="N377" s="644" t="n"/>
      <c r="O377" s="644" t="n"/>
      <c r="P377" s="644" t="n"/>
      <c r="Q377" s="644" t="n"/>
      <c r="R377" s="644" t="n"/>
      <c r="S377" s="645" t="n"/>
      <c r="T377" s="43" t="inlineStr">
        <is>
          <t>кг</t>
        </is>
      </c>
      <c r="U377" s="675">
        <f>IFERROR(SUM(U371:U375),"0")</f>
        <v/>
      </c>
      <c r="V377" s="675">
        <f>IFERROR(SUM(V371:V375),"0")</f>
        <v/>
      </c>
      <c r="W377" s="43" t="n"/>
      <c r="X377" s="676" t="n"/>
      <c r="Y377" s="676" t="n"/>
    </row>
    <row r="378" ht="14.25" customHeight="1">
      <c r="A378" s="371" t="inlineStr">
        <is>
          <t>Сырокопченые колбасы</t>
        </is>
      </c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371" t="n"/>
      <c r="Y378" s="371" t="n"/>
    </row>
    <row r="379" ht="27" customHeight="1">
      <c r="A379" s="64" t="inlineStr">
        <is>
          <t>SU003059</t>
        </is>
      </c>
      <c r="B379" s="64" t="inlineStr">
        <is>
          <t>P003623</t>
        </is>
      </c>
      <c r="C379" s="37" t="n">
        <v>4301032044</v>
      </c>
      <c r="D379" s="372" t="n">
        <v>4680115883000</v>
      </c>
      <c r="E379" s="636" t="n"/>
      <c r="F379" s="668" t="n">
        <v>0.03</v>
      </c>
      <c r="G379" s="38" t="n">
        <v>20</v>
      </c>
      <c r="H379" s="668" t="n">
        <v>0.6</v>
      </c>
      <c r="I379" s="668" t="n">
        <v>0.63</v>
      </c>
      <c r="J379" s="38" t="n">
        <v>350</v>
      </c>
      <c r="K379" s="39" t="inlineStr">
        <is>
          <t>ДК</t>
        </is>
      </c>
      <c r="L379" s="38" t="n">
        <v>60</v>
      </c>
      <c r="M379" s="885" t="inlineStr">
        <is>
          <t>с/к колбасы "Балыкбургская с мраморным балыком и нотками кориандра" ф/в 0,03 ТМ "Баварушка"</t>
        </is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IFERROR(IF(V379=0,"",ROUNDUP(V379/H379,0)*0.00349),"")</f>
        <v/>
      </c>
      <c r="X379" s="69" t="inlineStr"/>
      <c r="Y379" s="70" t="inlineStr">
        <is>
          <t>Новинка</t>
        </is>
      </c>
      <c r="AC379" s="281" t="inlineStr">
        <is>
          <t>КИ</t>
        </is>
      </c>
    </row>
    <row r="380">
      <c r="A380" s="380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IFERROR(U379/H379,"0")</f>
        <v/>
      </c>
      <c r="V380" s="675">
        <f>IFERROR(V379/H379,"0")</f>
        <v/>
      </c>
      <c r="W380" s="675">
        <f>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IFERROR(SUM(U379:U379),"0")</f>
        <v/>
      </c>
      <c r="V381" s="675">
        <f>IFERROR(SUM(V379:V379),"0")</f>
        <v/>
      </c>
      <c r="W381" s="43" t="n"/>
      <c r="X381" s="676" t="n"/>
      <c r="Y381" s="676" t="n"/>
    </row>
    <row r="382" ht="14.25" customHeight="1">
      <c r="A382" s="371" t="inlineStr">
        <is>
          <t>Сыровяленые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71" t="n"/>
      <c r="Y382" s="371" t="n"/>
    </row>
    <row r="383" ht="27" customHeight="1">
      <c r="A383" s="64" t="inlineStr">
        <is>
          <t>SU003056</t>
        </is>
      </c>
      <c r="B383" s="64" t="inlineStr">
        <is>
          <t>P003622</t>
        </is>
      </c>
      <c r="C383" s="37" t="n">
        <v>4301170008</v>
      </c>
      <c r="D383" s="372" t="n">
        <v>4680115882980</v>
      </c>
      <c r="E383" s="636" t="n"/>
      <c r="F383" s="668" t="n">
        <v>0.13</v>
      </c>
      <c r="G383" s="38" t="n">
        <v>10</v>
      </c>
      <c r="H383" s="668" t="n">
        <v>1.3</v>
      </c>
      <c r="I383" s="668" t="n">
        <v>1.43</v>
      </c>
      <c r="J383" s="38" t="n">
        <v>320</v>
      </c>
      <c r="K383" s="39" t="inlineStr">
        <is>
          <t>ДК</t>
        </is>
      </c>
      <c r="L383" s="38" t="n">
        <v>150</v>
      </c>
      <c r="M383" s="886" t="inlineStr">
        <is>
          <t>с/в колбасы "Балыкбургская с мраморным балыком" ф/в 0,13 н/о ТМ "Баварушка"</t>
        </is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0</v>
      </c>
      <c r="V383" s="672">
        <f>IFERROR(IF(U383="",0,CEILING((U383/$H383),1)*$H383),"")</f>
        <v/>
      </c>
      <c r="W383" s="42">
        <f>IFERROR(IF(V383=0,"",ROUNDUP(V383/H383,0)*0.00266),"")</f>
        <v/>
      </c>
      <c r="X383" s="69" t="inlineStr"/>
      <c r="Y383" s="70" t="inlineStr">
        <is>
          <t>Новинка</t>
        </is>
      </c>
      <c r="AC383" s="282" t="inlineStr">
        <is>
          <t>КИ</t>
        </is>
      </c>
    </row>
    <row r="384">
      <c r="A384" s="380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3" t="n"/>
      <c r="M384" s="674" t="inlineStr">
        <is>
          <t>Итого</t>
        </is>
      </c>
      <c r="N384" s="644" t="n"/>
      <c r="O384" s="644" t="n"/>
      <c r="P384" s="644" t="n"/>
      <c r="Q384" s="644" t="n"/>
      <c r="R384" s="644" t="n"/>
      <c r="S384" s="645" t="n"/>
      <c r="T384" s="43" t="inlineStr">
        <is>
          <t>кор</t>
        </is>
      </c>
      <c r="U384" s="675">
        <f>IFERROR(U383/H383,"0")</f>
        <v/>
      </c>
      <c r="V384" s="675">
        <f>IFERROR(V383/H383,"0")</f>
        <v/>
      </c>
      <c r="W384" s="675">
        <f>IFERROR(IF(W383="",0,W383),"0")</f>
        <v/>
      </c>
      <c r="X384" s="676" t="n"/>
      <c r="Y384" s="676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73" t="n"/>
      <c r="M385" s="674" t="inlineStr">
        <is>
          <t>Итого</t>
        </is>
      </c>
      <c r="N385" s="644" t="n"/>
      <c r="O385" s="644" t="n"/>
      <c r="P385" s="644" t="n"/>
      <c r="Q385" s="644" t="n"/>
      <c r="R385" s="644" t="n"/>
      <c r="S385" s="645" t="n"/>
      <c r="T385" s="43" t="inlineStr">
        <is>
          <t>кг</t>
        </is>
      </c>
      <c r="U385" s="675">
        <f>IFERROR(SUM(U383:U383),"0")</f>
        <v/>
      </c>
      <c r="V385" s="675">
        <f>IFERROR(SUM(V383:V383),"0")</f>
        <v/>
      </c>
      <c r="W385" s="43" t="n"/>
      <c r="X385" s="676" t="n"/>
      <c r="Y385" s="676" t="n"/>
    </row>
    <row r="386" ht="27.75" customHeight="1">
      <c r="A386" s="369" t="inlineStr">
        <is>
          <t>Дугушка</t>
        </is>
      </c>
      <c r="B386" s="667" t="n"/>
      <c r="C386" s="667" t="n"/>
      <c r="D386" s="667" t="n"/>
      <c r="E386" s="667" t="n"/>
      <c r="F386" s="667" t="n"/>
      <c r="G386" s="667" t="n"/>
      <c r="H386" s="667" t="n"/>
      <c r="I386" s="667" t="n"/>
      <c r="J386" s="667" t="n"/>
      <c r="K386" s="667" t="n"/>
      <c r="L386" s="667" t="n"/>
      <c r="M386" s="667" t="n"/>
      <c r="N386" s="667" t="n"/>
      <c r="O386" s="667" t="n"/>
      <c r="P386" s="667" t="n"/>
      <c r="Q386" s="667" t="n"/>
      <c r="R386" s="667" t="n"/>
      <c r="S386" s="667" t="n"/>
      <c r="T386" s="667" t="n"/>
      <c r="U386" s="667" t="n"/>
      <c r="V386" s="667" t="n"/>
      <c r="W386" s="667" t="n"/>
      <c r="X386" s="55" t="n"/>
      <c r="Y386" s="55" t="n"/>
    </row>
    <row r="387" ht="16.5" customHeight="1">
      <c r="A387" s="370" t="inlineStr">
        <is>
          <t>Дугушка</t>
        </is>
      </c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370" t="n"/>
      <c r="Y387" s="370" t="n"/>
    </row>
    <row r="388" ht="14.25" customHeight="1">
      <c r="A388" s="371" t="inlineStr">
        <is>
          <t>Вареные колбасы</t>
        </is>
      </c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371" t="n"/>
      <c r="Y388" s="371" t="n"/>
    </row>
    <row r="389" ht="27" customHeight="1">
      <c r="A389" s="64" t="inlineStr">
        <is>
          <t>SU002011</t>
        </is>
      </c>
      <c r="B389" s="64" t="inlineStr">
        <is>
          <t>P002991</t>
        </is>
      </c>
      <c r="C389" s="37" t="n">
        <v>4301011371</v>
      </c>
      <c r="D389" s="372" t="n">
        <v>4607091389067</v>
      </c>
      <c r="E389" s="636" t="n"/>
      <c r="F389" s="668" t="n">
        <v>0.88</v>
      </c>
      <c r="G389" s="38" t="n">
        <v>6</v>
      </c>
      <c r="H389" s="668" t="n">
        <v>5.28</v>
      </c>
      <c r="I389" s="668" t="n">
        <v>5.64</v>
      </c>
      <c r="J389" s="38" t="n">
        <v>104</v>
      </c>
      <c r="K389" s="39" t="inlineStr">
        <is>
          <t>СК3</t>
        </is>
      </c>
      <c r="L389" s="38" t="n">
        <v>55</v>
      </c>
      <c r="M389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IFERROR(IF(V389=0,"",ROUNDUP(V389/H389,0)*0.01196),"")</f>
        <v/>
      </c>
      <c r="X389" s="69" t="inlineStr"/>
      <c r="Y389" s="70" t="inlineStr"/>
      <c r="AC389" s="283" t="inlineStr">
        <is>
          <t>КИ</t>
        </is>
      </c>
    </row>
    <row r="390" ht="27" customHeight="1">
      <c r="A390" s="64" t="inlineStr">
        <is>
          <t>SU002094</t>
        </is>
      </c>
      <c r="B390" s="64" t="inlineStr">
        <is>
          <t>P002975</t>
        </is>
      </c>
      <c r="C390" s="37" t="n">
        <v>4301011363</v>
      </c>
      <c r="D390" s="372" t="n">
        <v>4607091383522</v>
      </c>
      <c r="E390" s="636" t="n"/>
      <c r="F390" s="668" t="n">
        <v>0.88</v>
      </c>
      <c r="G390" s="38" t="n">
        <v>6</v>
      </c>
      <c r="H390" s="668" t="n">
        <v>5.28</v>
      </c>
      <c r="I390" s="668" t="n">
        <v>5.64</v>
      </c>
      <c r="J390" s="38" t="n">
        <v>104</v>
      </c>
      <c r="K390" s="39" t="inlineStr">
        <is>
          <t>СК1</t>
        </is>
      </c>
      <c r="L390" s="38" t="n">
        <v>55</v>
      </c>
      <c r="M390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90" s="670" t="n"/>
      <c r="O390" s="670" t="n"/>
      <c r="P390" s="670" t="n"/>
      <c r="Q390" s="636" t="n"/>
      <c r="R390" s="40" t="inlineStr"/>
      <c r="S390" s="40" t="inlineStr"/>
      <c r="T390" s="41" t="inlineStr">
        <is>
          <t>кг</t>
        </is>
      </c>
      <c r="U390" s="671" t="n">
        <v>0</v>
      </c>
      <c r="V390" s="672">
        <f>IFERROR(IF(U390="",0,CEILING((U390/$H390),1)*$H390),"")</f>
        <v/>
      </c>
      <c r="W390" s="42">
        <f>IFERROR(IF(V390=0,"",ROUNDUP(V390/H390,0)*0.01196),"")</f>
        <v/>
      </c>
      <c r="X390" s="69" t="inlineStr"/>
      <c r="Y390" s="70" t="inlineStr"/>
      <c r="AC390" s="284" t="inlineStr">
        <is>
          <t>КИ</t>
        </is>
      </c>
    </row>
    <row r="391" ht="27" customHeight="1">
      <c r="A391" s="64" t="inlineStr">
        <is>
          <t>SU002182</t>
        </is>
      </c>
      <c r="B391" s="64" t="inlineStr">
        <is>
          <t>P002990</t>
        </is>
      </c>
      <c r="C391" s="37" t="n">
        <v>4301011431</v>
      </c>
      <c r="D391" s="372" t="n">
        <v>4607091384437</v>
      </c>
      <c r="E391" s="636" t="n"/>
      <c r="F391" s="668" t="n">
        <v>0.88</v>
      </c>
      <c r="G391" s="38" t="n">
        <v>6</v>
      </c>
      <c r="H391" s="668" t="n">
        <v>5.28</v>
      </c>
      <c r="I391" s="668" t="n">
        <v>5.64</v>
      </c>
      <c r="J391" s="38" t="n">
        <v>104</v>
      </c>
      <c r="K391" s="39" t="inlineStr">
        <is>
          <t>СК1</t>
        </is>
      </c>
      <c r="L391" s="38" t="n">
        <v>50</v>
      </c>
      <c r="M391" s="889" t="inlineStr">
        <is>
          <t>Вареные колбасы Дугушка со шпиком Дугушка Весовые Вектор Дугушка</t>
        </is>
      </c>
      <c r="N391" s="670" t="n"/>
      <c r="O391" s="670" t="n"/>
      <c r="P391" s="670" t="n"/>
      <c r="Q391" s="636" t="n"/>
      <c r="R391" s="40" t="inlineStr"/>
      <c r="S391" s="40" t="inlineStr"/>
      <c r="T391" s="41" t="inlineStr">
        <is>
          <t>кг</t>
        </is>
      </c>
      <c r="U391" s="671" t="n">
        <v>0</v>
      </c>
      <c r="V391" s="672">
        <f>IFERROR(IF(U391="",0,CEILING((U391/$H391),1)*$H391),"")</f>
        <v/>
      </c>
      <c r="W391" s="42">
        <f>IFERROR(IF(V391=0,"",ROUNDUP(V391/H391,0)*0.01196),"")</f>
        <v/>
      </c>
      <c r="X391" s="69" t="inlineStr"/>
      <c r="Y391" s="70" t="inlineStr"/>
      <c r="AC391" s="285" t="inlineStr">
        <is>
          <t>КИ</t>
        </is>
      </c>
    </row>
    <row r="392" ht="27" customHeight="1">
      <c r="A392" s="64" t="inlineStr">
        <is>
          <t>SU002010</t>
        </is>
      </c>
      <c r="B392" s="64" t="inlineStr">
        <is>
          <t>P002979</t>
        </is>
      </c>
      <c r="C392" s="37" t="n">
        <v>4301011365</v>
      </c>
      <c r="D392" s="372" t="n">
        <v>4607091389104</v>
      </c>
      <c r="E392" s="636" t="n"/>
      <c r="F392" s="668" t="n">
        <v>0.88</v>
      </c>
      <c r="G392" s="38" t="n">
        <v>6</v>
      </c>
      <c r="H392" s="668" t="n">
        <v>5.28</v>
      </c>
      <c r="I392" s="668" t="n">
        <v>5.64</v>
      </c>
      <c r="J392" s="38" t="n">
        <v>104</v>
      </c>
      <c r="K392" s="39" t="inlineStr">
        <is>
          <t>СК1</t>
        </is>
      </c>
      <c r="L392" s="38" t="n">
        <v>55</v>
      </c>
      <c r="M392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92" s="670" t="n"/>
      <c r="O392" s="670" t="n"/>
      <c r="P392" s="670" t="n"/>
      <c r="Q392" s="636" t="n"/>
      <c r="R392" s="40" t="inlineStr"/>
      <c r="S392" s="40" t="inlineStr"/>
      <c r="T392" s="41" t="inlineStr">
        <is>
          <t>кг</t>
        </is>
      </c>
      <c r="U392" s="671" t="n">
        <v>300</v>
      </c>
      <c r="V392" s="672">
        <f>IFERROR(IF(U392="",0,CEILING((U392/$H392),1)*$H392),"")</f>
        <v/>
      </c>
      <c r="W392" s="42">
        <f>IFERROR(IF(V392=0,"",ROUNDUP(V392/H392,0)*0.01196),"")</f>
        <v/>
      </c>
      <c r="X392" s="69" t="inlineStr"/>
      <c r="Y392" s="70" t="inlineStr"/>
      <c r="AC392" s="286" t="inlineStr">
        <is>
          <t>КИ</t>
        </is>
      </c>
    </row>
    <row r="393" ht="27" customHeight="1">
      <c r="A393" s="64" t="inlineStr">
        <is>
          <t>SU002019</t>
        </is>
      </c>
      <c r="B393" s="64" t="inlineStr">
        <is>
          <t>P002306</t>
        </is>
      </c>
      <c r="C393" s="37" t="n">
        <v>4301011142</v>
      </c>
      <c r="D393" s="372" t="n">
        <v>4607091389036</v>
      </c>
      <c r="E393" s="636" t="n"/>
      <c r="F393" s="668" t="n">
        <v>0.4</v>
      </c>
      <c r="G393" s="38" t="n">
        <v>6</v>
      </c>
      <c r="H393" s="668" t="n">
        <v>2.4</v>
      </c>
      <c r="I393" s="668" t="n">
        <v>2.6</v>
      </c>
      <c r="J393" s="38" t="n">
        <v>156</v>
      </c>
      <c r="K393" s="39" t="inlineStr">
        <is>
          <t>СК3</t>
        </is>
      </c>
      <c r="L393" s="38" t="n">
        <v>50</v>
      </c>
      <c r="M393" s="891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IFERROR(IF(V393=0,"",ROUNDUP(V393/H393,0)*0.00753),"")</f>
        <v/>
      </c>
      <c r="X393" s="69" t="inlineStr"/>
      <c r="Y393" s="70" t="inlineStr"/>
      <c r="AC393" s="287" t="inlineStr">
        <is>
          <t>КИ</t>
        </is>
      </c>
    </row>
    <row r="394" ht="27" customHeight="1">
      <c r="A394" s="64" t="inlineStr">
        <is>
          <t>SU002632</t>
        </is>
      </c>
      <c r="B394" s="64" t="inlineStr">
        <is>
          <t>P002982</t>
        </is>
      </c>
      <c r="C394" s="37" t="n">
        <v>4301011367</v>
      </c>
      <c r="D394" s="372" t="n">
        <v>4680115880603</v>
      </c>
      <c r="E394" s="636" t="n"/>
      <c r="F394" s="668" t="n">
        <v>0.6</v>
      </c>
      <c r="G394" s="38" t="n">
        <v>6</v>
      </c>
      <c r="H394" s="668" t="n">
        <v>3.6</v>
      </c>
      <c r="I394" s="668" t="n">
        <v>3.84</v>
      </c>
      <c r="J394" s="38" t="n">
        <v>120</v>
      </c>
      <c r="K394" s="39" t="inlineStr">
        <is>
          <t>СК1</t>
        </is>
      </c>
      <c r="L394" s="38" t="n">
        <v>55</v>
      </c>
      <c r="M394" s="892" t="inlineStr">
        <is>
          <t>Вареные колбасы "Докторская ГОСТ" Фикс.вес 0,6 Вектор ТМ "Дугушка"</t>
        </is>
      </c>
      <c r="N394" s="670" t="n"/>
      <c r="O394" s="670" t="n"/>
      <c r="P394" s="670" t="n"/>
      <c r="Q394" s="636" t="n"/>
      <c r="R394" s="40" t="inlineStr"/>
      <c r="S394" s="40" t="inlineStr"/>
      <c r="T394" s="41" t="inlineStr">
        <is>
          <t>кг</t>
        </is>
      </c>
      <c r="U394" s="671" t="n">
        <v>0</v>
      </c>
      <c r="V394" s="672">
        <f>IFERROR(IF(U394="",0,CEILING((U394/$H394),1)*$H394),"")</f>
        <v/>
      </c>
      <c r="W394" s="42">
        <f>IFERROR(IF(V394=0,"",ROUNDUP(V394/H394,0)*0.00937),"")</f>
        <v/>
      </c>
      <c r="X394" s="69" t="inlineStr"/>
      <c r="Y394" s="70" t="inlineStr"/>
      <c r="AC394" s="288" t="inlineStr">
        <is>
          <t>КИ</t>
        </is>
      </c>
    </row>
    <row r="395" ht="27" customHeight="1">
      <c r="A395" s="64" t="inlineStr">
        <is>
          <t>SU002220</t>
        </is>
      </c>
      <c r="B395" s="64" t="inlineStr">
        <is>
          <t>P002404</t>
        </is>
      </c>
      <c r="C395" s="37" t="n">
        <v>4301011168</v>
      </c>
      <c r="D395" s="372" t="n">
        <v>4607091389999</v>
      </c>
      <c r="E395" s="636" t="n"/>
      <c r="F395" s="668" t="n">
        <v>0.6</v>
      </c>
      <c r="G395" s="38" t="n">
        <v>6</v>
      </c>
      <c r="H395" s="668" t="n">
        <v>3.6</v>
      </c>
      <c r="I395" s="668" t="n">
        <v>3.84</v>
      </c>
      <c r="J395" s="38" t="n">
        <v>120</v>
      </c>
      <c r="K395" s="39" t="inlineStr">
        <is>
          <t>СК1</t>
        </is>
      </c>
      <c r="L395" s="38" t="n">
        <v>55</v>
      </c>
      <c r="M395" s="893" t="inlineStr">
        <is>
          <t>Вареные колбасы "Докторская Дугушка" Фикс.вес 0,6 П/а ТМ "Дугушка"</t>
        </is>
      </c>
      <c r="N395" s="670" t="n"/>
      <c r="O395" s="670" t="n"/>
      <c r="P395" s="670" t="n"/>
      <c r="Q395" s="636" t="n"/>
      <c r="R395" s="40" t="inlineStr"/>
      <c r="S395" s="40" t="inlineStr"/>
      <c r="T395" s="41" t="inlineStr">
        <is>
          <t>кг</t>
        </is>
      </c>
      <c r="U395" s="671" t="n">
        <v>0</v>
      </c>
      <c r="V395" s="672">
        <f>IFERROR(IF(U395="",0,CEILING((U395/$H395),1)*$H395),"")</f>
        <v/>
      </c>
      <c r="W395" s="42">
        <f>IFERROR(IF(V395=0,"",ROUNDUP(V395/H395,0)*0.00937),"")</f>
        <v/>
      </c>
      <c r="X395" s="69" t="inlineStr"/>
      <c r="Y395" s="70" t="inlineStr"/>
      <c r="AC395" s="289" t="inlineStr">
        <is>
          <t>КИ</t>
        </is>
      </c>
    </row>
    <row r="396" ht="27" customHeight="1">
      <c r="A396" s="64" t="inlineStr">
        <is>
          <t>SU002635</t>
        </is>
      </c>
      <c r="B396" s="64" t="inlineStr">
        <is>
          <t>P002992</t>
        </is>
      </c>
      <c r="C396" s="37" t="n">
        <v>4301011372</v>
      </c>
      <c r="D396" s="372" t="n">
        <v>4680115882782</v>
      </c>
      <c r="E396" s="636" t="n"/>
      <c r="F396" s="668" t="n">
        <v>0.6</v>
      </c>
      <c r="G396" s="38" t="n">
        <v>6</v>
      </c>
      <c r="H396" s="668" t="n">
        <v>3.6</v>
      </c>
      <c r="I396" s="668" t="n">
        <v>3.84</v>
      </c>
      <c r="J396" s="38" t="n">
        <v>120</v>
      </c>
      <c r="K396" s="39" t="inlineStr">
        <is>
          <t>СК1</t>
        </is>
      </c>
      <c r="L396" s="38" t="n">
        <v>50</v>
      </c>
      <c r="M396" s="894" t="inlineStr">
        <is>
          <t>Вареные колбасы "Дугушка со шпиком" Фикс.вес 0,6 П/а ТМ "Дугушка"</t>
        </is>
      </c>
      <c r="N396" s="670" t="n"/>
      <c r="O396" s="670" t="n"/>
      <c r="P396" s="670" t="n"/>
      <c r="Q396" s="636" t="n"/>
      <c r="R396" s="40" t="inlineStr"/>
      <c r="S396" s="40" t="inlineStr"/>
      <c r="T396" s="41" t="inlineStr">
        <is>
          <t>кг</t>
        </is>
      </c>
      <c r="U396" s="671" t="n">
        <v>0</v>
      </c>
      <c r="V396" s="672">
        <f>IFERROR(IF(U396="",0,CEILING((U396/$H396),1)*$H396),"")</f>
        <v/>
      </c>
      <c r="W396" s="42">
        <f>IFERROR(IF(V396=0,"",ROUNDUP(V396/H396,0)*0.00937),"")</f>
        <v/>
      </c>
      <c r="X396" s="69" t="inlineStr"/>
      <c r="Y396" s="70" t="inlineStr"/>
      <c r="AC396" s="290" t="inlineStr">
        <is>
          <t>КИ</t>
        </is>
      </c>
    </row>
    <row r="397" ht="27" customHeight="1">
      <c r="A397" s="64" t="inlineStr">
        <is>
          <t>SU002020</t>
        </is>
      </c>
      <c r="B397" s="64" t="inlineStr">
        <is>
          <t>P002308</t>
        </is>
      </c>
      <c r="C397" s="37" t="n">
        <v>4301011190</v>
      </c>
      <c r="D397" s="372" t="n">
        <v>4607091389098</v>
      </c>
      <c r="E397" s="636" t="n"/>
      <c r="F397" s="668" t="n">
        <v>0.4</v>
      </c>
      <c r="G397" s="38" t="n">
        <v>6</v>
      </c>
      <c r="H397" s="668" t="n">
        <v>2.4</v>
      </c>
      <c r="I397" s="668" t="n">
        <v>2.6</v>
      </c>
      <c r="J397" s="38" t="n">
        <v>156</v>
      </c>
      <c r="K397" s="39" t="inlineStr">
        <is>
          <t>СК3</t>
        </is>
      </c>
      <c r="L397" s="38" t="n">
        <v>50</v>
      </c>
      <c r="M397" s="89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IFERROR(IF(V397=0,"",ROUNDUP(V397/H397,0)*0.00753),"")</f>
        <v/>
      </c>
      <c r="X397" s="69" t="inlineStr"/>
      <c r="Y397" s="70" t="inlineStr"/>
      <c r="AC397" s="291" t="inlineStr">
        <is>
          <t>КИ</t>
        </is>
      </c>
    </row>
    <row r="398" ht="27" customHeight="1">
      <c r="A398" s="64" t="inlineStr">
        <is>
          <t>SU002631</t>
        </is>
      </c>
      <c r="B398" s="64" t="inlineStr">
        <is>
          <t>P002981</t>
        </is>
      </c>
      <c r="C398" s="37" t="n">
        <v>4301011366</v>
      </c>
      <c r="D398" s="372" t="n">
        <v>4607091389982</v>
      </c>
      <c r="E398" s="636" t="n"/>
      <c r="F398" s="668" t="n">
        <v>0.6</v>
      </c>
      <c r="G398" s="38" t="n">
        <v>6</v>
      </c>
      <c r="H398" s="668" t="n">
        <v>3.6</v>
      </c>
      <c r="I398" s="668" t="n">
        <v>3.84</v>
      </c>
      <c r="J398" s="38" t="n">
        <v>120</v>
      </c>
      <c r="K398" s="39" t="inlineStr">
        <is>
          <t>СК1</t>
        </is>
      </c>
      <c r="L398" s="38" t="n">
        <v>55</v>
      </c>
      <c r="M398" s="896" t="inlineStr">
        <is>
          <t>Вареные колбасы "Молочная Дугушка" Фикс.вес 0,6 П/а ТМ "Дугушка"</t>
        </is>
      </c>
      <c r="N398" s="670" t="n"/>
      <c r="O398" s="670" t="n"/>
      <c r="P398" s="670" t="n"/>
      <c r="Q398" s="636" t="n"/>
      <c r="R398" s="40" t="inlineStr"/>
      <c r="S398" s="40" t="inlineStr"/>
      <c r="T398" s="41" t="inlineStr">
        <is>
          <t>кг</t>
        </is>
      </c>
      <c r="U398" s="671" t="n">
        <v>0</v>
      </c>
      <c r="V398" s="672">
        <f>IFERROR(IF(U398="",0,CEILING((U398/$H398),1)*$H398),"")</f>
        <v/>
      </c>
      <c r="W398" s="42">
        <f>IFERROR(IF(V398=0,"",ROUNDUP(V398/H398,0)*0.00937),"")</f>
        <v/>
      </c>
      <c r="X398" s="69" t="inlineStr"/>
      <c r="Y398" s="70" t="inlineStr"/>
      <c r="AC398" s="292" t="inlineStr">
        <is>
          <t>КИ</t>
        </is>
      </c>
    </row>
    <row r="399">
      <c r="A399" s="380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кор</t>
        </is>
      </c>
      <c r="U399" s="675">
        <f>IFERROR(U389/H389,"0")+IFERROR(U390/H390,"0")+IFERROR(U391/H391,"0")+IFERROR(U392/H392,"0")+IFERROR(U393/H393,"0")+IFERROR(U394/H394,"0")+IFERROR(U395/H395,"0")+IFERROR(U396/H396,"0")+IFERROR(U397/H397,"0")+IFERROR(U398/H398,"0")</f>
        <v/>
      </c>
      <c r="V399" s="675">
        <f>IFERROR(V389/H389,"0")+IFERROR(V390/H390,"0")+IFERROR(V391/H391,"0")+IFERROR(V392/H392,"0")+IFERROR(V393/H393,"0")+IFERROR(V394/H394,"0")+IFERROR(V395/H395,"0")+IFERROR(V396/H396,"0")+IFERROR(V397/H397,"0")+IFERROR(V398/H398,"0")</f>
        <v/>
      </c>
      <c r="W399" s="675">
        <f>IFERROR(IF(W389="",0,W389),"0")+IFERROR(IF(W390="",0,W390),"0")+IFERROR(IF(W391="",0,W391),"0")+IFERROR(IF(W392="",0,W392),"0")+IFERROR(IF(W393="",0,W393),"0")+IFERROR(IF(W394="",0,W394),"0")+IFERROR(IF(W395="",0,W395),"0")+IFERROR(IF(W396="",0,W396),"0")+IFERROR(IF(W397="",0,W397),"0")+IFERROR(IF(W398="",0,W398),"0")</f>
        <v/>
      </c>
      <c r="X399" s="676" t="n"/>
      <c r="Y399" s="676" t="n"/>
    </row>
    <row r="40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73" t="n"/>
      <c r="M400" s="674" t="inlineStr">
        <is>
          <t>Итого</t>
        </is>
      </c>
      <c r="N400" s="644" t="n"/>
      <c r="O400" s="644" t="n"/>
      <c r="P400" s="644" t="n"/>
      <c r="Q400" s="644" t="n"/>
      <c r="R400" s="644" t="n"/>
      <c r="S400" s="645" t="n"/>
      <c r="T400" s="43" t="inlineStr">
        <is>
          <t>кг</t>
        </is>
      </c>
      <c r="U400" s="675">
        <f>IFERROR(SUM(U389:U398),"0")</f>
        <v/>
      </c>
      <c r="V400" s="675">
        <f>IFERROR(SUM(V389:V398),"0")</f>
        <v/>
      </c>
      <c r="W400" s="43" t="n"/>
      <c r="X400" s="676" t="n"/>
      <c r="Y400" s="676" t="n"/>
    </row>
    <row r="401" ht="14.25" customHeight="1">
      <c r="A401" s="371" t="inlineStr">
        <is>
          <t>Ветчины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71" t="n"/>
      <c r="Y401" s="371" t="n"/>
    </row>
    <row r="402" ht="16.5" customHeight="1">
      <c r="A402" s="64" t="inlineStr">
        <is>
          <t>SU002035</t>
        </is>
      </c>
      <c r="B402" s="64" t="inlineStr">
        <is>
          <t>P003146</t>
        </is>
      </c>
      <c r="C402" s="37" t="n">
        <v>4301020222</v>
      </c>
      <c r="D402" s="372" t="n">
        <v>4607091388930</v>
      </c>
      <c r="E402" s="636" t="n"/>
      <c r="F402" s="668" t="n">
        <v>0.88</v>
      </c>
      <c r="G402" s="38" t="n">
        <v>6</v>
      </c>
      <c r="H402" s="668" t="n">
        <v>5.28</v>
      </c>
      <c r="I402" s="668" t="n">
        <v>5.64</v>
      </c>
      <c r="J402" s="38" t="n">
        <v>104</v>
      </c>
      <c r="K402" s="39" t="inlineStr">
        <is>
          <t>СК1</t>
        </is>
      </c>
      <c r="L402" s="38" t="n">
        <v>55</v>
      </c>
      <c r="M402" s="897">
        <f>HYPERLINK("https://abi.ru/products/Охлажденные/Дугушка/Дугушка/Ветчины/P003146/","Ветчины Дугушка Дугушка Вес б/о Дугушка")</f>
        <v/>
      </c>
      <c r="N402" s="670" t="n"/>
      <c r="O402" s="670" t="n"/>
      <c r="P402" s="670" t="n"/>
      <c r="Q402" s="636" t="n"/>
      <c r="R402" s="40" t="inlineStr"/>
      <c r="S402" s="40" t="inlineStr"/>
      <c r="T402" s="41" t="inlineStr">
        <is>
          <t>кг</t>
        </is>
      </c>
      <c r="U402" s="671" t="n">
        <v>0</v>
      </c>
      <c r="V402" s="672">
        <f>IFERROR(IF(U402="",0,CEILING((U402/$H402),1)*$H402),"")</f>
        <v/>
      </c>
      <c r="W402" s="42">
        <f>IFERROR(IF(V402=0,"",ROUNDUP(V402/H402,0)*0.01196),"")</f>
        <v/>
      </c>
      <c r="X402" s="69" t="inlineStr"/>
      <c r="Y402" s="70" t="inlineStr"/>
      <c r="AC402" s="293" t="inlineStr">
        <is>
          <t>КИ</t>
        </is>
      </c>
    </row>
    <row r="403" ht="16.5" customHeight="1">
      <c r="A403" s="64" t="inlineStr">
        <is>
          <t>SU002643</t>
        </is>
      </c>
      <c r="B403" s="64" t="inlineStr">
        <is>
          <t>P002993</t>
        </is>
      </c>
      <c r="C403" s="37" t="n">
        <v>4301020206</v>
      </c>
      <c r="D403" s="372" t="n">
        <v>4680115880054</v>
      </c>
      <c r="E403" s="636" t="n"/>
      <c r="F403" s="668" t="n">
        <v>0.6</v>
      </c>
      <c r="G403" s="38" t="n">
        <v>6</v>
      </c>
      <c r="H403" s="668" t="n">
        <v>3.6</v>
      </c>
      <c r="I403" s="668" t="n">
        <v>3.84</v>
      </c>
      <c r="J403" s="38" t="n">
        <v>120</v>
      </c>
      <c r="K403" s="39" t="inlineStr">
        <is>
          <t>СК1</t>
        </is>
      </c>
      <c r="L403" s="38" t="n">
        <v>55</v>
      </c>
      <c r="M403" s="898" t="inlineStr">
        <is>
          <t>Ветчины "Дугушка" Фикс.вес 0,6 П/а ТМ "Дугушка"</t>
        </is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IFERROR(IF(V403=0,"",ROUNDUP(V403/H403,0)*0.00937),"")</f>
        <v/>
      </c>
      <c r="X403" s="69" t="inlineStr"/>
      <c r="Y403" s="70" t="inlineStr"/>
      <c r="AC403" s="294" t="inlineStr">
        <is>
          <t>КИ</t>
        </is>
      </c>
    </row>
    <row r="404">
      <c r="A404" s="380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673" t="n"/>
      <c r="M404" s="674" t="inlineStr">
        <is>
          <t>Итого</t>
        </is>
      </c>
      <c r="N404" s="644" t="n"/>
      <c r="O404" s="644" t="n"/>
      <c r="P404" s="644" t="n"/>
      <c r="Q404" s="644" t="n"/>
      <c r="R404" s="644" t="n"/>
      <c r="S404" s="645" t="n"/>
      <c r="T404" s="43" t="inlineStr">
        <is>
          <t>кор</t>
        </is>
      </c>
      <c r="U404" s="675">
        <f>IFERROR(U402/H402,"0")+IFERROR(U403/H403,"0")</f>
        <v/>
      </c>
      <c r="V404" s="675">
        <f>IFERROR(V402/H402,"0")+IFERROR(V403/H403,"0")</f>
        <v/>
      </c>
      <c r="W404" s="675">
        <f>IFERROR(IF(W402="",0,W402),"0")+IFERROR(IF(W403="",0,W403),"0")</f>
        <v/>
      </c>
      <c r="X404" s="676" t="n"/>
      <c r="Y404" s="676" t="n"/>
    </row>
    <row r="405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73" t="n"/>
      <c r="M405" s="674" t="inlineStr">
        <is>
          <t>Итого</t>
        </is>
      </c>
      <c r="N405" s="644" t="n"/>
      <c r="O405" s="644" t="n"/>
      <c r="P405" s="644" t="n"/>
      <c r="Q405" s="644" t="n"/>
      <c r="R405" s="644" t="n"/>
      <c r="S405" s="645" t="n"/>
      <c r="T405" s="43" t="inlineStr">
        <is>
          <t>кг</t>
        </is>
      </c>
      <c r="U405" s="675">
        <f>IFERROR(SUM(U402:U403),"0")</f>
        <v/>
      </c>
      <c r="V405" s="675">
        <f>IFERROR(SUM(V402:V403),"0")</f>
        <v/>
      </c>
      <c r="W405" s="43" t="n"/>
      <c r="X405" s="676" t="n"/>
      <c r="Y405" s="676" t="n"/>
    </row>
    <row r="406" ht="14.25" customHeight="1">
      <c r="A406" s="371" t="inlineStr">
        <is>
          <t>Копченые колбасы</t>
        </is>
      </c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371" t="n"/>
      <c r="Y406" s="371" t="n"/>
    </row>
    <row r="407" ht="27" customHeight="1">
      <c r="A407" s="64" t="inlineStr">
        <is>
          <t>SU002150</t>
        </is>
      </c>
      <c r="B407" s="64" t="inlineStr">
        <is>
          <t>P003249</t>
        </is>
      </c>
      <c r="C407" s="37" t="n">
        <v>4301031198</v>
      </c>
      <c r="D407" s="372" t="n">
        <v>4607091383348</v>
      </c>
      <c r="E407" s="636" t="n"/>
      <c r="F407" s="668" t="n">
        <v>0.88</v>
      </c>
      <c r="G407" s="38" t="n">
        <v>6</v>
      </c>
      <c r="H407" s="668" t="n">
        <v>5.28</v>
      </c>
      <c r="I407" s="668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99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295" t="inlineStr">
        <is>
          <t>КИ</t>
        </is>
      </c>
    </row>
    <row r="408" ht="27" customHeight="1">
      <c r="A408" s="64" t="inlineStr">
        <is>
          <t>SU002158</t>
        </is>
      </c>
      <c r="B408" s="64" t="inlineStr">
        <is>
          <t>P003152</t>
        </is>
      </c>
      <c r="C408" s="37" t="n">
        <v>4301031188</v>
      </c>
      <c r="D408" s="372" t="n">
        <v>4607091383386</v>
      </c>
      <c r="E408" s="636" t="n"/>
      <c r="F408" s="668" t="n">
        <v>0.88</v>
      </c>
      <c r="G408" s="38" t="n">
        <v>6</v>
      </c>
      <c r="H408" s="668" t="n">
        <v>5.28</v>
      </c>
      <c r="I408" s="668" t="n">
        <v>5.64</v>
      </c>
      <c r="J408" s="38" t="n">
        <v>104</v>
      </c>
      <c r="K408" s="39" t="inlineStr">
        <is>
          <t>СК2</t>
        </is>
      </c>
      <c r="L408" s="38" t="n">
        <v>55</v>
      </c>
      <c r="M408" s="900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296" t="inlineStr">
        <is>
          <t>КИ</t>
        </is>
      </c>
    </row>
    <row r="409" ht="27" customHeight="1">
      <c r="A409" s="64" t="inlineStr">
        <is>
          <t>SU002151</t>
        </is>
      </c>
      <c r="B409" s="64" t="inlineStr">
        <is>
          <t>P003153</t>
        </is>
      </c>
      <c r="C409" s="37" t="n">
        <v>4301031189</v>
      </c>
      <c r="D409" s="372" t="n">
        <v>4607091383355</v>
      </c>
      <c r="E409" s="636" t="n"/>
      <c r="F409" s="668" t="n">
        <v>0.88</v>
      </c>
      <c r="G409" s="38" t="n">
        <v>6</v>
      </c>
      <c r="H409" s="668" t="n">
        <v>5.28</v>
      </c>
      <c r="I409" s="668" t="n">
        <v>5.64</v>
      </c>
      <c r="J409" s="38" t="n">
        <v>104</v>
      </c>
      <c r="K409" s="39" t="inlineStr">
        <is>
          <t>СК2</t>
        </is>
      </c>
      <c r="L409" s="38" t="n">
        <v>55</v>
      </c>
      <c r="M409" s="901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297" t="inlineStr">
        <is>
          <t>КИ</t>
        </is>
      </c>
    </row>
    <row r="410" ht="27" customHeight="1">
      <c r="A410" s="64" t="inlineStr">
        <is>
          <t>SU002916</t>
        </is>
      </c>
      <c r="B410" s="64" t="inlineStr">
        <is>
          <t>P003342</t>
        </is>
      </c>
      <c r="C410" s="37" t="n">
        <v>4301031214</v>
      </c>
      <c r="D410" s="372" t="n">
        <v>4680115882072</v>
      </c>
      <c r="E410" s="636" t="n"/>
      <c r="F410" s="668" t="n">
        <v>0.6</v>
      </c>
      <c r="G410" s="38" t="n">
        <v>6</v>
      </c>
      <c r="H410" s="668" t="n">
        <v>3.6</v>
      </c>
      <c r="I410" s="668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902" t="inlineStr">
        <is>
          <t>В/к колбасы "Рубленая Запеченная" Фикс.вес 0,6 Вектор ТМ "Дугушка"</t>
        </is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298" t="inlineStr">
        <is>
          <t>КИ</t>
        </is>
      </c>
    </row>
    <row r="411" ht="27" customHeight="1">
      <c r="A411" s="64" t="inlineStr">
        <is>
          <t>SU002919</t>
        </is>
      </c>
      <c r="B411" s="64" t="inlineStr">
        <is>
          <t>P003345</t>
        </is>
      </c>
      <c r="C411" s="37" t="n">
        <v>4301031217</v>
      </c>
      <c r="D411" s="372" t="n">
        <v>4680115882102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3.81</v>
      </c>
      <c r="J411" s="38" t="n">
        <v>120</v>
      </c>
      <c r="K411" s="39" t="inlineStr">
        <is>
          <t>СК2</t>
        </is>
      </c>
      <c r="L411" s="38" t="n">
        <v>55</v>
      </c>
      <c r="M411" s="903" t="inlineStr">
        <is>
          <t>В/к колбасы "Салями Запеченая" Фикс.вес 0,6 Вектор ТМ "Дугушка"</t>
        </is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299" t="inlineStr">
        <is>
          <t>КИ</t>
        </is>
      </c>
    </row>
    <row r="412" ht="27" customHeight="1">
      <c r="A412" s="64" t="inlineStr">
        <is>
          <t>SU002918</t>
        </is>
      </c>
      <c r="B412" s="64" t="inlineStr">
        <is>
          <t>P003344</t>
        </is>
      </c>
      <c r="C412" s="37" t="n">
        <v>4301031216</v>
      </c>
      <c r="D412" s="372" t="n">
        <v>4680115882096</v>
      </c>
      <c r="E412" s="636" t="n"/>
      <c r="F412" s="668" t="n">
        <v>0.6</v>
      </c>
      <c r="G412" s="38" t="n">
        <v>6</v>
      </c>
      <c r="H412" s="668" t="n">
        <v>3.6</v>
      </c>
      <c r="I412" s="668" t="n">
        <v>3.81</v>
      </c>
      <c r="J412" s="38" t="n">
        <v>120</v>
      </c>
      <c r="K412" s="39" t="inlineStr">
        <is>
          <t>СК2</t>
        </is>
      </c>
      <c r="L412" s="38" t="n">
        <v>55</v>
      </c>
      <c r="M412" s="904" t="inlineStr">
        <is>
          <t>В/к колбасы "Сервелат Запеченный" Фикс.вес 0,6 Вектор ТМ "Дугушка"</t>
        </is>
      </c>
      <c r="N412" s="670" t="n"/>
      <c r="O412" s="670" t="n"/>
      <c r="P412" s="670" t="n"/>
      <c r="Q412" s="636" t="n"/>
      <c r="R412" s="40" t="inlineStr"/>
      <c r="S412" s="40" t="inlineStr"/>
      <c r="T412" s="41" t="inlineStr">
        <is>
          <t>кг</t>
        </is>
      </c>
      <c r="U412" s="671" t="n">
        <v>0</v>
      </c>
      <c r="V412" s="672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300" t="inlineStr">
        <is>
          <t>КИ</t>
        </is>
      </c>
    </row>
    <row r="413">
      <c r="A413" s="380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кор</t>
        </is>
      </c>
      <c r="U413" s="675">
        <f>IFERROR(U407/H407,"0")+IFERROR(U408/H408,"0")+IFERROR(U409/H409,"0")+IFERROR(U410/H410,"0")+IFERROR(U411/H411,"0")+IFERROR(U412/H412,"0")</f>
        <v/>
      </c>
      <c r="V413" s="675">
        <f>IFERROR(V407/H407,"0")+IFERROR(V408/H408,"0")+IFERROR(V409/H409,"0")+IFERROR(V410/H410,"0")+IFERROR(V411/H411,"0")+IFERROR(V412/H412,"0")</f>
        <v/>
      </c>
      <c r="W413" s="675">
        <f>IFERROR(IF(W407="",0,W407),"0")+IFERROR(IF(W408="",0,W408),"0")+IFERROR(IF(W409="",0,W409),"0")+IFERROR(IF(W410="",0,W410),"0")+IFERROR(IF(W411="",0,W411),"0")+IFERROR(IF(W412="",0,W412),"0")</f>
        <v/>
      </c>
      <c r="X413" s="676" t="n"/>
      <c r="Y413" s="676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673" t="n"/>
      <c r="M414" s="674" t="inlineStr">
        <is>
          <t>Итого</t>
        </is>
      </c>
      <c r="N414" s="644" t="n"/>
      <c r="O414" s="644" t="n"/>
      <c r="P414" s="644" t="n"/>
      <c r="Q414" s="644" t="n"/>
      <c r="R414" s="644" t="n"/>
      <c r="S414" s="645" t="n"/>
      <c r="T414" s="43" t="inlineStr">
        <is>
          <t>кг</t>
        </is>
      </c>
      <c r="U414" s="675">
        <f>IFERROR(SUM(U407:U412),"0")</f>
        <v/>
      </c>
      <c r="V414" s="675">
        <f>IFERROR(SUM(V407:V412),"0")</f>
        <v/>
      </c>
      <c r="W414" s="43" t="n"/>
      <c r="X414" s="676" t="n"/>
      <c r="Y414" s="676" t="n"/>
    </row>
    <row r="415" ht="14.25" customHeight="1">
      <c r="A415" s="371" t="inlineStr">
        <is>
          <t>Сосиски</t>
        </is>
      </c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371" t="n"/>
      <c r="Y415" s="371" t="n"/>
    </row>
    <row r="416" ht="16.5" customHeight="1">
      <c r="A416" s="64" t="inlineStr">
        <is>
          <t>SU002218</t>
        </is>
      </c>
      <c r="B416" s="64" t="inlineStr">
        <is>
          <t>P002854</t>
        </is>
      </c>
      <c r="C416" s="37" t="n">
        <v>4301051230</v>
      </c>
      <c r="D416" s="372" t="n">
        <v>4607091383409</v>
      </c>
      <c r="E416" s="636" t="n"/>
      <c r="F416" s="668" t="n">
        <v>1.3</v>
      </c>
      <c r="G416" s="38" t="n">
        <v>6</v>
      </c>
      <c r="H416" s="668" t="n">
        <v>7.8</v>
      </c>
      <c r="I416" s="668" t="n">
        <v>8.346</v>
      </c>
      <c r="J416" s="38" t="n">
        <v>56</v>
      </c>
      <c r="K416" s="39" t="inlineStr">
        <is>
          <t>СК2</t>
        </is>
      </c>
      <c r="L416" s="38" t="n">
        <v>45</v>
      </c>
      <c r="M416" s="905">
        <f>HYPERLINK("https://abi.ru/products/Охлажденные/Дугушка/Дугушка/Сосиски/P002854/","Сосиски Молочные Дугушки Дугушка Весовые П/а мгс Дугушка")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301" t="inlineStr">
        <is>
          <t>КИ</t>
        </is>
      </c>
    </row>
    <row r="417" ht="16.5" customHeight="1">
      <c r="A417" s="64" t="inlineStr">
        <is>
          <t>SU002219</t>
        </is>
      </c>
      <c r="B417" s="64" t="inlineStr">
        <is>
          <t>P002855</t>
        </is>
      </c>
      <c r="C417" s="37" t="n">
        <v>4301051231</v>
      </c>
      <c r="D417" s="372" t="n">
        <v>4607091383416</v>
      </c>
      <c r="E417" s="636" t="n"/>
      <c r="F417" s="668" t="n">
        <v>1.3</v>
      </c>
      <c r="G417" s="38" t="n">
        <v>6</v>
      </c>
      <c r="H417" s="668" t="n">
        <v>7.8</v>
      </c>
      <c r="I417" s="668" t="n">
        <v>8.346</v>
      </c>
      <c r="J417" s="38" t="n">
        <v>56</v>
      </c>
      <c r="K417" s="39" t="inlineStr">
        <is>
          <t>СК2</t>
        </is>
      </c>
      <c r="L417" s="38" t="n">
        <v>45</v>
      </c>
      <c r="M417" s="906">
        <f>HYPERLINK("https://abi.ru/products/Охлажденные/Дугушка/Дугушка/Сосиски/P002855/","Сосиски Сливочные Дугушки Дугушка Весовые П/а мгс Дугушка")</f>
        <v/>
      </c>
      <c r="N417" s="670" t="n"/>
      <c r="O417" s="670" t="n"/>
      <c r="P417" s="670" t="n"/>
      <c r="Q417" s="636" t="n"/>
      <c r="R417" s="40" t="inlineStr"/>
      <c r="S417" s="40" t="inlineStr"/>
      <c r="T417" s="41" t="inlineStr">
        <is>
          <t>кг</t>
        </is>
      </c>
      <c r="U417" s="671" t="n">
        <v>0</v>
      </c>
      <c r="V417" s="672">
        <f>IFERROR(IF(U417="",0,CEILING((U417/$H417),1)*$H417),"")</f>
        <v/>
      </c>
      <c r="W417" s="42">
        <f>IFERROR(IF(V417=0,"",ROUNDUP(V417/H417,0)*0.02175),"")</f>
        <v/>
      </c>
      <c r="X417" s="69" t="inlineStr"/>
      <c r="Y417" s="70" t="inlineStr"/>
      <c r="AC417" s="302" t="inlineStr">
        <is>
          <t>КИ</t>
        </is>
      </c>
    </row>
    <row r="418">
      <c r="A418" s="380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кор</t>
        </is>
      </c>
      <c r="U418" s="675">
        <f>IFERROR(U416/H416,"0")+IFERROR(U417/H417,"0")</f>
        <v/>
      </c>
      <c r="V418" s="675">
        <f>IFERROR(V416/H416,"0")+IFERROR(V417/H417,"0")</f>
        <v/>
      </c>
      <c r="W418" s="675">
        <f>IFERROR(IF(W416="",0,W416),"0")+IFERROR(IF(W417="",0,W417),"0")</f>
        <v/>
      </c>
      <c r="X418" s="676" t="n"/>
      <c r="Y418" s="676" t="n"/>
    </row>
    <row r="419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73" t="n"/>
      <c r="M419" s="674" t="inlineStr">
        <is>
          <t>Итого</t>
        </is>
      </c>
      <c r="N419" s="644" t="n"/>
      <c r="O419" s="644" t="n"/>
      <c r="P419" s="644" t="n"/>
      <c r="Q419" s="644" t="n"/>
      <c r="R419" s="644" t="n"/>
      <c r="S419" s="645" t="n"/>
      <c r="T419" s="43" t="inlineStr">
        <is>
          <t>кг</t>
        </is>
      </c>
      <c r="U419" s="675">
        <f>IFERROR(SUM(U416:U417),"0")</f>
        <v/>
      </c>
      <c r="V419" s="675">
        <f>IFERROR(SUM(V416:V417),"0")</f>
        <v/>
      </c>
      <c r="W419" s="43" t="n"/>
      <c r="X419" s="676" t="n"/>
      <c r="Y419" s="676" t="n"/>
    </row>
    <row r="420" ht="27.75" customHeight="1">
      <c r="A420" s="369" t="inlineStr">
        <is>
          <t>Зареченские</t>
        </is>
      </c>
      <c r="B420" s="667" t="n"/>
      <c r="C420" s="667" t="n"/>
      <c r="D420" s="667" t="n"/>
      <c r="E420" s="667" t="n"/>
      <c r="F420" s="667" t="n"/>
      <c r="G420" s="667" t="n"/>
      <c r="H420" s="667" t="n"/>
      <c r="I420" s="667" t="n"/>
      <c r="J420" s="667" t="n"/>
      <c r="K420" s="667" t="n"/>
      <c r="L420" s="667" t="n"/>
      <c r="M420" s="667" t="n"/>
      <c r="N420" s="667" t="n"/>
      <c r="O420" s="667" t="n"/>
      <c r="P420" s="667" t="n"/>
      <c r="Q420" s="667" t="n"/>
      <c r="R420" s="667" t="n"/>
      <c r="S420" s="667" t="n"/>
      <c r="T420" s="667" t="n"/>
      <c r="U420" s="667" t="n"/>
      <c r="V420" s="667" t="n"/>
      <c r="W420" s="667" t="n"/>
      <c r="X420" s="55" t="n"/>
      <c r="Y420" s="55" t="n"/>
    </row>
    <row r="421" ht="16.5" customHeight="1">
      <c r="A421" s="370" t="inlineStr">
        <is>
          <t>Зареченские продукты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70" t="n"/>
      <c r="Y421" s="370" t="n"/>
    </row>
    <row r="422" ht="14.25" customHeight="1">
      <c r="A422" s="371" t="inlineStr">
        <is>
          <t>Вареные колбасы</t>
        </is>
      </c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371" t="n"/>
      <c r="Y422" s="371" t="n"/>
    </row>
    <row r="423" ht="27" customHeight="1">
      <c r="A423" s="64" t="inlineStr">
        <is>
          <t>SU002807</t>
        </is>
      </c>
      <c r="B423" s="64" t="inlineStr">
        <is>
          <t>P003210</t>
        </is>
      </c>
      <c r="C423" s="37" t="n">
        <v>4301011434</v>
      </c>
      <c r="D423" s="372" t="n">
        <v>4680115881099</v>
      </c>
      <c r="E423" s="636" t="n"/>
      <c r="F423" s="668" t="n">
        <v>1.5</v>
      </c>
      <c r="G423" s="38" t="n">
        <v>8</v>
      </c>
      <c r="H423" s="668" t="n">
        <v>12</v>
      </c>
      <c r="I423" s="668" t="n">
        <v>12.48</v>
      </c>
      <c r="J423" s="38" t="n">
        <v>56</v>
      </c>
      <c r="K423" s="39" t="inlineStr">
        <is>
          <t>СК1</t>
        </is>
      </c>
      <c r="L423" s="38" t="n">
        <v>50</v>
      </c>
      <c r="M423" s="907" t="inlineStr">
        <is>
          <t>Вареные колбасы "Муромская" Весовой п/а ТМ "Зареченские"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IFERROR(IF(V423=0,"",ROUNDUP(V423/H423,0)*0.02175),"")</f>
        <v/>
      </c>
      <c r="X423" s="69" t="inlineStr"/>
      <c r="Y423" s="70" t="inlineStr"/>
      <c r="AC423" s="303" t="inlineStr">
        <is>
          <t>КИ</t>
        </is>
      </c>
    </row>
    <row r="424" ht="27" customHeight="1">
      <c r="A424" s="64" t="inlineStr">
        <is>
          <t>SU002808</t>
        </is>
      </c>
      <c r="B424" s="64" t="inlineStr">
        <is>
          <t>P003214</t>
        </is>
      </c>
      <c r="C424" s="37" t="n">
        <v>4301011435</v>
      </c>
      <c r="D424" s="372" t="n">
        <v>4680115881150</v>
      </c>
      <c r="E424" s="636" t="n"/>
      <c r="F424" s="668" t="n">
        <v>1.5</v>
      </c>
      <c r="G424" s="38" t="n">
        <v>8</v>
      </c>
      <c r="H424" s="668" t="n">
        <v>12</v>
      </c>
      <c r="I424" s="668" t="n">
        <v>12.48</v>
      </c>
      <c r="J424" s="38" t="n">
        <v>56</v>
      </c>
      <c r="K424" s="39" t="inlineStr">
        <is>
          <t>СК1</t>
        </is>
      </c>
      <c r="L424" s="38" t="n">
        <v>50</v>
      </c>
      <c r="M424" s="908" t="inlineStr">
        <is>
          <t>Вареные колбасы "Нежная" НТУ Весовые П/а ТМ "Зареченские"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IFERROR(IF(V424=0,"",ROUNDUP(V424/H424,0)*0.02175),"")</f>
        <v/>
      </c>
      <c r="X424" s="69" t="inlineStr"/>
      <c r="Y424" s="70" t="inlineStr"/>
      <c r="AC424" s="304" t="inlineStr">
        <is>
          <t>КИ</t>
        </is>
      </c>
    </row>
    <row r="425">
      <c r="A425" s="380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3" t="n"/>
      <c r="M425" s="674" t="inlineStr">
        <is>
          <t>Итого</t>
        </is>
      </c>
      <c r="N425" s="644" t="n"/>
      <c r="O425" s="644" t="n"/>
      <c r="P425" s="644" t="n"/>
      <c r="Q425" s="644" t="n"/>
      <c r="R425" s="644" t="n"/>
      <c r="S425" s="645" t="n"/>
      <c r="T425" s="43" t="inlineStr">
        <is>
          <t>кор</t>
        </is>
      </c>
      <c r="U425" s="675">
        <f>IFERROR(U423/H423,"0")+IFERROR(U424/H424,"0")</f>
        <v/>
      </c>
      <c r="V425" s="675">
        <f>IFERROR(V423/H423,"0")+IFERROR(V424/H424,"0")</f>
        <v/>
      </c>
      <c r="W425" s="675">
        <f>IFERROR(IF(W423="",0,W423),"0")+IFERROR(IF(W424="",0,W424),"0")</f>
        <v/>
      </c>
      <c r="X425" s="676" t="n"/>
      <c r="Y425" s="676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кг</t>
        </is>
      </c>
      <c r="U426" s="675">
        <f>IFERROR(SUM(U423:U424),"0")</f>
        <v/>
      </c>
      <c r="V426" s="675">
        <f>IFERROR(SUM(V423:V424),"0")</f>
        <v/>
      </c>
      <c r="W426" s="43" t="n"/>
      <c r="X426" s="676" t="n"/>
      <c r="Y426" s="676" t="n"/>
    </row>
    <row r="427" ht="14.25" customHeight="1">
      <c r="A427" s="371" t="inlineStr">
        <is>
          <t>Ветчины</t>
        </is>
      </c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371" t="n"/>
      <c r="Y427" s="371" t="n"/>
    </row>
    <row r="428" ht="16.5" customHeight="1">
      <c r="A428" s="64" t="inlineStr">
        <is>
          <t>SU002806</t>
        </is>
      </c>
      <c r="B428" s="64" t="inlineStr">
        <is>
          <t>P003207</t>
        </is>
      </c>
      <c r="C428" s="37" t="n">
        <v>4301020230</v>
      </c>
      <c r="D428" s="372" t="n">
        <v>4680115881112</v>
      </c>
      <c r="E428" s="636" t="n"/>
      <c r="F428" s="668" t="n">
        <v>1.35</v>
      </c>
      <c r="G428" s="38" t="n">
        <v>8</v>
      </c>
      <c r="H428" s="668" t="n">
        <v>10.8</v>
      </c>
      <c r="I428" s="668" t="n">
        <v>11.28</v>
      </c>
      <c r="J428" s="38" t="n">
        <v>56</v>
      </c>
      <c r="K428" s="39" t="inlineStr">
        <is>
          <t>СК1</t>
        </is>
      </c>
      <c r="L428" s="38" t="n">
        <v>50</v>
      </c>
      <c r="M428" s="909" t="inlineStr">
        <is>
          <t>Ветчины "Нежная" Весовой п/а ТМ "Зареченские"</t>
        </is>
      </c>
      <c r="N428" s="670" t="n"/>
      <c r="O428" s="670" t="n"/>
      <c r="P428" s="670" t="n"/>
      <c r="Q428" s="636" t="n"/>
      <c r="R428" s="40" t="inlineStr"/>
      <c r="S428" s="40" t="inlineStr"/>
      <c r="T428" s="41" t="inlineStr">
        <is>
          <t>кг</t>
        </is>
      </c>
      <c r="U428" s="671" t="n">
        <v>0</v>
      </c>
      <c r="V428" s="672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305" t="inlineStr">
        <is>
          <t>КИ</t>
        </is>
      </c>
    </row>
    <row r="429" ht="27" customHeight="1">
      <c r="A429" s="64" t="inlineStr">
        <is>
          <t>SU002811</t>
        </is>
      </c>
      <c r="B429" s="64" t="inlineStr">
        <is>
          <t>P003208</t>
        </is>
      </c>
      <c r="C429" s="37" t="n">
        <v>4301020231</v>
      </c>
      <c r="D429" s="372" t="n">
        <v>4680115881129</v>
      </c>
      <c r="E429" s="636" t="n"/>
      <c r="F429" s="668" t="n">
        <v>1.8</v>
      </c>
      <c r="G429" s="38" t="n">
        <v>6</v>
      </c>
      <c r="H429" s="668" t="n">
        <v>10.8</v>
      </c>
      <c r="I429" s="668" t="n">
        <v>11.28</v>
      </c>
      <c r="J429" s="38" t="n">
        <v>56</v>
      </c>
      <c r="K429" s="39" t="inlineStr">
        <is>
          <t>СК1</t>
        </is>
      </c>
      <c r="L429" s="38" t="n">
        <v>50</v>
      </c>
      <c r="M429" s="910" t="inlineStr">
        <is>
          <t>Ветчины "Нежная" Весовой п/а ТМ "Зареченские" большой батон</t>
        </is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306" t="inlineStr">
        <is>
          <t>КИ</t>
        </is>
      </c>
    </row>
    <row r="430">
      <c r="A430" s="380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3" t="n"/>
      <c r="M430" s="674" t="inlineStr">
        <is>
          <t>Итого</t>
        </is>
      </c>
      <c r="N430" s="644" t="n"/>
      <c r="O430" s="644" t="n"/>
      <c r="P430" s="644" t="n"/>
      <c r="Q430" s="644" t="n"/>
      <c r="R430" s="644" t="n"/>
      <c r="S430" s="645" t="n"/>
      <c r="T430" s="43" t="inlineStr">
        <is>
          <t>кор</t>
        </is>
      </c>
      <c r="U430" s="675">
        <f>IFERROR(U428/H428,"0")+IFERROR(U429/H429,"0")</f>
        <v/>
      </c>
      <c r="V430" s="675">
        <f>IFERROR(V428/H428,"0")+IFERROR(V429/H429,"0")</f>
        <v/>
      </c>
      <c r="W430" s="675">
        <f>IFERROR(IF(W428="",0,W428),"0")+IFERROR(IF(W429="",0,W429),"0")</f>
        <v/>
      </c>
      <c r="X430" s="676" t="n"/>
      <c r="Y430" s="676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кг</t>
        </is>
      </c>
      <c r="U431" s="675">
        <f>IFERROR(SUM(U428:U429),"0")</f>
        <v/>
      </c>
      <c r="V431" s="675">
        <f>IFERROR(SUM(V428:V429),"0")</f>
        <v/>
      </c>
      <c r="W431" s="43" t="n"/>
      <c r="X431" s="676" t="n"/>
      <c r="Y431" s="676" t="n"/>
    </row>
    <row r="432" ht="14.25" customHeight="1">
      <c r="A432" s="371" t="inlineStr">
        <is>
          <t>Копченые колбасы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71" t="n"/>
      <c r="Y432" s="371" t="n"/>
    </row>
    <row r="433" ht="27" customHeight="1">
      <c r="A433" s="64" t="inlineStr">
        <is>
          <t>SU002805</t>
        </is>
      </c>
      <c r="B433" s="64" t="inlineStr">
        <is>
          <t>P003206</t>
        </is>
      </c>
      <c r="C433" s="37" t="n">
        <v>4301031192</v>
      </c>
      <c r="D433" s="372" t="n">
        <v>4680115881167</v>
      </c>
      <c r="E433" s="636" t="n"/>
      <c r="F433" s="668" t="n">
        <v>0.63</v>
      </c>
      <c r="G433" s="38" t="n">
        <v>6</v>
      </c>
      <c r="H433" s="668" t="n">
        <v>3.78</v>
      </c>
      <c r="I433" s="668" t="n">
        <v>4.04</v>
      </c>
      <c r="J433" s="38" t="n">
        <v>156</v>
      </c>
      <c r="K433" s="39" t="inlineStr">
        <is>
          <t>СК2</t>
        </is>
      </c>
      <c r="L433" s="38" t="n">
        <v>40</v>
      </c>
      <c r="M433" s="911" t="inlineStr">
        <is>
          <t>Копченые колбасы Пражский Зареченские продукты Весовой фиброуз Зареченские</t>
        </is>
      </c>
      <c r="N433" s="670" t="n"/>
      <c r="O433" s="670" t="n"/>
      <c r="P433" s="670" t="n"/>
      <c r="Q433" s="636" t="n"/>
      <c r="R433" s="40" t="inlineStr"/>
      <c r="S433" s="40" t="inlineStr"/>
      <c r="T433" s="41" t="inlineStr">
        <is>
          <t>кг</t>
        </is>
      </c>
      <c r="U433" s="671" t="n">
        <v>0</v>
      </c>
      <c r="V433" s="672">
        <f>IFERROR(IF(U433="",0,CEILING((U433/$H433),1)*$H433),"")</f>
        <v/>
      </c>
      <c r="W433" s="42">
        <f>IFERROR(IF(V433=0,"",ROUNDUP(V433/H433,0)*0.00753),"")</f>
        <v/>
      </c>
      <c r="X433" s="69" t="inlineStr"/>
      <c r="Y433" s="70" t="inlineStr"/>
      <c r="AC433" s="307" t="inlineStr">
        <is>
          <t>КИ</t>
        </is>
      </c>
    </row>
    <row r="434" ht="16.5" customHeight="1">
      <c r="A434" s="64" t="inlineStr">
        <is>
          <t>SU002809</t>
        </is>
      </c>
      <c r="B434" s="64" t="inlineStr">
        <is>
          <t>P003216</t>
        </is>
      </c>
      <c r="C434" s="37" t="n">
        <v>4301031193</v>
      </c>
      <c r="D434" s="372" t="n">
        <v>4680115881136</v>
      </c>
      <c r="E434" s="636" t="n"/>
      <c r="F434" s="668" t="n">
        <v>0.63</v>
      </c>
      <c r="G434" s="38" t="n">
        <v>6</v>
      </c>
      <c r="H434" s="668" t="n">
        <v>3.78</v>
      </c>
      <c r="I434" s="668" t="n">
        <v>4.04</v>
      </c>
      <c r="J434" s="38" t="n">
        <v>156</v>
      </c>
      <c r="K434" s="39" t="inlineStr">
        <is>
          <t>СК2</t>
        </is>
      </c>
      <c r="L434" s="38" t="n">
        <v>40</v>
      </c>
      <c r="M434" s="912" t="inlineStr">
        <is>
          <t>В/к колбасы "Рижский" НТУ Весовые Фиброуз в/у ТМ "Зареченские"</t>
        </is>
      </c>
      <c r="N434" s="670" t="n"/>
      <c r="O434" s="670" t="n"/>
      <c r="P434" s="670" t="n"/>
      <c r="Q434" s="636" t="n"/>
      <c r="R434" s="40" t="inlineStr"/>
      <c r="S434" s="40" t="inlineStr"/>
      <c r="T434" s="41" t="inlineStr">
        <is>
          <t>кг</t>
        </is>
      </c>
      <c r="U434" s="671" t="n">
        <v>0</v>
      </c>
      <c r="V434" s="672">
        <f>IFERROR(IF(U434="",0,CEILING((U434/$H434),1)*$H434),"")</f>
        <v/>
      </c>
      <c r="W434" s="42">
        <f>IFERROR(IF(V434=0,"",ROUNDUP(V434/H434,0)*0.00753),"")</f>
        <v/>
      </c>
      <c r="X434" s="69" t="inlineStr"/>
      <c r="Y434" s="70" t="inlineStr"/>
      <c r="AC434" s="308" t="inlineStr">
        <is>
          <t>КИ</t>
        </is>
      </c>
    </row>
    <row r="435">
      <c r="A435" s="380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3" t="n"/>
      <c r="M435" s="674" t="inlineStr">
        <is>
          <t>Итого</t>
        </is>
      </c>
      <c r="N435" s="644" t="n"/>
      <c r="O435" s="644" t="n"/>
      <c r="P435" s="644" t="n"/>
      <c r="Q435" s="644" t="n"/>
      <c r="R435" s="644" t="n"/>
      <c r="S435" s="645" t="n"/>
      <c r="T435" s="43" t="inlineStr">
        <is>
          <t>кор</t>
        </is>
      </c>
      <c r="U435" s="675">
        <f>IFERROR(U433/H433,"0")+IFERROR(U434/H434,"0")</f>
        <v/>
      </c>
      <c r="V435" s="675">
        <f>IFERROR(V433/H433,"0")+IFERROR(V434/H434,"0")</f>
        <v/>
      </c>
      <c r="W435" s="675">
        <f>IFERROR(IF(W433="",0,W433),"0")+IFERROR(IF(W434="",0,W434),"0")</f>
        <v/>
      </c>
      <c r="X435" s="676" t="n"/>
      <c r="Y435" s="676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73" t="n"/>
      <c r="M436" s="674" t="inlineStr">
        <is>
          <t>Итого</t>
        </is>
      </c>
      <c r="N436" s="644" t="n"/>
      <c r="O436" s="644" t="n"/>
      <c r="P436" s="644" t="n"/>
      <c r="Q436" s="644" t="n"/>
      <c r="R436" s="644" t="n"/>
      <c r="S436" s="645" t="n"/>
      <c r="T436" s="43" t="inlineStr">
        <is>
          <t>кг</t>
        </is>
      </c>
      <c r="U436" s="675">
        <f>IFERROR(SUM(U433:U434),"0")</f>
        <v/>
      </c>
      <c r="V436" s="675">
        <f>IFERROR(SUM(V433:V434),"0")</f>
        <v/>
      </c>
      <c r="W436" s="43" t="n"/>
      <c r="X436" s="676" t="n"/>
      <c r="Y436" s="676" t="n"/>
    </row>
    <row r="437" ht="14.25" customHeight="1">
      <c r="A437" s="371" t="inlineStr">
        <is>
          <t>Сосиски</t>
        </is>
      </c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371" t="n"/>
      <c r="Y437" s="371" t="n"/>
    </row>
    <row r="438" ht="27" customHeight="1">
      <c r="A438" s="64" t="inlineStr">
        <is>
          <t>SU002810</t>
        </is>
      </c>
      <c r="B438" s="64" t="inlineStr">
        <is>
          <t>P003215</t>
        </is>
      </c>
      <c r="C438" s="37" t="n">
        <v>4301051383</v>
      </c>
      <c r="D438" s="372" t="n">
        <v>4680115881143</v>
      </c>
      <c r="E438" s="636" t="n"/>
      <c r="F438" s="668" t="n">
        <v>1.3</v>
      </c>
      <c r="G438" s="38" t="n">
        <v>6</v>
      </c>
      <c r="H438" s="668" t="n">
        <v>7.8</v>
      </c>
      <c r="I438" s="668" t="n">
        <v>8.364000000000001</v>
      </c>
      <c r="J438" s="38" t="n">
        <v>56</v>
      </c>
      <c r="K438" s="39" t="inlineStr">
        <is>
          <t>СК2</t>
        </is>
      </c>
      <c r="L438" s="38" t="n">
        <v>40</v>
      </c>
      <c r="M438" s="913" t="inlineStr">
        <is>
          <t>Сосиски "Датские" НТУ Весовые П/а мгс ТМ "Зареченские"</t>
        </is>
      </c>
      <c r="N438" s="670" t="n"/>
      <c r="O438" s="670" t="n"/>
      <c r="P438" s="670" t="n"/>
      <c r="Q438" s="636" t="n"/>
      <c r="R438" s="40" t="inlineStr"/>
      <c r="S438" s="40" t="inlineStr"/>
      <c r="T438" s="41" t="inlineStr">
        <is>
          <t>кг</t>
        </is>
      </c>
      <c r="U438" s="671" t="n">
        <v>0</v>
      </c>
      <c r="V438" s="672">
        <f>IFERROR(IF(U438="",0,CEILING((U438/$H438),1)*$H438),"")</f>
        <v/>
      </c>
      <c r="W438" s="42">
        <f>IFERROR(IF(V438=0,"",ROUNDUP(V438/H438,0)*0.02175),"")</f>
        <v/>
      </c>
      <c r="X438" s="69" t="inlineStr"/>
      <c r="Y438" s="70" t="inlineStr"/>
      <c r="AC438" s="309" t="inlineStr">
        <is>
          <t>КИ</t>
        </is>
      </c>
    </row>
    <row r="439" ht="27" customHeight="1">
      <c r="A439" s="64" t="inlineStr">
        <is>
          <t>SU002803</t>
        </is>
      </c>
      <c r="B439" s="64" t="inlineStr">
        <is>
          <t>P003204</t>
        </is>
      </c>
      <c r="C439" s="37" t="n">
        <v>4301051381</v>
      </c>
      <c r="D439" s="372" t="n">
        <v>4680115881068</v>
      </c>
      <c r="E439" s="636" t="n"/>
      <c r="F439" s="668" t="n">
        <v>1.3</v>
      </c>
      <c r="G439" s="38" t="n">
        <v>6</v>
      </c>
      <c r="H439" s="668" t="n">
        <v>7.8</v>
      </c>
      <c r="I439" s="668" t="n">
        <v>8.279999999999999</v>
      </c>
      <c r="J439" s="38" t="n">
        <v>56</v>
      </c>
      <c r="K439" s="39" t="inlineStr">
        <is>
          <t>СК2</t>
        </is>
      </c>
      <c r="L439" s="38" t="n">
        <v>30</v>
      </c>
      <c r="M439" s="914" t="inlineStr">
        <is>
          <t>Сосиски "Сочные" Весовой п/а ТМ "Зареченские"</t>
        </is>
      </c>
      <c r="N439" s="670" t="n"/>
      <c r="O439" s="670" t="n"/>
      <c r="P439" s="670" t="n"/>
      <c r="Q439" s="636" t="n"/>
      <c r="R439" s="40" t="inlineStr"/>
      <c r="S439" s="40" t="inlineStr"/>
      <c r="T439" s="41" t="inlineStr">
        <is>
          <t>кг</t>
        </is>
      </c>
      <c r="U439" s="671" t="n">
        <v>0</v>
      </c>
      <c r="V439" s="672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310" t="inlineStr">
        <is>
          <t>КИ</t>
        </is>
      </c>
    </row>
    <row r="440" ht="27" customHeight="1">
      <c r="A440" s="64" t="inlineStr">
        <is>
          <t>SU002804</t>
        </is>
      </c>
      <c r="B440" s="64" t="inlineStr">
        <is>
          <t>P003205</t>
        </is>
      </c>
      <c r="C440" s="37" t="n">
        <v>4301051382</v>
      </c>
      <c r="D440" s="372" t="n">
        <v>4680115881075</v>
      </c>
      <c r="E440" s="636" t="n"/>
      <c r="F440" s="668" t="n">
        <v>0.5</v>
      </c>
      <c r="G440" s="38" t="n">
        <v>6</v>
      </c>
      <c r="H440" s="668" t="n">
        <v>3</v>
      </c>
      <c r="I440" s="668" t="n">
        <v>3.2</v>
      </c>
      <c r="J440" s="38" t="n">
        <v>156</v>
      </c>
      <c r="K440" s="39" t="inlineStr">
        <is>
          <t>СК2</t>
        </is>
      </c>
      <c r="L440" s="38" t="n">
        <v>30</v>
      </c>
      <c r="M440" s="915" t="inlineStr">
        <is>
          <t>Сосиски "Сочные" Фикс.вес 0,5 п/а ТМ "Зареченские"</t>
        </is>
      </c>
      <c r="N440" s="670" t="n"/>
      <c r="O440" s="670" t="n"/>
      <c r="P440" s="670" t="n"/>
      <c r="Q440" s="636" t="n"/>
      <c r="R440" s="40" t="inlineStr"/>
      <c r="S440" s="40" t="inlineStr"/>
      <c r="T440" s="41" t="inlineStr">
        <is>
          <t>кг</t>
        </is>
      </c>
      <c r="U440" s="671" t="n">
        <v>0</v>
      </c>
      <c r="V440" s="672">
        <f>IFERROR(IF(U440="",0,CEILING((U440/$H440),1)*$H440),"")</f>
        <v/>
      </c>
      <c r="W440" s="42">
        <f>IFERROR(IF(V440=0,"",ROUNDUP(V440/H440,0)*0.00753),"")</f>
        <v/>
      </c>
      <c r="X440" s="69" t="inlineStr"/>
      <c r="Y440" s="70" t="inlineStr"/>
      <c r="AC440" s="311" t="inlineStr">
        <is>
          <t>КИ</t>
        </is>
      </c>
    </row>
    <row r="441">
      <c r="A441" s="380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3" t="n"/>
      <c r="M441" s="674" t="inlineStr">
        <is>
          <t>Итого</t>
        </is>
      </c>
      <c r="N441" s="644" t="n"/>
      <c r="O441" s="644" t="n"/>
      <c r="P441" s="644" t="n"/>
      <c r="Q441" s="644" t="n"/>
      <c r="R441" s="644" t="n"/>
      <c r="S441" s="645" t="n"/>
      <c r="T441" s="43" t="inlineStr">
        <is>
          <t>кор</t>
        </is>
      </c>
      <c r="U441" s="675">
        <f>IFERROR(U438/H438,"0")+IFERROR(U439/H439,"0")+IFERROR(U440/H440,"0")</f>
        <v/>
      </c>
      <c r="V441" s="675">
        <f>IFERROR(V438/H438,"0")+IFERROR(V439/H439,"0")+IFERROR(V440/H440,"0")</f>
        <v/>
      </c>
      <c r="W441" s="675">
        <f>IFERROR(IF(W438="",0,W438),"0")+IFERROR(IF(W439="",0,W439),"0")+IFERROR(IF(W440="",0,W440),"0")</f>
        <v/>
      </c>
      <c r="X441" s="676" t="n"/>
      <c r="Y441" s="676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3" t="n"/>
      <c r="M442" s="674" t="inlineStr">
        <is>
          <t>Итого</t>
        </is>
      </c>
      <c r="N442" s="644" t="n"/>
      <c r="O442" s="644" t="n"/>
      <c r="P442" s="644" t="n"/>
      <c r="Q442" s="644" t="n"/>
      <c r="R442" s="644" t="n"/>
      <c r="S442" s="645" t="n"/>
      <c r="T442" s="43" t="inlineStr">
        <is>
          <t>кг</t>
        </is>
      </c>
      <c r="U442" s="675">
        <f>IFERROR(SUM(U438:U440),"0")</f>
        <v/>
      </c>
      <c r="V442" s="675">
        <f>IFERROR(SUM(V438:V440),"0")</f>
        <v/>
      </c>
      <c r="W442" s="43" t="n"/>
      <c r="X442" s="676" t="n"/>
      <c r="Y442" s="676" t="n"/>
    </row>
    <row r="443" ht="15" customHeight="1">
      <c r="A443" s="623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33" t="n"/>
      <c r="M443" s="916" t="inlineStr">
        <is>
          <t>ИТОГО НЕТТО</t>
        </is>
      </c>
      <c r="N443" s="627" t="n"/>
      <c r="O443" s="627" t="n"/>
      <c r="P443" s="627" t="n"/>
      <c r="Q443" s="627" t="n"/>
      <c r="R443" s="627" t="n"/>
      <c r="S443" s="628" t="n"/>
      <c r="T443" s="43" t="inlineStr">
        <is>
          <t>кг</t>
        </is>
      </c>
      <c r="U443" s="675">
        <f>IFERROR(U24+U33+U38+U42+U46+U53+U60+U81+U90+U102+U112+U119+U127+U135+U156+U162+U181+U207+U216+U222+U229+U240+U245+U251+U257+U261+U265+U278+U283+U287+U291+U295+U303+U308+U315+U319+U326+U342+U349+U353+U359+U363+U369+U377+U381+U385+U400+U405+U414+U419+U426+U431+U436+U442,"0")</f>
        <v/>
      </c>
      <c r="V443" s="675">
        <f>IFERROR(V24+V33+V38+V42+V46+V53+V60+V81+V90+V102+V112+V119+V127+V135+V156+V162+V181+V207+V216+V222+V229+V240+V245+V251+V257+V261+V265+V278+V283+V287+V291+V295+V303+V308+V315+V319+V326+V342+V349+V353+V359+V363+V369+V377+V381+V385+V400+V405+V414+V419+V426+V431+V436+V442,"0")</f>
        <v/>
      </c>
      <c r="W443" s="43" t="n"/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33" t="n"/>
      <c r="M444" s="916" t="inlineStr">
        <is>
          <t>ИТОГО БРУТТО</t>
        </is>
      </c>
      <c r="N444" s="627" t="n"/>
      <c r="O444" s="627" t="n"/>
      <c r="P444" s="627" t="n"/>
      <c r="Q444" s="627" t="n"/>
      <c r="R444" s="627" t="n"/>
      <c r="S444" s="628" t="n"/>
      <c r="T444" s="43" t="inlineStr">
        <is>
          <t>кг</t>
        </is>
      </c>
      <c r="U444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227*I227/H227,"0")+IFERROR(U232*I232/H232,"0")+IFERROR(U233*I233/H233,"0")+IFERROR(U234*I234/H234,"0")+IFERROR(U235*I235/H235,"0")+IFERROR(U236*I236/H236,"0")+IFERROR(U237*I237/H237,"0")+IFERROR(U238*I238/H238,"0")+IFERROR(U242*I242/H242,"0")+IFERROR(U243*I243/H243,"0")+IFERROR(U248*I248/H248,"0")+IFERROR(U249*I249/H249,"0")+IFERROR(U253*I253/H253,"0")+IFERROR(U254*I254/H254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340*I340/H340,"0")+IFERROR(U344*I344/H344,"0")+IFERROR(U345*I345/H345,"0")+IFERROR(U346*I346/H346,"0")+IFERROR(U347*I347/H347,"0")+IFERROR(U351*I351/H351,"0")+IFERROR(U355*I355/H355,"0")+IFERROR(U356*I356/H356,"0")+IFERROR(U357*I357/H357,"0")+IFERROR(U361*I361/H361,"0")+IFERROR(U366*I366/H366,"0")+IFERROR(U367*I367/H367,"0")+IFERROR(U371*I371/H371,"0")+IFERROR(U372*I372/H372,"0")+IFERROR(U373*I373/H373,"0")+IFERROR(U374*I374/H374,"0")+IFERROR(U375*I375/H375,"0")+IFERROR(U379*I379/H379,"0")+IFERROR(U383*I383/H383,"0")+IFERROR(U389*I389/H389,"0")+IFERROR(U390*I390/H390,"0")+IFERROR(U391*I391/H391,"0")+IFERROR(U392*I392/H392,"0")+IFERROR(U393*I393/H393,"0")+IFERROR(U394*I394/H394,"0")+IFERROR(U395*I395/H395,"0")+IFERROR(U396*I396/H396,"0")+IFERROR(U397*I397/H397,"0")+IFERROR(U398*I398/H398,"0")+IFERROR(U402*I402/H402,"0")+IFERROR(U403*I403/H403,"0")+IFERROR(U407*I407/H407,"0")+IFERROR(U408*I408/H408,"0")+IFERROR(U409*I409/H409,"0")+IFERROR(U410*I410/H410,"0")+IFERROR(U411*I411/H411,"0")+IFERROR(U412*I412/H412,"0")+IFERROR(U416*I416/H416,"0")+IFERROR(U417*I417/H417,"0")+IFERROR(U423*I423/H423,"0")+IFERROR(U424*I424/H424,"0")+IFERROR(U428*I428/H428,"0")+IFERROR(U429*I429/H429,"0")+IFERROR(U433*I433/H433,"0")+IFERROR(U434*I434/H434,"0")+IFERROR(U438*I438/H438,"0")+IFERROR(U439*I439/H439,"0")+IFERROR(U440*I440/H440,"0"),"0")</f>
        <v/>
      </c>
      <c r="V444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227*I227/H227,"0")+IFERROR(V232*I232/H232,"0")+IFERROR(V233*I233/H233,"0")+IFERROR(V234*I234/H234,"0")+IFERROR(V235*I235/H235,"0")+IFERROR(V236*I236/H236,"0")+IFERROR(V237*I237/H237,"0")+IFERROR(V238*I238/H238,"0")+IFERROR(V242*I242/H242,"0")+IFERROR(V243*I243/H243,"0")+IFERROR(V248*I248/H248,"0")+IFERROR(V249*I249/H249,"0")+IFERROR(V253*I253/H253,"0")+IFERROR(V254*I254/H254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347*I347/H347,"0")+IFERROR(V351*I351/H351,"0")+IFERROR(V355*I355/H355,"0")+IFERROR(V356*I356/H356,"0")+IFERROR(V357*I357/H357,"0")+IFERROR(V361*I361/H361,"0")+IFERROR(V366*I366/H366,"0")+IFERROR(V367*I367/H367,"0")+IFERROR(V371*I371/H371,"0")+IFERROR(V372*I372/H372,"0")+IFERROR(V373*I373/H373,"0")+IFERROR(V374*I374/H374,"0")+IFERROR(V375*I375/H375,"0")+IFERROR(V379*I379/H379,"0")+IFERROR(V383*I383/H383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407*I407/H407,"0")+IFERROR(V408*I408/H408,"0")+IFERROR(V409*I409/H409,"0")+IFERROR(V410*I410/H410,"0")+IFERROR(V411*I411/H411,"0")+IFERROR(V412*I412/H412,"0")+IFERROR(V416*I416/H416,"0")+IFERROR(V417*I417/H417,"0")+IFERROR(V423*I423/H423,"0")+IFERROR(V424*I424/H424,"0")+IFERROR(V428*I428/H428,"0")+IFERROR(V429*I429/H429,"0")+IFERROR(V433*I433/H433,"0")+IFERROR(V434*I434/H434,"0")+IFERROR(V438*I438/H438,"0")+IFERROR(V439*I439/H439,"0")+IFERROR(V440*I440/H440,"0"),"0")</f>
        <v/>
      </c>
      <c r="W444" s="43" t="n"/>
      <c r="X444" s="676" t="n"/>
      <c r="Y444" s="676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33" t="n"/>
      <c r="M445" s="916" t="inlineStr">
        <is>
          <t>Кол-во паллет</t>
        </is>
      </c>
      <c r="N445" s="627" t="n"/>
      <c r="O445" s="627" t="n"/>
      <c r="P445" s="627" t="n"/>
      <c r="Q445" s="627" t="n"/>
      <c r="R445" s="627" t="n"/>
      <c r="S445" s="628" t="n"/>
      <c r="T445" s="43" t="inlineStr">
        <is>
          <t>шт</t>
        </is>
      </c>
      <c r="U44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227*(U224:U227/H224:H227)),"0")+IFERROR(SUMPRODUCT(1/J232:J238*(U232:U238/H232:H238)),"0")+IFERROR(SUMPRODUCT(1/J242:J243*(U242:U243/H242:H243)),"0")+IFERROR(SUMPRODUCT(1/J248:J249*(U248:U249/H248:H249)),"0")+IFERROR(SUMPRODUCT(1/J253:J255*(U253:U255/H253:H255)),"0")+IFERROR(SUMPRODUCT(1/J259:J259*(U259:U259/H259:H259)),"0")+IFERROR(SUMPRODUCT(1/J263:J263*(U263:U263/H263:H263)),"0")+IFERROR(SUMPRODUCT(1/J269:J276*(U269:U276/H269:H276)),"0")+IFERROR(SUMPRODUCT(1/J280:J281*(U280:U281/H280:H281)),"0")+IFERROR(SUMPRODUCT(1/J285:J285*(U285:U285/H285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340*(U328:U340/H328:H340)),"0")+IFERROR(SUMPRODUCT(1/J344:J347*(U344:U347/H344:H347)),"0")+IFERROR(SUMPRODUCT(1/J351:J351*(U351:U351/H351:H351)),"0")+IFERROR(SUMPRODUCT(1/J355:J357*(U355:U357/H355:H357)),"0")+IFERROR(SUMPRODUCT(1/J361:J361*(U361:U361/H361:H361)),"0")+IFERROR(SUMPRODUCT(1/J366:J367*(U366:U367/H366:H367)),"0")+IFERROR(SUMPRODUCT(1/J371:J375*(U371:U375/H371:H375)),"0")+IFERROR(SUMPRODUCT(1/J379:J379*(U379:U379/H379:H379)),"0")+IFERROR(SUMPRODUCT(1/J383:J383*(U383:U383/H383:H383)),"0")+IFERROR(SUMPRODUCT(1/J389:J398*(U389:U398/H389:H398)),"0")+IFERROR(SUMPRODUCT(1/J402:J403*(U402:U403/H402:H403)),"0")+IFERROR(SUMPRODUCT(1/J407:J412*(U407:U412/H407:H412)),"0")+IFERROR(SUMPRODUCT(1/J416:J417*(U416:U417/H416:H417)),"0")+IFERROR(SUMPRODUCT(1/J423:J424*(U423:U424/H423:H424)),"0")+IFERROR(SUMPRODUCT(1/J428:J429*(U428:U429/H428:H429)),"0")+IFERROR(SUMPRODUCT(1/J433:J434*(U433:U434/H433:H434)),"0")+IFERROR(SUMPRODUCT(1/J438:J440*(U438:U440/H438:H440)),"0"),0)</f>
        <v/>
      </c>
      <c r="V44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227*(V224:V227/H224:H227)),"0")+IFERROR(SUMPRODUCT(1/J232:J238*(V232:V238/H232:H238)),"0")+IFERROR(SUMPRODUCT(1/J242:J243*(V242:V243/H242:H243)),"0")+IFERROR(SUMPRODUCT(1/J248:J249*(V248:V249/H248:H249)),"0")+IFERROR(SUMPRODUCT(1/J253:J255*(V253:V255/H253:H255)),"0")+IFERROR(SUMPRODUCT(1/J259:J259*(V259:V259/H259:H259)),"0")+IFERROR(SUMPRODUCT(1/J263:J263*(V263:V263/H263:H263)),"0")+IFERROR(SUMPRODUCT(1/J269:J276*(V269:V276/H269:H276)),"0")+IFERROR(SUMPRODUCT(1/J280:J281*(V280:V281/H280:H281)),"0")+IFERROR(SUMPRODUCT(1/J285:J285*(V285:V285/H285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340*(V328:V340/H328:H340)),"0")+IFERROR(SUMPRODUCT(1/J344:J347*(V344:V347/H344:H347)),"0")+IFERROR(SUMPRODUCT(1/J351:J351*(V351:V351/H351:H351)),"0")+IFERROR(SUMPRODUCT(1/J355:J357*(V355:V357/H355:H357)),"0")+IFERROR(SUMPRODUCT(1/J361:J361*(V361:V361/H361:H361)),"0")+IFERROR(SUMPRODUCT(1/J366:J367*(V366:V367/H366:H367)),"0")+IFERROR(SUMPRODUCT(1/J371:J375*(V371:V375/H371:H375)),"0")+IFERROR(SUMPRODUCT(1/J379:J379*(V379:V379/H379:H379)),"0")+IFERROR(SUMPRODUCT(1/J383:J383*(V383:V383/H383:H383)),"0")+IFERROR(SUMPRODUCT(1/J389:J398*(V389:V398/H389:H398)),"0")+IFERROR(SUMPRODUCT(1/J402:J403*(V402:V403/H402:H403)),"0")+IFERROR(SUMPRODUCT(1/J407:J412*(V407:V412/H407:H412)),"0")+IFERROR(SUMPRODUCT(1/J416:J417*(V416:V417/H416:H417)),"0")+IFERROR(SUMPRODUCT(1/J423:J424*(V423:V424/H423:H424)),"0")+IFERROR(SUMPRODUCT(1/J428:J429*(V428:V429/H428:H429)),"0")+IFERROR(SUMPRODUCT(1/J433:J434*(V433:V434/H433:H434)),"0")+IFERROR(SUMPRODUCT(1/J438:J440*(V438:V440/H438:H440)),"0"),0)</f>
        <v/>
      </c>
      <c r="W445" s="43" t="n"/>
      <c r="X445" s="676" t="n"/>
      <c r="Y445" s="676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33" t="n"/>
      <c r="M446" s="916" t="inlineStr">
        <is>
          <t>Вес брутто  с паллетами</t>
        </is>
      </c>
      <c r="N446" s="627" t="n"/>
      <c r="O446" s="627" t="n"/>
      <c r="P446" s="627" t="n"/>
      <c r="Q446" s="627" t="n"/>
      <c r="R446" s="627" t="n"/>
      <c r="S446" s="628" t="n"/>
      <c r="T446" s="43" t="inlineStr">
        <is>
          <t>кг</t>
        </is>
      </c>
      <c r="U446" s="675">
        <f>GrossWeightTotal+PalletQtyTotal*25</f>
        <v/>
      </c>
      <c r="V446" s="675">
        <f>GrossWeightTotalR+PalletQtyTotalR*25</f>
        <v/>
      </c>
      <c r="W446" s="43" t="n"/>
      <c r="X446" s="676" t="n"/>
      <c r="Y446" s="676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33" t="n"/>
      <c r="M447" s="916" t="inlineStr">
        <is>
          <t>Кол-во коробок</t>
        </is>
      </c>
      <c r="N447" s="627" t="n"/>
      <c r="O447" s="627" t="n"/>
      <c r="P447" s="627" t="n"/>
      <c r="Q447" s="627" t="n"/>
      <c r="R447" s="627" t="n"/>
      <c r="S447" s="628" t="n"/>
      <c r="T447" s="43" t="inlineStr">
        <is>
          <t>шт</t>
        </is>
      </c>
      <c r="U447" s="675">
        <f>IFERROR(U23+U32+U37+U41+U45+U52+U59+U80+U89+U101+U111+U118+U126+U134+U155+U161+U180+U206+U215+U221+U228+U239+U244+U250+U256+U260+U264+U277+U282+U286+U290+U294+U302+U307+U314+U318+U325+U341+U348+U352+U358+U362+U368+U376+U380+U384+U399+U404+U413+U418+U425+U430+U435+U441,"0")</f>
        <v/>
      </c>
      <c r="V447" s="675">
        <f>IFERROR(V23+V32+V37+V41+V45+V52+V59+V80+V89+V101+V111+V118+V126+V134+V155+V161+V180+V206+V215+V221+V228+V239+V244+V250+V256+V260+V264+V277+V282+V286+V290+V294+V302+V307+V314+V318+V325+V341+V348+V352+V358+V362+V368+V376+V380+V384+V399+V404+V413+V418+V425+V430+V435+V441,"0")</f>
        <v/>
      </c>
      <c r="W447" s="43" t="n"/>
      <c r="X447" s="676" t="n"/>
      <c r="Y447" s="676" t="n"/>
    </row>
    <row r="448" ht="14.25" customHeight="1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33" t="n"/>
      <c r="M448" s="916" t="inlineStr">
        <is>
          <t>Объем заказа</t>
        </is>
      </c>
      <c r="N448" s="627" t="n"/>
      <c r="O448" s="627" t="n"/>
      <c r="P448" s="627" t="n"/>
      <c r="Q448" s="627" t="n"/>
      <c r="R448" s="627" t="n"/>
      <c r="S448" s="628" t="n"/>
      <c r="T448" s="46" t="inlineStr">
        <is>
          <t>м3</t>
        </is>
      </c>
      <c r="U448" s="43" t="n"/>
      <c r="V448" s="43" t="n"/>
      <c r="W448" s="43">
        <f>IFERROR(W23+W32+W37+W41+W45+W52+W59+W80+W89+W101+W111+W118+W126+W134+W155+W161+W180+W206+W215+W221+W228+W239+W244+W250+W256+W260+W264+W277+W282+W286+W290+W294+W302+W307+W314+W318+W325+W341+W348+W352+W358+W362+W368+W376+W380+W384+W399+W404+W413+W418+W425+W430+W435+W441,"0")</f>
        <v/>
      </c>
      <c r="X448" s="676" t="n"/>
      <c r="Y448" s="676" t="n"/>
    </row>
    <row r="449" ht="13.5" customHeight="1" thickBot="1"/>
    <row r="450" ht="27" customHeight="1" thickBot="1" thickTop="1">
      <c r="A450" s="47" t="inlineStr">
        <is>
          <t>ТОРГОВАЯ МАРКА</t>
        </is>
      </c>
      <c r="B450" s="624" t="inlineStr">
        <is>
          <t>Ядрена копоть</t>
        </is>
      </c>
      <c r="C450" s="624" t="inlineStr">
        <is>
          <t>Вязанка</t>
        </is>
      </c>
      <c r="D450" s="917" t="n"/>
      <c r="E450" s="917" t="n"/>
      <c r="F450" s="918" t="n"/>
      <c r="G450" s="624" t="inlineStr">
        <is>
          <t>Стародворье</t>
        </is>
      </c>
      <c r="H450" s="917" t="n"/>
      <c r="I450" s="917" t="n"/>
      <c r="J450" s="918" t="n"/>
      <c r="K450" s="624" t="inlineStr">
        <is>
          <t>Особый рецепт</t>
        </is>
      </c>
      <c r="L450" s="918" t="n"/>
      <c r="M450" s="624" t="inlineStr">
        <is>
          <t>Баварушка</t>
        </is>
      </c>
      <c r="N450" s="918" t="n"/>
      <c r="O450" s="624" t="inlineStr">
        <is>
          <t>Дугушка</t>
        </is>
      </c>
      <c r="P450" s="624" t="inlineStr">
        <is>
          <t>Зареченские</t>
        </is>
      </c>
      <c r="Q450" s="1" t="n"/>
      <c r="R450" s="1" t="n"/>
      <c r="S450" s="1" t="n"/>
      <c r="T450" s="1" t="n"/>
      <c r="Y450" s="61" t="n"/>
      <c r="AB450" s="1" t="n"/>
    </row>
    <row r="451" ht="14.25" customHeight="1" thickTop="1">
      <c r="A451" s="625" t="inlineStr">
        <is>
          <t>СЕРИЯ</t>
        </is>
      </c>
      <c r="B451" s="624" t="inlineStr">
        <is>
          <t>Ядрена копоть</t>
        </is>
      </c>
      <c r="C451" s="624" t="inlineStr">
        <is>
          <t>Столичная</t>
        </is>
      </c>
      <c r="D451" s="624" t="inlineStr">
        <is>
          <t>Классическая</t>
        </is>
      </c>
      <c r="E451" s="624" t="inlineStr">
        <is>
          <t>Вязанка</t>
        </is>
      </c>
      <c r="F451" s="624" t="inlineStr">
        <is>
          <t>Сливушки</t>
        </is>
      </c>
      <c r="G451" s="624" t="inlineStr">
        <is>
          <t>Золоченная в печи</t>
        </is>
      </c>
      <c r="H451" s="624" t="inlineStr">
        <is>
          <t>Бордо</t>
        </is>
      </c>
      <c r="I451" s="624" t="inlineStr">
        <is>
          <t>Фирменная</t>
        </is>
      </c>
      <c r="J451" s="624" t="inlineStr">
        <is>
          <t>Бавария</t>
        </is>
      </c>
      <c r="K451" s="624" t="inlineStr">
        <is>
          <t>Особая</t>
        </is>
      </c>
      <c r="L451" s="624" t="inlineStr">
        <is>
          <t>Особая Без свинины</t>
        </is>
      </c>
      <c r="M451" s="624" t="inlineStr">
        <is>
          <t>Филейбургская</t>
        </is>
      </c>
      <c r="N451" s="624" t="inlineStr">
        <is>
          <t>Балыкбургская</t>
        </is>
      </c>
      <c r="O451" s="624" t="inlineStr">
        <is>
          <t>Дугушка</t>
        </is>
      </c>
      <c r="P451" s="624" t="inlineStr">
        <is>
          <t>Зареченские продукты</t>
        </is>
      </c>
      <c r="Q451" s="1" t="n"/>
      <c r="R451" s="1" t="n"/>
      <c r="S451" s="1" t="n"/>
      <c r="T451" s="1" t="n"/>
      <c r="Y451" s="61" t="n"/>
      <c r="AB451" s="1" t="n"/>
    </row>
    <row r="452" ht="13.5" customHeight="1" thickBot="1">
      <c r="A452" s="919" t="n"/>
      <c r="B452" s="920" t="n"/>
      <c r="C452" s="920" t="n"/>
      <c r="D452" s="920" t="n"/>
      <c r="E452" s="920" t="n"/>
      <c r="F452" s="920" t="n"/>
      <c r="G452" s="920" t="n"/>
      <c r="H452" s="920" t="n"/>
      <c r="I452" s="920" t="n"/>
      <c r="J452" s="920" t="n"/>
      <c r="K452" s="920" t="n"/>
      <c r="L452" s="920" t="n"/>
      <c r="M452" s="920" t="n"/>
      <c r="N452" s="920" t="n"/>
      <c r="O452" s="920" t="n"/>
      <c r="P452" s="920" t="n"/>
      <c r="Q452" s="1" t="n"/>
      <c r="R452" s="1" t="n"/>
      <c r="S452" s="1" t="n"/>
      <c r="T452" s="1" t="n"/>
      <c r="Y452" s="61" t="n"/>
      <c r="AB452" s="1" t="n"/>
    </row>
    <row r="453" ht="18" customHeight="1" thickBot="1" thickTop="1">
      <c r="A453" s="47" t="inlineStr">
        <is>
          <t>ИТОГО, кг</t>
        </is>
      </c>
      <c r="B453" s="53">
        <f>IFERROR(V22*1,"0")+IFERROR(V26*1,"0")+IFERROR(V27*1,"0")+IFERROR(V28*1,"0")+IFERROR(V29*1,"0")+IFERROR(V30*1,"0")+IFERROR(V31*1,"0")+IFERROR(V35*1,"0")+IFERROR(V36*1,"0")+IFERROR(V40*1,"0")+IFERROR(V44*1,"0")</f>
        <v/>
      </c>
      <c r="C453" s="53">
        <f>IFERROR(V50*1,"0")+IFERROR(V51*1,"0")</f>
        <v/>
      </c>
      <c r="D453" s="53">
        <f>IFERROR(V56*1,"0")+IFERROR(V57*1,"0")+IFERROR(V58*1,"0")</f>
        <v/>
      </c>
      <c r="E45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53" s="53">
        <f>IFERROR(V122*1,"0")+IFERROR(V123*1,"0")+IFERROR(V124*1,"0")+IFERROR(V125*1,"0")</f>
        <v/>
      </c>
      <c r="G453" s="53">
        <f>IFERROR(V131*1,"0")+IFERROR(V132*1,"0")+IFERROR(V133*1,"0")</f>
        <v/>
      </c>
      <c r="H453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+IFERROR(V227*1,"0")</f>
        <v/>
      </c>
      <c r="I453" s="53">
        <f>IFERROR(V232*1,"0")+IFERROR(V233*1,"0")+IFERROR(V234*1,"0")+IFERROR(V235*1,"0")+IFERROR(V236*1,"0")+IFERROR(V237*1,"0")+IFERROR(V238*1,"0")+IFERROR(V242*1,"0")+IFERROR(V243*1,"0")</f>
        <v/>
      </c>
      <c r="J453" s="53">
        <f>IFERROR(V248*1,"0")+IFERROR(V249*1,"0")+IFERROR(V253*1,"0")+IFERROR(V254*1,"0")+IFERROR(V255*1,"0")+IFERROR(V259*1,"0")+IFERROR(V263*1,"0")</f>
        <v/>
      </c>
      <c r="K453" s="53">
        <f>IFERROR(V269*1,"0")+IFERROR(V270*1,"0")+IFERROR(V271*1,"0")+IFERROR(V272*1,"0")+IFERROR(V273*1,"0")+IFERROR(V274*1,"0")+IFERROR(V275*1,"0")+IFERROR(V276*1,"0")+IFERROR(V280*1,"0")+IFERROR(V281*1,"0")+IFERROR(V285*1,"0")+IFERROR(V289*1,"0")+IFERROR(V293*1,"0")</f>
        <v/>
      </c>
      <c r="L453" s="53">
        <f>IFERROR(V298*1,"0")+IFERROR(V299*1,"0")+IFERROR(V300*1,"0")+IFERROR(V301*1,"0")+IFERROR(V305*1,"0")+IFERROR(V306*1,"0")+IFERROR(V310*1,"0")+IFERROR(V311*1,"0")+IFERROR(V312*1,"0")+IFERROR(V313*1,"0")+IFERROR(V317*1,"0")</f>
        <v/>
      </c>
      <c r="M453" s="53">
        <f>IFERROR(V323*1,"0")+IFERROR(V324*1,"0")+IFERROR(V328*1,"0")+IFERROR(V329*1,"0")+IFERROR(V330*1,"0")+IFERROR(V331*1,"0")+IFERROR(V332*1,"0")+IFERROR(V333*1,"0")+IFERROR(V334*1,"0")+IFERROR(V335*1,"0")+IFERROR(V336*1,"0")+IFERROR(V337*1,"0")+IFERROR(V338*1,"0")+IFERROR(V339*1,"0")+IFERROR(V340*1,"0")+IFERROR(V344*1,"0")+IFERROR(V345*1,"0")+IFERROR(V346*1,"0")+IFERROR(V347*1,"0")+IFERROR(V351*1,"0")+IFERROR(V355*1,"0")+IFERROR(V356*1,"0")+IFERROR(V357*1,"0")+IFERROR(V361*1,"0")</f>
        <v/>
      </c>
      <c r="N453" s="53">
        <f>IFERROR(V366*1,"0")+IFERROR(V367*1,"0")+IFERROR(V371*1,"0")+IFERROR(V372*1,"0")+IFERROR(V373*1,"0")+IFERROR(V374*1,"0")+IFERROR(V375*1,"0")+IFERROR(V379*1,"0")+IFERROR(V383*1,"0")</f>
        <v/>
      </c>
      <c r="O453" s="53">
        <f>IFERROR(V389*1,"0")+IFERROR(V390*1,"0")+IFERROR(V391*1,"0")+IFERROR(V392*1,"0")+IFERROR(V393*1,"0")+IFERROR(V394*1,"0")+IFERROR(V395*1,"0")+IFERROR(V396*1,"0")+IFERROR(V397*1,"0")+IFERROR(V398*1,"0")+IFERROR(V402*1,"0")+IFERROR(V403*1,"0")+IFERROR(V407*1,"0")+IFERROR(V408*1,"0")+IFERROR(V409*1,"0")+IFERROR(V410*1,"0")+IFERROR(V411*1,"0")+IFERROR(V412*1,"0")+IFERROR(V416*1,"0")+IFERROR(V417*1,"0")</f>
        <v/>
      </c>
      <c r="P453" s="53">
        <f>IFERROR(V423*1,"0")+IFERROR(V424*1,"0")+IFERROR(V428*1,"0")+IFERROR(V429*1,"0")+IFERROR(V433*1,"0")+IFERROR(V434*1,"0")+IFERROR(V438*1,"0")+IFERROR(V439*1,"0")+IFERROR(V440*1,"0")</f>
        <v/>
      </c>
      <c r="Q453" s="1" t="n"/>
      <c r="R453" s="1" t="n"/>
      <c r="S453" s="1" t="n"/>
      <c r="T453" s="1" t="n"/>
      <c r="Y453" s="61" t="n"/>
      <c r="AB453" s="1" t="n"/>
    </row>
    <row r="45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8fyWH8bUua9SKpk4BQ7Pyg==" formatRows="1" sort="0" spinCount="100000" hashValue="/pqUVLKBrAeooQYrfzC1H4UMU28KL+HYT1bH+C6as+N2hz0mwYDk+jEhq7n63EUUlO00oQqWzEj6JGw/DP46kA=="/>
  <autoFilter ref="B18:W448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O451:O452"/>
    <mergeCell ref="P451:P452"/>
    <mergeCell ref="C450:F450"/>
    <mergeCell ref="G450:J450"/>
    <mergeCell ref="K450:L450"/>
    <mergeCell ref="M450:N450"/>
    <mergeCell ref="A451:A452"/>
    <mergeCell ref="B451:B452"/>
    <mergeCell ref="C451:C452"/>
    <mergeCell ref="D451:D452"/>
    <mergeCell ref="E451:E452"/>
    <mergeCell ref="F451:F452"/>
    <mergeCell ref="G451:G452"/>
    <mergeCell ref="H451:H452"/>
    <mergeCell ref="I451:I452"/>
    <mergeCell ref="J451:J452"/>
    <mergeCell ref="K451:K452"/>
    <mergeCell ref="L451:L452"/>
    <mergeCell ref="M451:M452"/>
    <mergeCell ref="N451:N452"/>
    <mergeCell ref="D439:E439"/>
    <mergeCell ref="M439:Q439"/>
    <mergeCell ref="D440:E440"/>
    <mergeCell ref="M440:Q440"/>
    <mergeCell ref="M441:S441"/>
    <mergeCell ref="A441:L442"/>
    <mergeCell ref="M442:S442"/>
    <mergeCell ref="M443:S443"/>
    <mergeCell ref="A443:L448"/>
    <mergeCell ref="M444:S444"/>
    <mergeCell ref="M445:S445"/>
    <mergeCell ref="M446:S446"/>
    <mergeCell ref="M447:S447"/>
    <mergeCell ref="M448:S448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D438:E438"/>
    <mergeCell ref="M438:Q438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21:W421"/>
    <mergeCell ref="A422:W422"/>
    <mergeCell ref="D423:E423"/>
    <mergeCell ref="M423:Q423"/>
    <mergeCell ref="D424:E424"/>
    <mergeCell ref="M424:Q424"/>
    <mergeCell ref="M425:S425"/>
    <mergeCell ref="A425:L426"/>
    <mergeCell ref="M426:S426"/>
    <mergeCell ref="A415:W415"/>
    <mergeCell ref="D416:E416"/>
    <mergeCell ref="M416:Q416"/>
    <mergeCell ref="D417:E417"/>
    <mergeCell ref="M417:Q417"/>
    <mergeCell ref="M418:S418"/>
    <mergeCell ref="A418:L419"/>
    <mergeCell ref="M419:S419"/>
    <mergeCell ref="A420:W420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D403:E403"/>
    <mergeCell ref="M403:Q403"/>
    <mergeCell ref="M404:S404"/>
    <mergeCell ref="A404:L405"/>
    <mergeCell ref="M405:S405"/>
    <mergeCell ref="A406:W406"/>
    <mergeCell ref="D407:E407"/>
    <mergeCell ref="M407:Q407"/>
    <mergeCell ref="D408:E408"/>
    <mergeCell ref="M408:Q408"/>
    <mergeCell ref="D397:E397"/>
    <mergeCell ref="M397:Q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A386:W386"/>
    <mergeCell ref="A387:W387"/>
    <mergeCell ref="A388:W388"/>
    <mergeCell ref="D389:E389"/>
    <mergeCell ref="M389:Q389"/>
    <mergeCell ref="D390:E390"/>
    <mergeCell ref="M390:Q390"/>
    <mergeCell ref="D391:E391"/>
    <mergeCell ref="M391:Q391"/>
    <mergeCell ref="M380:S380"/>
    <mergeCell ref="A380:L381"/>
    <mergeCell ref="M381:S381"/>
    <mergeCell ref="A382:W382"/>
    <mergeCell ref="D383:E383"/>
    <mergeCell ref="M383:Q383"/>
    <mergeCell ref="M384:S384"/>
    <mergeCell ref="A384:L385"/>
    <mergeCell ref="M385:S385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M362:S362"/>
    <mergeCell ref="A362:L363"/>
    <mergeCell ref="M363:S363"/>
    <mergeCell ref="A364:W364"/>
    <mergeCell ref="A365:W365"/>
    <mergeCell ref="D366:E366"/>
    <mergeCell ref="M366:Q366"/>
    <mergeCell ref="D367:E367"/>
    <mergeCell ref="M367:Q367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A350:W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45:E345"/>
    <mergeCell ref="M345:Q345"/>
    <mergeCell ref="D346:E346"/>
    <mergeCell ref="M346:Q346"/>
    <mergeCell ref="D347:E347"/>
    <mergeCell ref="M347:Q347"/>
    <mergeCell ref="M348:S348"/>
    <mergeCell ref="A348:L349"/>
    <mergeCell ref="M349:S349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D227:E227"/>
    <mergeCell ref="M227:Q227"/>
    <mergeCell ref="M228:S228"/>
    <mergeCell ref="A228:L229"/>
    <mergeCell ref="M229:S229"/>
    <mergeCell ref="A230:W230"/>
    <mergeCell ref="A231:W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3gWuF86Xdg15tZmaR3rG5Q==" formatRows="1" sort="0" spinCount="100000" hashValue="yMYo4OYJXNt6iq9BP2MUn59kTYZ5TJbEIMzAcHlC/yQGKXvWDRDQpDbenMzyuzNh1LQGVRS8UHfCIrcp09zmP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2023-08-07T06:09:03Z</dcterms:modified>
  <cp:lastModifiedBy>Uaer4</cp:lastModifiedBy>
</cp:coreProperties>
</file>