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заказа'!$B$313:$B$313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заказа'!$B$325:$B$325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заказа'!$B$332:$B$332</definedName>
    <definedName name="ProductId177">'Бланк заказа'!$B$338:$B$338</definedName>
    <definedName name="ProductId178">'Бланк заказа'!$B$339:$B$339</definedName>
    <definedName name="ProductId179">'Бланк заказа'!$B$343:$B$343</definedName>
    <definedName name="ProductId18">'Бланк заказа'!$B$61:$B$61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заказа'!$B$359:$B$359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заказа'!$B$366:$B$366</definedName>
    <definedName name="ProductId197">'Бланк заказа'!$B$370:$B$370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заказа'!$B$423:$B$423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заказа'!$B$432:$B$432</definedName>
    <definedName name="ProductId23">'Бланк заказа'!$B$66:$B$66</definedName>
    <definedName name="ProductId230">'Бланк заказа'!$B$433:$B$433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заказа'!$U$313:$U$313</definedName>
    <definedName name="SalesQty167">'Бланк заказа'!$U$314:$U$314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заказа'!$U$325:$U$325</definedName>
    <definedName name="SalesQty173">'Бланк заказа'!$U$326:$U$326</definedName>
    <definedName name="SalesQty174">'Бланк заказа'!$U$327:$U$327</definedName>
    <definedName name="SalesQty175">'Бланк заказа'!$U$328:$U$328</definedName>
    <definedName name="SalesQty176">'Бланк заказа'!$U$332:$U$332</definedName>
    <definedName name="SalesQty177">'Бланк заказа'!$U$338:$U$338</definedName>
    <definedName name="SalesQty178">'Бланк заказа'!$U$339:$U$339</definedName>
    <definedName name="SalesQty179">'Бланк заказа'!$U$343:$U$343</definedName>
    <definedName name="SalesQty18">'Бланк заказа'!$U$61:$U$61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заказа'!$U$359:$U$359</definedName>
    <definedName name="SalesQty193">'Бланк заказа'!$U$360:$U$360</definedName>
    <definedName name="SalesQty194">'Бланк заказа'!$U$361:$U$361</definedName>
    <definedName name="SalesQty195">'Бланк заказа'!$U$362:$U$362</definedName>
    <definedName name="SalesQty196">'Бланк заказа'!$U$366:$U$366</definedName>
    <definedName name="SalesQty197">'Бланк заказа'!$U$370:$U$370</definedName>
    <definedName name="SalesQty198">'Бланк заказа'!$U$371:$U$371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заказа'!$U$423:$U$423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заказа'!$U$432:$U$432</definedName>
    <definedName name="SalesQty23">'Бланк заказа'!$U$66:$U$66</definedName>
    <definedName name="SalesQty230">'Бланк заказа'!$U$433:$U$433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заказа'!$U$454:$U$454</definedName>
    <definedName name="SalesQty238">'Бланк заказа'!$U$455:$U$455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заказа'!$U$84:$U$84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заказа'!$U$96:$U$96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заказа'!$V$313:$V$313</definedName>
    <definedName name="SalesRoundBox167">'Бланк заказа'!$V$314:$V$314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заказа'!$V$325:$V$325</definedName>
    <definedName name="SalesRoundBox173">'Бланк заказа'!$V$326:$V$326</definedName>
    <definedName name="SalesRoundBox174">'Бланк заказа'!$V$327:$V$327</definedName>
    <definedName name="SalesRoundBox175">'Бланк заказа'!$V$328:$V$328</definedName>
    <definedName name="SalesRoundBox176">'Бланк заказа'!$V$332:$V$332</definedName>
    <definedName name="SalesRoundBox177">'Бланк заказа'!$V$338:$V$338</definedName>
    <definedName name="SalesRoundBox178">'Бланк заказа'!$V$339:$V$339</definedName>
    <definedName name="SalesRoundBox179">'Бланк заказа'!$V$343:$V$343</definedName>
    <definedName name="SalesRoundBox18">'Бланк заказа'!$V$61:$V$61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заказа'!$V$359:$V$359</definedName>
    <definedName name="SalesRoundBox193">'Бланк заказа'!$V$360:$V$360</definedName>
    <definedName name="SalesRoundBox194">'Бланк заказа'!$V$361:$V$361</definedName>
    <definedName name="SalesRoundBox195">'Бланк заказа'!$V$362:$V$362</definedName>
    <definedName name="SalesRoundBox196">'Бланк заказа'!$V$366:$V$366</definedName>
    <definedName name="SalesRoundBox197">'Бланк заказа'!$V$370:$V$370</definedName>
    <definedName name="SalesRoundBox198">'Бланк заказа'!$V$371:$V$371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заказа'!$V$423:$V$423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заказа'!$V$432:$V$432</definedName>
    <definedName name="SalesRoundBox23">'Бланк заказа'!$V$66:$V$66</definedName>
    <definedName name="SalesRoundBox230">'Бланк заказа'!$V$433:$V$433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заказа'!$V$454:$V$454</definedName>
    <definedName name="SalesRoundBox238">'Бланк заказа'!$V$455:$V$455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заказа'!$V$84:$V$84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заказа'!$V$96:$V$96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заказа'!$T$313:$T$313</definedName>
    <definedName name="UnitOfMeasure167">'Бланк заказа'!$T$314:$T$314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заказа'!$T$325:$T$325</definedName>
    <definedName name="UnitOfMeasure173">'Бланк заказа'!$T$326:$T$326</definedName>
    <definedName name="UnitOfMeasure174">'Бланк заказа'!$T$327:$T$327</definedName>
    <definedName name="UnitOfMeasure175">'Бланк заказа'!$T$328:$T$328</definedName>
    <definedName name="UnitOfMeasure176">'Бланк заказа'!$T$332:$T$332</definedName>
    <definedName name="UnitOfMeasure177">'Бланк заказа'!$T$338:$T$338</definedName>
    <definedName name="UnitOfMeasure178">'Бланк заказа'!$T$339:$T$339</definedName>
    <definedName name="UnitOfMeasure179">'Бланк заказа'!$T$343:$T$343</definedName>
    <definedName name="UnitOfMeasure18">'Бланк заказа'!$T$61:$T$61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заказа'!$T$359:$T$359</definedName>
    <definedName name="UnitOfMeasure193">'Бланк заказа'!$T$360:$T$360</definedName>
    <definedName name="UnitOfMeasure194">'Бланк заказа'!$T$361:$T$361</definedName>
    <definedName name="UnitOfMeasure195">'Бланк заказа'!$T$362:$T$362</definedName>
    <definedName name="UnitOfMeasure196">'Бланк заказа'!$T$366:$T$366</definedName>
    <definedName name="UnitOfMeasure197">'Бланк заказа'!$T$370:$T$370</definedName>
    <definedName name="UnitOfMeasure198">'Бланк заказа'!$T$371:$T$371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заказа'!$T$423:$T$423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заказа'!$T$432:$T$432</definedName>
    <definedName name="UnitOfMeasure23">'Бланк заказа'!$T$66:$T$66</definedName>
    <definedName name="UnitOfMeasure230">'Бланк заказа'!$T$433:$T$433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заказа'!$T$454:$T$454</definedName>
    <definedName name="UnitOfMeasure238">'Бланк заказа'!$T$455:$T$455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заказа'!$T$84:$T$84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заказа'!$T$96:$T$96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заказа'!$B$18:$W$468</definedName>
  </definedNames>
  <calcPr calcId="181029" fullCalcOnLoad="1" iterateDelta="0.000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53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74"/>
  <sheetViews>
    <sheetView showGridLines="0" tabSelected="1" zoomScaleNormal="100" zoomScaleSheetLayoutView="100" workbookViewId="0">
      <selection activeCell="A381" sqref="A381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598">
      <c r="A1" s="48" t="n"/>
      <c r="B1" s="48" t="n"/>
      <c r="C1" s="48" t="n"/>
      <c r="D1" s="617" t="inlineStr">
        <is>
          <t xml:space="preserve">  БЛАНК ЗАКАЗА </t>
        </is>
      </c>
      <c r="G1" s="14" t="inlineStr">
        <is>
          <t>КИ</t>
        </is>
      </c>
      <c r="H1" s="617" t="inlineStr">
        <is>
          <t>на отгрузку продукции с ООО Трейд-Сервис с</t>
        </is>
      </c>
      <c r="O1" s="618" t="inlineStr">
        <is>
          <t>04.09.2023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598">
      <c r="A2" s="34" t="inlineStr">
        <is>
          <t>бланк создан</t>
        </is>
      </c>
      <c r="B2" s="35" t="inlineStr">
        <is>
          <t>31.08.2023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5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5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598">
      <c r="A5" s="599" t="inlineStr">
        <is>
          <t xml:space="preserve">Ваш контактный телефон и имя: </t>
        </is>
      </c>
      <c r="B5" s="627" t="n"/>
      <c r="C5" s="628" t="n"/>
      <c r="D5" s="621" t="n"/>
      <c r="E5" s="629" t="n"/>
      <c r="F5" s="622" t="inlineStr">
        <is>
          <t>Комментарий к заказу:</t>
        </is>
      </c>
      <c r="G5" s="628" t="n"/>
      <c r="H5" s="621" t="n"/>
      <c r="I5" s="630" t="n"/>
      <c r="J5" s="630" t="n"/>
      <c r="K5" s="629" t="n"/>
      <c r="M5" s="29" t="inlineStr">
        <is>
          <t>Дата загрузки</t>
        </is>
      </c>
      <c r="N5" s="631" t="n">
        <v>45173</v>
      </c>
      <c r="O5" s="632" t="n"/>
      <c r="Q5" s="624" t="inlineStr">
        <is>
          <t>Способ доставки (доставка/самовывоз)</t>
        </is>
      </c>
      <c r="R5" s="633" t="n"/>
      <c r="S5" s="634" t="inlineStr">
        <is>
          <t>Самовывоз</t>
        </is>
      </c>
      <c r="T5" s="632" t="n"/>
      <c r="Y5" s="60" t="n"/>
      <c r="Z5" s="60" t="n"/>
      <c r="AA5" s="60" t="n"/>
    </row>
    <row r="6" ht="24" customFormat="1" customHeight="1" s="598">
      <c r="A6" s="599" t="inlineStr">
        <is>
          <t>Адрес доставки:</t>
        </is>
      </c>
      <c r="B6" s="627" t="n"/>
      <c r="C6" s="628" t="n"/>
      <c r="D6" s="600" t="inlineStr">
        <is>
          <t>ЛП, ООО, Крым Респ, Симферополь г, Данилова ул, 43В, лит В, офис 4,</t>
        </is>
      </c>
      <c r="E6" s="635" t="n"/>
      <c r="F6" s="635" t="n"/>
      <c r="G6" s="635" t="n"/>
      <c r="H6" s="635" t="n"/>
      <c r="I6" s="635" t="n"/>
      <c r="J6" s="635" t="n"/>
      <c r="K6" s="632" t="n"/>
      <c r="M6" s="29" t="inlineStr">
        <is>
          <t>День недели</t>
        </is>
      </c>
      <c r="N6" s="601">
        <f>IF(N5=0," ",CHOOSE(WEEKDAY(N5,2),"Понедельник","Вторник","Среда","Четверг","Пятница","Суббота","Воскресенье"))</f>
        <v/>
      </c>
      <c r="O6" s="636" t="n"/>
      <c r="Q6" s="603" t="inlineStr">
        <is>
          <t>Наименование клиента</t>
        </is>
      </c>
      <c r="R6" s="633" t="n"/>
      <c r="S6" s="637" t="inlineStr">
        <is>
          <t>ОБЩЕСТВО С ОГРАНИЧЕННОЙ ОТВЕТСТВЕННОСТЬЮ "ЛОГИСТИЧЕСКИЙ ПАРТНЕР"</t>
        </is>
      </c>
      <c r="T6" s="638" t="n"/>
      <c r="Y6" s="60" t="n"/>
      <c r="Z6" s="60" t="n"/>
      <c r="AA6" s="60" t="n"/>
    </row>
    <row r="7" hidden="1" ht="21.75" customFormat="1" customHeight="1" s="598">
      <c r="A7" s="65" t="n"/>
      <c r="B7" s="65" t="n"/>
      <c r="C7" s="65" t="n"/>
      <c r="D7" s="639">
        <f>IFERROR(VLOOKUP(DeliveryAddress,Table,3,0),1)</f>
        <v/>
      </c>
      <c r="E7" s="640" t="n"/>
      <c r="F7" s="640" t="n"/>
      <c r="G7" s="640" t="n"/>
      <c r="H7" s="640" t="n"/>
      <c r="I7" s="640" t="n"/>
      <c r="J7" s="640" t="n"/>
      <c r="K7" s="641" t="n"/>
      <c r="M7" s="29" t="n"/>
      <c r="N7" s="49" t="n"/>
      <c r="O7" s="49" t="n"/>
      <c r="Q7" s="1" t="n"/>
      <c r="R7" s="633" t="n"/>
      <c r="S7" s="642" t="n"/>
      <c r="T7" s="643" t="n"/>
      <c r="Y7" s="60" t="n"/>
      <c r="Z7" s="60" t="n"/>
      <c r="AA7" s="60" t="n"/>
    </row>
    <row r="8" ht="25.5" customFormat="1" customHeight="1" s="598">
      <c r="A8" s="613" t="inlineStr">
        <is>
          <t>Адрес сдачи груза:</t>
        </is>
      </c>
      <c r="B8" s="644" t="n"/>
      <c r="C8" s="645" t="n"/>
      <c r="D8" s="614" t="n"/>
      <c r="E8" s="646" t="n"/>
      <c r="F8" s="646" t="n"/>
      <c r="G8" s="646" t="n"/>
      <c r="H8" s="646" t="n"/>
      <c r="I8" s="646" t="n"/>
      <c r="J8" s="646" t="n"/>
      <c r="K8" s="647" t="n"/>
      <c r="M8" s="29" t="inlineStr">
        <is>
          <t>Время загрузки</t>
        </is>
      </c>
      <c r="N8" s="594" t="n">
        <v>0.3333333333333333</v>
      </c>
      <c r="O8" s="632" t="n"/>
      <c r="Q8" s="1" t="n"/>
      <c r="R8" s="633" t="n"/>
      <c r="S8" s="642" t="n"/>
      <c r="T8" s="643" t="n"/>
      <c r="Y8" s="60" t="n"/>
      <c r="Z8" s="60" t="n"/>
      <c r="AA8" s="60" t="n"/>
    </row>
    <row r="9" ht="39.95" customFormat="1" customHeight="1" s="598">
      <c r="A9" s="5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591" t="inlineStr"/>
      <c r="E9" s="3" t="n"/>
      <c r="F9" s="5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1" t="n"/>
      <c r="O9" s="632" t="n"/>
      <c r="Q9" s="1" t="n"/>
      <c r="R9" s="633" t="n"/>
      <c r="S9" s="648" t="n"/>
      <c r="T9" s="649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598">
      <c r="A10" s="5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591" t="n"/>
      <c r="E10" s="3" t="n"/>
      <c r="F10" s="5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5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594" t="n"/>
      <c r="O10" s="632" t="n"/>
      <c r="R10" s="29" t="inlineStr">
        <is>
          <t>КОД Аксапты Клиента</t>
        </is>
      </c>
      <c r="S10" s="650" t="inlineStr">
        <is>
          <t>590704</t>
        </is>
      </c>
      <c r="T10" s="638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5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594" t="n"/>
      <c r="O11" s="632" t="n"/>
      <c r="R11" s="29" t="inlineStr">
        <is>
          <t>Тип заказа</t>
        </is>
      </c>
      <c r="S11" s="582" t="inlineStr">
        <is>
          <t>Основной заказ</t>
        </is>
      </c>
      <c r="T11" s="651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598">
      <c r="A12" s="581" t="inlineStr">
        <is>
          <t>Телефоны для заказов: 8(919)002-63-01  E-mail: kolbasa@abiproduct.ru  Телефон сотрудников склада: 8 (910) 775-52-91</t>
        </is>
      </c>
      <c r="B12" s="627" t="n"/>
      <c r="C12" s="627" t="n"/>
      <c r="D12" s="627" t="n"/>
      <c r="E12" s="627" t="n"/>
      <c r="F12" s="627" t="n"/>
      <c r="G12" s="627" t="n"/>
      <c r="H12" s="627" t="n"/>
      <c r="I12" s="627" t="n"/>
      <c r="J12" s="627" t="n"/>
      <c r="K12" s="628" t="n"/>
      <c r="M12" s="29" t="inlineStr">
        <is>
          <t>Время доставки 3 машины</t>
        </is>
      </c>
      <c r="N12" s="597" t="n"/>
      <c r="O12" s="641" t="n"/>
      <c r="P12" s="28" t="n"/>
      <c r="R12" s="29" t="inlineStr"/>
      <c r="S12" s="598" t="n"/>
      <c r="T12" s="1" t="n"/>
      <c r="Y12" s="60" t="n"/>
      <c r="Z12" s="60" t="n"/>
      <c r="AA12" s="60" t="n"/>
    </row>
    <row r="13" ht="23.25" customFormat="1" customHeight="1" s="598">
      <c r="A13" s="581" t="inlineStr">
        <is>
          <t>График приема заказов: Заказы принимаются за ДВА дня до отгрузки Пн-Пт: с 9:00 до 14:00, Суб., Вс. - до 12:00</t>
        </is>
      </c>
      <c r="B13" s="627" t="n"/>
      <c r="C13" s="627" t="n"/>
      <c r="D13" s="627" t="n"/>
      <c r="E13" s="627" t="n"/>
      <c r="F13" s="627" t="n"/>
      <c r="G13" s="627" t="n"/>
      <c r="H13" s="627" t="n"/>
      <c r="I13" s="627" t="n"/>
      <c r="J13" s="627" t="n"/>
      <c r="K13" s="628" t="n"/>
      <c r="L13" s="31" t="n"/>
      <c r="M13" s="31" t="inlineStr">
        <is>
          <t>Время доставки 4 машины</t>
        </is>
      </c>
      <c r="N13" s="582" t="n"/>
      <c r="O13" s="651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598">
      <c r="A14" s="581" t="inlineStr">
        <is>
          <t>Телефон менеджера по логистике: 8 (919) 012-30-55 - по вопросам доставки продукции</t>
        </is>
      </c>
      <c r="B14" s="627" t="n"/>
      <c r="C14" s="627" t="n"/>
      <c r="D14" s="627" t="n"/>
      <c r="E14" s="627" t="n"/>
      <c r="F14" s="627" t="n"/>
      <c r="G14" s="627" t="n"/>
      <c r="H14" s="627" t="n"/>
      <c r="I14" s="627" t="n"/>
      <c r="J14" s="627" t="n"/>
      <c r="K14" s="628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598">
      <c r="A15" s="583" t="inlineStr">
        <is>
          <t>Телефон по работе с претензиями/жалобами (WhatSapp): 8 (980) 757-69-93       E-mail: Claims@abiproduct.ru</t>
        </is>
      </c>
      <c r="B15" s="627" t="n"/>
      <c r="C15" s="627" t="n"/>
      <c r="D15" s="627" t="n"/>
      <c r="E15" s="627" t="n"/>
      <c r="F15" s="627" t="n"/>
      <c r="G15" s="627" t="n"/>
      <c r="H15" s="627" t="n"/>
      <c r="I15" s="627" t="n"/>
      <c r="J15" s="627" t="n"/>
      <c r="K15" s="628" t="n"/>
      <c r="M15" s="585" t="inlineStr">
        <is>
          <t>Кликните на продукт, чтобы просмотреть изображение</t>
        </is>
      </c>
      <c r="U15" s="598" t="n"/>
      <c r="V15" s="598" t="n"/>
      <c r="W15" s="598" t="n"/>
      <c r="X15" s="598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2" t="n"/>
      <c r="N16" s="652" t="n"/>
      <c r="O16" s="652" t="n"/>
      <c r="P16" s="652" t="n"/>
      <c r="Q16" s="652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69" t="inlineStr">
        <is>
          <t>Код единицы продаж</t>
        </is>
      </c>
      <c r="B17" s="569" t="inlineStr">
        <is>
          <t>Код продукта</t>
        </is>
      </c>
      <c r="C17" s="587" t="inlineStr">
        <is>
          <t>Номер варианта</t>
        </is>
      </c>
      <c r="D17" s="569" t="inlineStr">
        <is>
          <t xml:space="preserve">Штрих-код </t>
        </is>
      </c>
      <c r="E17" s="653" t="n"/>
      <c r="F17" s="569" t="inlineStr">
        <is>
          <t>Вес нетто штуки, кг</t>
        </is>
      </c>
      <c r="G17" s="569" t="inlineStr">
        <is>
          <t>Кол-во штук в коробе, шт</t>
        </is>
      </c>
      <c r="H17" s="569" t="inlineStr">
        <is>
          <t>Вес нетто короба, кг</t>
        </is>
      </c>
      <c r="I17" s="569" t="inlineStr">
        <is>
          <t>Вес брутто короба, кг</t>
        </is>
      </c>
      <c r="J17" s="569" t="inlineStr">
        <is>
          <t>Кол-во кор. на паллте, шт</t>
        </is>
      </c>
      <c r="K17" s="569" t="inlineStr">
        <is>
          <t>Завод</t>
        </is>
      </c>
      <c r="L17" s="569" t="inlineStr">
        <is>
          <t>Срок годности, сут.</t>
        </is>
      </c>
      <c r="M17" s="569" t="inlineStr">
        <is>
          <t>Наименование</t>
        </is>
      </c>
      <c r="N17" s="654" t="n"/>
      <c r="O17" s="654" t="n"/>
      <c r="P17" s="654" t="n"/>
      <c r="Q17" s="653" t="n"/>
      <c r="R17" s="586" t="inlineStr">
        <is>
          <t>Доступно к отгрузке</t>
        </is>
      </c>
      <c r="S17" s="628" t="n"/>
      <c r="T17" s="569" t="inlineStr">
        <is>
          <t>Ед. изм.</t>
        </is>
      </c>
      <c r="U17" s="569" t="inlineStr">
        <is>
          <t>Заказ</t>
        </is>
      </c>
      <c r="V17" s="570" t="inlineStr">
        <is>
          <t>Заказ с округлением до короба</t>
        </is>
      </c>
      <c r="W17" s="569" t="inlineStr">
        <is>
          <t>Объём заказа, м3</t>
        </is>
      </c>
      <c r="X17" s="572" t="inlineStr">
        <is>
          <t>Примечание по продуктку</t>
        </is>
      </c>
      <c r="Y17" s="572" t="inlineStr">
        <is>
          <t>Признак "НОВИНКА"</t>
        </is>
      </c>
      <c r="Z17" s="572" t="inlineStr">
        <is>
          <t>Для формул</t>
        </is>
      </c>
      <c r="AA17" s="655" t="n"/>
      <c r="AB17" s="656" t="n"/>
      <c r="AC17" s="579" t="n"/>
      <c r="AZ17" s="580" t="inlineStr">
        <is>
          <t>Вид продукции</t>
        </is>
      </c>
    </row>
    <row r="18" ht="14.25" customHeight="1">
      <c r="A18" s="657" t="n"/>
      <c r="B18" s="657" t="n"/>
      <c r="C18" s="657" t="n"/>
      <c r="D18" s="658" t="n"/>
      <c r="E18" s="659" t="n"/>
      <c r="F18" s="657" t="n"/>
      <c r="G18" s="657" t="n"/>
      <c r="H18" s="657" t="n"/>
      <c r="I18" s="657" t="n"/>
      <c r="J18" s="657" t="n"/>
      <c r="K18" s="657" t="n"/>
      <c r="L18" s="657" t="n"/>
      <c r="M18" s="658" t="n"/>
      <c r="N18" s="660" t="n"/>
      <c r="O18" s="660" t="n"/>
      <c r="P18" s="660" t="n"/>
      <c r="Q18" s="659" t="n"/>
      <c r="R18" s="586" t="inlineStr">
        <is>
          <t>начиная с</t>
        </is>
      </c>
      <c r="S18" s="586" t="inlineStr">
        <is>
          <t>до</t>
        </is>
      </c>
      <c r="T18" s="657" t="n"/>
      <c r="U18" s="657" t="n"/>
      <c r="V18" s="661" t="n"/>
      <c r="W18" s="657" t="n"/>
      <c r="X18" s="662" t="n"/>
      <c r="Y18" s="662" t="n"/>
      <c r="Z18" s="663" t="n"/>
      <c r="AA18" s="664" t="n"/>
      <c r="AB18" s="665" t="n"/>
      <c r="AC18" s="666" t="n"/>
      <c r="AZ18" s="1" t="n"/>
    </row>
    <row r="19" ht="27.75" customHeight="1">
      <c r="A19" s="336" t="inlineStr">
        <is>
          <t>Ядрена копоть</t>
        </is>
      </c>
      <c r="B19" s="667" t="n"/>
      <c r="C19" s="667" t="n"/>
      <c r="D19" s="667" t="n"/>
      <c r="E19" s="667" t="n"/>
      <c r="F19" s="667" t="n"/>
      <c r="G19" s="667" t="n"/>
      <c r="H19" s="667" t="n"/>
      <c r="I19" s="667" t="n"/>
      <c r="J19" s="667" t="n"/>
      <c r="K19" s="667" t="n"/>
      <c r="L19" s="667" t="n"/>
      <c r="M19" s="667" t="n"/>
      <c r="N19" s="667" t="n"/>
      <c r="O19" s="667" t="n"/>
      <c r="P19" s="667" t="n"/>
      <c r="Q19" s="667" t="n"/>
      <c r="R19" s="667" t="n"/>
      <c r="S19" s="667" t="n"/>
      <c r="T19" s="667" t="n"/>
      <c r="U19" s="667" t="n"/>
      <c r="V19" s="667" t="n"/>
      <c r="W19" s="667" t="n"/>
      <c r="X19" s="55" t="n"/>
      <c r="Y19" s="55" t="n"/>
    </row>
    <row r="20" ht="16.5" customHeight="1">
      <c r="A20" s="330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30" t="n"/>
      <c r="Y20" s="330" t="n"/>
    </row>
    <row r="21" ht="14.25" customHeight="1">
      <c r="A21" s="331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31" t="n"/>
      <c r="Y21" s="331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15" t="n">
        <v>4607091389258</v>
      </c>
      <c r="E22" s="636" t="n"/>
      <c r="F22" s="668" t="n">
        <v>0.3</v>
      </c>
      <c r="G22" s="38" t="n">
        <v>6</v>
      </c>
      <c r="H22" s="668" t="n">
        <v>1.8</v>
      </c>
      <c r="I22" s="668" t="n">
        <v>2</v>
      </c>
      <c r="J22" s="38" t="n">
        <v>156</v>
      </c>
      <c r="K22" s="39" t="inlineStr">
        <is>
          <t>СК2</t>
        </is>
      </c>
      <c r="L22" s="38" t="n">
        <v>35</v>
      </c>
      <c r="M22" s="669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70" t="n"/>
      <c r="O22" s="670" t="n"/>
      <c r="P22" s="670" t="n"/>
      <c r="Q22" s="636" t="n"/>
      <c r="R22" s="40" t="inlineStr"/>
      <c r="S22" s="40" t="inlineStr"/>
      <c r="T22" s="41" t="inlineStr">
        <is>
          <t>кг</t>
        </is>
      </c>
      <c r="U22" s="671" t="n">
        <v>0</v>
      </c>
      <c r="V22" s="672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1" t="n"/>
      <c r="AZ22" s="73" t="inlineStr">
        <is>
          <t>КИ</t>
        </is>
      </c>
    </row>
    <row r="23">
      <c r="A23" s="323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3" t="n"/>
      <c r="M23" s="674" t="inlineStr">
        <is>
          <t>Итого</t>
        </is>
      </c>
      <c r="N23" s="644" t="n"/>
      <c r="O23" s="644" t="n"/>
      <c r="P23" s="644" t="n"/>
      <c r="Q23" s="644" t="n"/>
      <c r="R23" s="644" t="n"/>
      <c r="S23" s="645" t="n"/>
      <c r="T23" s="43" t="inlineStr">
        <is>
          <t>кор</t>
        </is>
      </c>
      <c r="U23" s="675">
        <f>IFERROR(U22/H22,"0")</f>
        <v/>
      </c>
      <c r="V23" s="675">
        <f>IFERROR(V22/H22,"0")</f>
        <v/>
      </c>
      <c r="W23" s="675">
        <f>IFERROR(IF(W22="",0,W22),"0")</f>
        <v/>
      </c>
      <c r="X23" s="676" t="n"/>
      <c r="Y23" s="676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3" t="n"/>
      <c r="M24" s="674" t="inlineStr">
        <is>
          <t>Итого</t>
        </is>
      </c>
      <c r="N24" s="644" t="n"/>
      <c r="O24" s="644" t="n"/>
      <c r="P24" s="644" t="n"/>
      <c r="Q24" s="644" t="n"/>
      <c r="R24" s="644" t="n"/>
      <c r="S24" s="645" t="n"/>
      <c r="T24" s="43" t="inlineStr">
        <is>
          <t>кг</t>
        </is>
      </c>
      <c r="U24" s="675">
        <f>IFERROR(SUM(U22:U22),"0")</f>
        <v/>
      </c>
      <c r="V24" s="675">
        <f>IFERROR(SUM(V22:V22),"0")</f>
        <v/>
      </c>
      <c r="W24" s="43" t="n"/>
      <c r="X24" s="676" t="n"/>
      <c r="Y24" s="676" t="n"/>
    </row>
    <row r="25" ht="14.25" customHeight="1">
      <c r="A25" s="331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31" t="n"/>
      <c r="Y25" s="331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15" t="n">
        <v>4607091383881</v>
      </c>
      <c r="E26" s="636" t="n"/>
      <c r="F26" s="668" t="n">
        <v>0.33</v>
      </c>
      <c r="G26" s="38" t="n">
        <v>6</v>
      </c>
      <c r="H26" s="668" t="n">
        <v>1.98</v>
      </c>
      <c r="I26" s="668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77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0" t="n"/>
      <c r="O26" s="670" t="n"/>
      <c r="P26" s="670" t="n"/>
      <c r="Q26" s="636" t="n"/>
      <c r="R26" s="40" t="inlineStr"/>
      <c r="S26" s="40" t="inlineStr"/>
      <c r="T26" s="41" t="inlineStr">
        <is>
          <t>кг</t>
        </is>
      </c>
      <c r="U26" s="671" t="n">
        <v>0</v>
      </c>
      <c r="V26" s="672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1" t="n"/>
      <c r="AZ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15" t="n">
        <v>4607091388237</v>
      </c>
      <c r="E27" s="636" t="n"/>
      <c r="F27" s="668" t="n">
        <v>0.42</v>
      </c>
      <c r="G27" s="38" t="n">
        <v>6</v>
      </c>
      <c r="H27" s="668" t="n">
        <v>2.52</v>
      </c>
      <c r="I27" s="668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78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0" t="n"/>
      <c r="O27" s="670" t="n"/>
      <c r="P27" s="670" t="n"/>
      <c r="Q27" s="636" t="n"/>
      <c r="R27" s="40" t="inlineStr"/>
      <c r="S27" s="40" t="inlineStr"/>
      <c r="T27" s="41" t="inlineStr">
        <is>
          <t>кг</t>
        </is>
      </c>
      <c r="U27" s="671" t="n">
        <v>0</v>
      </c>
      <c r="V27" s="672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1" t="n"/>
      <c r="AZ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15" t="n">
        <v>4607091383935</v>
      </c>
      <c r="E28" s="636" t="n"/>
      <c r="F28" s="668" t="n">
        <v>0.33</v>
      </c>
      <c r="G28" s="38" t="n">
        <v>6</v>
      </c>
      <c r="H28" s="668" t="n">
        <v>1.98</v>
      </c>
      <c r="I28" s="668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79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0" t="n"/>
      <c r="O28" s="670" t="n"/>
      <c r="P28" s="670" t="n"/>
      <c r="Q28" s="636" t="n"/>
      <c r="R28" s="40" t="inlineStr"/>
      <c r="S28" s="40" t="inlineStr"/>
      <c r="T28" s="41" t="inlineStr">
        <is>
          <t>кг</t>
        </is>
      </c>
      <c r="U28" s="671" t="n">
        <v>0</v>
      </c>
      <c r="V28" s="672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1" t="n"/>
      <c r="AZ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15" t="n">
        <v>4680115881853</v>
      </c>
      <c r="E29" s="636" t="n"/>
      <c r="F29" s="668" t="n">
        <v>0.33</v>
      </c>
      <c r="G29" s="38" t="n">
        <v>6</v>
      </c>
      <c r="H29" s="668" t="n">
        <v>1.98</v>
      </c>
      <c r="I29" s="668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0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70" t="n"/>
      <c r="O29" s="670" t="n"/>
      <c r="P29" s="670" t="n"/>
      <c r="Q29" s="636" t="n"/>
      <c r="R29" s="40" t="inlineStr"/>
      <c r="S29" s="40" t="inlineStr"/>
      <c r="T29" s="41" t="inlineStr">
        <is>
          <t>кг</t>
        </is>
      </c>
      <c r="U29" s="671" t="n">
        <v>0</v>
      </c>
      <c r="V29" s="672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1" t="n"/>
      <c r="AZ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15" t="n">
        <v>4607091383911</v>
      </c>
      <c r="E30" s="636" t="n"/>
      <c r="F30" s="668" t="n">
        <v>0.33</v>
      </c>
      <c r="G30" s="38" t="n">
        <v>6</v>
      </c>
      <c r="H30" s="668" t="n">
        <v>1.98</v>
      </c>
      <c r="I30" s="668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1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0" t="n"/>
      <c r="O30" s="670" t="n"/>
      <c r="P30" s="670" t="n"/>
      <c r="Q30" s="636" t="n"/>
      <c r="R30" s="40" t="inlineStr"/>
      <c r="S30" s="40" t="inlineStr"/>
      <c r="T30" s="41" t="inlineStr">
        <is>
          <t>кг</t>
        </is>
      </c>
      <c r="U30" s="671" t="n">
        <v>0</v>
      </c>
      <c r="V30" s="672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1" t="n"/>
      <c r="AZ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15" t="n">
        <v>4607091388244</v>
      </c>
      <c r="E31" s="636" t="n"/>
      <c r="F31" s="668" t="n">
        <v>0.42</v>
      </c>
      <c r="G31" s="38" t="n">
        <v>6</v>
      </c>
      <c r="H31" s="668" t="n">
        <v>2.52</v>
      </c>
      <c r="I31" s="668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2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0" t="n"/>
      <c r="O31" s="670" t="n"/>
      <c r="P31" s="670" t="n"/>
      <c r="Q31" s="636" t="n"/>
      <c r="R31" s="40" t="inlineStr"/>
      <c r="S31" s="40" t="inlineStr"/>
      <c r="T31" s="41" t="inlineStr">
        <is>
          <t>кг</t>
        </is>
      </c>
      <c r="U31" s="671" t="n">
        <v>0</v>
      </c>
      <c r="V31" s="672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1" t="n"/>
      <c r="AZ31" s="79" t="inlineStr">
        <is>
          <t>КИ</t>
        </is>
      </c>
    </row>
    <row r="32">
      <c r="A32" s="323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3" t="n"/>
      <c r="M32" s="674" t="inlineStr">
        <is>
          <t>Итого</t>
        </is>
      </c>
      <c r="N32" s="644" t="n"/>
      <c r="O32" s="644" t="n"/>
      <c r="P32" s="644" t="n"/>
      <c r="Q32" s="644" t="n"/>
      <c r="R32" s="644" t="n"/>
      <c r="S32" s="645" t="n"/>
      <c r="T32" s="43" t="inlineStr">
        <is>
          <t>кор</t>
        </is>
      </c>
      <c r="U32" s="675">
        <f>IFERROR(U26/H26,"0")+IFERROR(U27/H27,"0")+IFERROR(U28/H28,"0")+IFERROR(U29/H29,"0")+IFERROR(U30/H30,"0")+IFERROR(U31/H31,"0")</f>
        <v/>
      </c>
      <c r="V32" s="675">
        <f>IFERROR(V26/H26,"0")+IFERROR(V27/H27,"0")+IFERROR(V28/H28,"0")+IFERROR(V29/H29,"0")+IFERROR(V30/H30,"0")+IFERROR(V31/H31,"0")</f>
        <v/>
      </c>
      <c r="W32" s="675">
        <f>IFERROR(IF(W26="",0,W26),"0")+IFERROR(IF(W27="",0,W27),"0")+IFERROR(IF(W28="",0,W28),"0")+IFERROR(IF(W29="",0,W29),"0")+IFERROR(IF(W30="",0,W30),"0")+IFERROR(IF(W31="",0,W31),"0")</f>
        <v/>
      </c>
      <c r="X32" s="676" t="n"/>
      <c r="Y32" s="676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3" t="n"/>
      <c r="M33" s="674" t="inlineStr">
        <is>
          <t>Итого</t>
        </is>
      </c>
      <c r="N33" s="644" t="n"/>
      <c r="O33" s="644" t="n"/>
      <c r="P33" s="644" t="n"/>
      <c r="Q33" s="644" t="n"/>
      <c r="R33" s="644" t="n"/>
      <c r="S33" s="645" t="n"/>
      <c r="T33" s="43" t="inlineStr">
        <is>
          <t>кг</t>
        </is>
      </c>
      <c r="U33" s="675">
        <f>IFERROR(SUM(U26:U31),"0")</f>
        <v/>
      </c>
      <c r="V33" s="675">
        <f>IFERROR(SUM(V26:V31),"0")</f>
        <v/>
      </c>
      <c r="W33" s="43" t="n"/>
      <c r="X33" s="676" t="n"/>
      <c r="Y33" s="676" t="n"/>
    </row>
    <row r="34" ht="14.25" customHeight="1">
      <c r="A34" s="331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31" t="n"/>
      <c r="Y34" s="331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15" t="n">
        <v>4607091388503</v>
      </c>
      <c r="E35" s="636" t="n"/>
      <c r="F35" s="668" t="n">
        <v>0.05</v>
      </c>
      <c r="G35" s="38" t="n">
        <v>12</v>
      </c>
      <c r="H35" s="668" t="n">
        <v>0.6</v>
      </c>
      <c r="I35" s="668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3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0" t="n"/>
      <c r="O35" s="670" t="n"/>
      <c r="P35" s="670" t="n"/>
      <c r="Q35" s="636" t="n"/>
      <c r="R35" s="40" t="inlineStr"/>
      <c r="S35" s="40" t="inlineStr"/>
      <c r="T35" s="41" t="inlineStr">
        <is>
          <t>кг</t>
        </is>
      </c>
      <c r="U35" s="671" t="n">
        <v>0</v>
      </c>
      <c r="V35" s="672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1" t="n"/>
      <c r="AZ35" s="80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15" t="n">
        <v>4680115880139</v>
      </c>
      <c r="E36" s="636" t="n"/>
      <c r="F36" s="668" t="n">
        <v>0.025</v>
      </c>
      <c r="G36" s="38" t="n">
        <v>10</v>
      </c>
      <c r="H36" s="668" t="n">
        <v>0.25</v>
      </c>
      <c r="I36" s="668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84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0" t="n"/>
      <c r="O36" s="670" t="n"/>
      <c r="P36" s="670" t="n"/>
      <c r="Q36" s="636" t="n"/>
      <c r="R36" s="40" t="inlineStr"/>
      <c r="S36" s="40" t="inlineStr"/>
      <c r="T36" s="41" t="inlineStr">
        <is>
          <t>кг</t>
        </is>
      </c>
      <c r="U36" s="671" t="n">
        <v>0</v>
      </c>
      <c r="V36" s="672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71" t="n"/>
      <c r="AZ36" s="81" t="inlineStr">
        <is>
          <t>СНК</t>
        </is>
      </c>
    </row>
    <row r="37">
      <c r="A37" s="323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3" t="n"/>
      <c r="M37" s="674" t="inlineStr">
        <is>
          <t>Итого</t>
        </is>
      </c>
      <c r="N37" s="644" t="n"/>
      <c r="O37" s="644" t="n"/>
      <c r="P37" s="644" t="n"/>
      <c r="Q37" s="644" t="n"/>
      <c r="R37" s="644" t="n"/>
      <c r="S37" s="645" t="n"/>
      <c r="T37" s="43" t="inlineStr">
        <is>
          <t>кор</t>
        </is>
      </c>
      <c r="U37" s="675">
        <f>IFERROR(U35/H35,"0")+IFERROR(U36/H36,"0")</f>
        <v/>
      </c>
      <c r="V37" s="675">
        <f>IFERROR(V35/H35,"0")+IFERROR(V36/H36,"0")</f>
        <v/>
      </c>
      <c r="W37" s="675">
        <f>IFERROR(IF(W35="",0,W35),"0")+IFERROR(IF(W36="",0,W36),"0")</f>
        <v/>
      </c>
      <c r="X37" s="676" t="n"/>
      <c r="Y37" s="676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3" t="n"/>
      <c r="M38" s="674" t="inlineStr">
        <is>
          <t>Итого</t>
        </is>
      </c>
      <c r="N38" s="644" t="n"/>
      <c r="O38" s="644" t="n"/>
      <c r="P38" s="644" t="n"/>
      <c r="Q38" s="644" t="n"/>
      <c r="R38" s="644" t="n"/>
      <c r="S38" s="645" t="n"/>
      <c r="T38" s="43" t="inlineStr">
        <is>
          <t>кг</t>
        </is>
      </c>
      <c r="U38" s="675">
        <f>IFERROR(SUM(U35:U36),"0")</f>
        <v/>
      </c>
      <c r="V38" s="675">
        <f>IFERROR(SUM(V35:V36),"0")</f>
        <v/>
      </c>
      <c r="W38" s="43" t="n"/>
      <c r="X38" s="676" t="n"/>
      <c r="Y38" s="676" t="n"/>
    </row>
    <row r="39" ht="14.25" customHeight="1">
      <c r="A39" s="331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31" t="n"/>
      <c r="Y39" s="331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15" t="n">
        <v>4607091388282</v>
      </c>
      <c r="E40" s="636" t="n"/>
      <c r="F40" s="668" t="n">
        <v>0.3</v>
      </c>
      <c r="G40" s="38" t="n">
        <v>6</v>
      </c>
      <c r="H40" s="668" t="n">
        <v>1.8</v>
      </c>
      <c r="I40" s="668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85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0" t="n"/>
      <c r="O40" s="670" t="n"/>
      <c r="P40" s="670" t="n"/>
      <c r="Q40" s="636" t="n"/>
      <c r="R40" s="40" t="inlineStr"/>
      <c r="S40" s="40" t="inlineStr"/>
      <c r="T40" s="41" t="inlineStr">
        <is>
          <t>кг</t>
        </is>
      </c>
      <c r="U40" s="671" t="n">
        <v>0</v>
      </c>
      <c r="V40" s="672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71" t="n"/>
      <c r="AZ40" s="82" t="inlineStr">
        <is>
          <t>КИ</t>
        </is>
      </c>
    </row>
    <row r="41">
      <c r="A41" s="323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3" t="n"/>
      <c r="M41" s="674" t="inlineStr">
        <is>
          <t>Итого</t>
        </is>
      </c>
      <c r="N41" s="644" t="n"/>
      <c r="O41" s="644" t="n"/>
      <c r="P41" s="644" t="n"/>
      <c r="Q41" s="644" t="n"/>
      <c r="R41" s="644" t="n"/>
      <c r="S41" s="645" t="n"/>
      <c r="T41" s="43" t="inlineStr">
        <is>
          <t>кор</t>
        </is>
      </c>
      <c r="U41" s="675">
        <f>IFERROR(U40/H40,"0")</f>
        <v/>
      </c>
      <c r="V41" s="675">
        <f>IFERROR(V40/H40,"0")</f>
        <v/>
      </c>
      <c r="W41" s="675">
        <f>IFERROR(IF(W40="",0,W40),"0")</f>
        <v/>
      </c>
      <c r="X41" s="676" t="n"/>
      <c r="Y41" s="676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3" t="n"/>
      <c r="M42" s="674" t="inlineStr">
        <is>
          <t>Итого</t>
        </is>
      </c>
      <c r="N42" s="644" t="n"/>
      <c r="O42" s="644" t="n"/>
      <c r="P42" s="644" t="n"/>
      <c r="Q42" s="644" t="n"/>
      <c r="R42" s="644" t="n"/>
      <c r="S42" s="645" t="n"/>
      <c r="T42" s="43" t="inlineStr">
        <is>
          <t>кг</t>
        </is>
      </c>
      <c r="U42" s="675">
        <f>IFERROR(SUM(U40:U40),"0")</f>
        <v/>
      </c>
      <c r="V42" s="675">
        <f>IFERROR(SUM(V40:V40),"0")</f>
        <v/>
      </c>
      <c r="W42" s="43" t="n"/>
      <c r="X42" s="676" t="n"/>
      <c r="Y42" s="676" t="n"/>
    </row>
    <row r="43" ht="27.75" customHeight="1">
      <c r="A43" s="336" t="inlineStr">
        <is>
          <t>Вязанка</t>
        </is>
      </c>
      <c r="B43" s="667" t="n"/>
      <c r="C43" s="667" t="n"/>
      <c r="D43" s="667" t="n"/>
      <c r="E43" s="667" t="n"/>
      <c r="F43" s="667" t="n"/>
      <c r="G43" s="667" t="n"/>
      <c r="H43" s="667" t="n"/>
      <c r="I43" s="667" t="n"/>
      <c r="J43" s="667" t="n"/>
      <c r="K43" s="667" t="n"/>
      <c r="L43" s="667" t="n"/>
      <c r="M43" s="667" t="n"/>
      <c r="N43" s="667" t="n"/>
      <c r="O43" s="667" t="n"/>
      <c r="P43" s="667" t="n"/>
      <c r="Q43" s="667" t="n"/>
      <c r="R43" s="667" t="n"/>
      <c r="S43" s="667" t="n"/>
      <c r="T43" s="667" t="n"/>
      <c r="U43" s="667" t="n"/>
      <c r="V43" s="667" t="n"/>
      <c r="W43" s="667" t="n"/>
      <c r="X43" s="55" t="n"/>
      <c r="Y43" s="55" t="n"/>
    </row>
    <row r="44" ht="16.5" customHeight="1">
      <c r="A44" s="330" t="inlineStr">
        <is>
          <t>Столичная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330" t="n"/>
      <c r="Y44" s="330" t="n"/>
    </row>
    <row r="45" ht="14.25" customHeight="1">
      <c r="A45" s="331" t="inlineStr">
        <is>
          <t>Ветчины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331" t="n"/>
      <c r="Y45" s="331" t="n"/>
    </row>
    <row r="46" ht="27" customHeight="1">
      <c r="A46" s="64" t="inlineStr">
        <is>
          <t>SU002828</t>
        </is>
      </c>
      <c r="B46" s="64" t="inlineStr">
        <is>
          <t>P003234</t>
        </is>
      </c>
      <c r="C46" s="37" t="n">
        <v>4301020234</v>
      </c>
      <c r="D46" s="315" t="n">
        <v>4680115881440</v>
      </c>
      <c r="E46" s="636" t="n"/>
      <c r="F46" s="668" t="n">
        <v>1.35</v>
      </c>
      <c r="G46" s="38" t="n">
        <v>8</v>
      </c>
      <c r="H46" s="668" t="n">
        <v>10.8</v>
      </c>
      <c r="I46" s="668" t="n">
        <v>11.28</v>
      </c>
      <c r="J46" s="38" t="n">
        <v>56</v>
      </c>
      <c r="K46" s="39" t="inlineStr">
        <is>
          <t>СК1</t>
        </is>
      </c>
      <c r="L46" s="38" t="n">
        <v>50</v>
      </c>
      <c r="M46" s="686">
        <f>HYPERLINK("https://abi.ru/products/Охлажденные/Вязанка/Столичная/Ветчины/P003234/","Ветчины «Филейская» Весовые Вектор ТМ «Вязанка»")</f>
        <v/>
      </c>
      <c r="N46" s="670" t="n"/>
      <c r="O46" s="670" t="n"/>
      <c r="P46" s="670" t="n"/>
      <c r="Q46" s="636" t="n"/>
      <c r="R46" s="40" t="inlineStr"/>
      <c r="S46" s="40" t="inlineStr"/>
      <c r="T46" s="41" t="inlineStr">
        <is>
          <t>кг</t>
        </is>
      </c>
      <c r="U46" s="671" t="n">
        <v>0</v>
      </c>
      <c r="V46" s="672">
        <f>IFERROR(IF(U46="",0,CEILING((U46/$H46),1)*$H46),"")</f>
        <v/>
      </c>
      <c r="W46" s="42">
        <f>IFERROR(IF(V46=0,"",ROUNDUP(V46/H46,0)*0.02175),"")</f>
        <v/>
      </c>
      <c r="X46" s="69" t="inlineStr"/>
      <c r="Y46" s="70" t="inlineStr"/>
      <c r="AC46" s="71" t="n"/>
      <c r="AZ46" s="83" t="inlineStr">
        <is>
          <t>КИ</t>
        </is>
      </c>
    </row>
    <row r="47" ht="27" customHeight="1">
      <c r="A47" s="64" t="inlineStr">
        <is>
          <t>SU002814</t>
        </is>
      </c>
      <c r="B47" s="64" t="inlineStr">
        <is>
          <t>P003226</t>
        </is>
      </c>
      <c r="C47" s="37" t="n">
        <v>4301020232</v>
      </c>
      <c r="D47" s="315" t="n">
        <v>4680115881433</v>
      </c>
      <c r="E47" s="636" t="n"/>
      <c r="F47" s="668" t="n">
        <v>0.45</v>
      </c>
      <c r="G47" s="38" t="n">
        <v>6</v>
      </c>
      <c r="H47" s="668" t="n">
        <v>2.7</v>
      </c>
      <c r="I47" s="668" t="n">
        <v>2.9</v>
      </c>
      <c r="J47" s="38" t="n">
        <v>156</v>
      </c>
      <c r="K47" s="39" t="inlineStr">
        <is>
          <t>СК1</t>
        </is>
      </c>
      <c r="L47" s="38" t="n">
        <v>50</v>
      </c>
      <c r="M47" s="687">
        <f>HYPERLINK("https://abi.ru/products/Охлажденные/Вязанка/Столичная/Ветчины/P003226/","Ветчины «Филейская» Фикс.вес 0,45 Вектор ТМ «Вязанка»")</f>
        <v/>
      </c>
      <c r="N47" s="670" t="n"/>
      <c r="O47" s="670" t="n"/>
      <c r="P47" s="670" t="n"/>
      <c r="Q47" s="636" t="n"/>
      <c r="R47" s="40" t="inlineStr"/>
      <c r="S47" s="40" t="inlineStr"/>
      <c r="T47" s="41" t="inlineStr">
        <is>
          <t>кг</t>
        </is>
      </c>
      <c r="U47" s="671" t="n">
        <v>0</v>
      </c>
      <c r="V47" s="672">
        <f>IFERROR(IF(U47="",0,CEILING((U47/$H47),1)*$H47),"")</f>
        <v/>
      </c>
      <c r="W47" s="42">
        <f>IFERROR(IF(V47=0,"",ROUNDUP(V47/H47,0)*0.00753),"")</f>
        <v/>
      </c>
      <c r="X47" s="69" t="inlineStr"/>
      <c r="Y47" s="70" t="inlineStr"/>
      <c r="AC47" s="71" t="n"/>
      <c r="AZ47" s="84" t="inlineStr">
        <is>
          <t>КИ</t>
        </is>
      </c>
    </row>
    <row r="48">
      <c r="A48" s="323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673" t="n"/>
      <c r="M48" s="674" t="inlineStr">
        <is>
          <t>Итого</t>
        </is>
      </c>
      <c r="N48" s="644" t="n"/>
      <c r="O48" s="644" t="n"/>
      <c r="P48" s="644" t="n"/>
      <c r="Q48" s="644" t="n"/>
      <c r="R48" s="644" t="n"/>
      <c r="S48" s="645" t="n"/>
      <c r="T48" s="43" t="inlineStr">
        <is>
          <t>кор</t>
        </is>
      </c>
      <c r="U48" s="675">
        <f>IFERROR(U46/H46,"0")+IFERROR(U47/H47,"0")</f>
        <v/>
      </c>
      <c r="V48" s="675">
        <f>IFERROR(V46/H46,"0")+IFERROR(V47/H47,"0")</f>
        <v/>
      </c>
      <c r="W48" s="675">
        <f>IFERROR(IF(W46="",0,W46),"0")+IFERROR(IF(W47="",0,W47),"0")</f>
        <v/>
      </c>
      <c r="X48" s="676" t="n"/>
      <c r="Y48" s="676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673" t="n"/>
      <c r="M49" s="674" t="inlineStr">
        <is>
          <t>Итого</t>
        </is>
      </c>
      <c r="N49" s="644" t="n"/>
      <c r="O49" s="644" t="n"/>
      <c r="P49" s="644" t="n"/>
      <c r="Q49" s="644" t="n"/>
      <c r="R49" s="644" t="n"/>
      <c r="S49" s="645" t="n"/>
      <c r="T49" s="43" t="inlineStr">
        <is>
          <t>кг</t>
        </is>
      </c>
      <c r="U49" s="675">
        <f>IFERROR(SUM(U46:U47),"0")</f>
        <v/>
      </c>
      <c r="V49" s="675">
        <f>IFERROR(SUM(V46:V47),"0")</f>
        <v/>
      </c>
      <c r="W49" s="43" t="n"/>
      <c r="X49" s="676" t="n"/>
      <c r="Y49" s="676" t="n"/>
    </row>
    <row r="50" ht="16.5" customHeight="1">
      <c r="A50" s="330" t="inlineStr">
        <is>
          <t>Классическая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330" t="n"/>
      <c r="Y50" s="330" t="n"/>
    </row>
    <row r="51" ht="14.25" customHeight="1">
      <c r="A51" s="331" t="inlineStr">
        <is>
          <t>Вареные колбасы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331" t="n"/>
      <c r="Y51" s="331" t="n"/>
    </row>
    <row r="52" ht="27" customHeight="1">
      <c r="A52" s="64" t="inlineStr">
        <is>
          <t>SU002829</t>
        </is>
      </c>
      <c r="B52" s="64" t="inlineStr">
        <is>
          <t>P003235</t>
        </is>
      </c>
      <c r="C52" s="37" t="n">
        <v>4301011452</v>
      </c>
      <c r="D52" s="315" t="n">
        <v>4680115881426</v>
      </c>
      <c r="E52" s="636" t="n"/>
      <c r="F52" s="668" t="n">
        <v>1.35</v>
      </c>
      <c r="G52" s="38" t="n">
        <v>8</v>
      </c>
      <c r="H52" s="668" t="n">
        <v>10.8</v>
      </c>
      <c r="I52" s="668" t="n">
        <v>11.28</v>
      </c>
      <c r="J52" s="38" t="n">
        <v>56</v>
      </c>
      <c r="K52" s="39" t="inlineStr">
        <is>
          <t>СК1</t>
        </is>
      </c>
      <c r="L52" s="38" t="n">
        <v>50</v>
      </c>
      <c r="M52" s="688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2" s="670" t="n"/>
      <c r="O52" s="670" t="n"/>
      <c r="P52" s="670" t="n"/>
      <c r="Q52" s="636" t="n"/>
      <c r="R52" s="40" t="inlineStr"/>
      <c r="S52" s="40" t="inlineStr"/>
      <c r="T52" s="41" t="inlineStr">
        <is>
          <t>кг</t>
        </is>
      </c>
      <c r="U52" s="671" t="n">
        <v>0</v>
      </c>
      <c r="V52" s="672">
        <f>IFERROR(IF(U52="",0,CEILING((U52/$H52),1)*$H52),"")</f>
        <v/>
      </c>
      <c r="W52" s="42">
        <f>IFERROR(IF(V52=0,"",ROUNDUP(V52/H52,0)*0.02175),"")</f>
        <v/>
      </c>
      <c r="X52" s="69" t="inlineStr"/>
      <c r="Y52" s="70" t="inlineStr"/>
      <c r="AC52" s="71" t="n"/>
      <c r="AZ52" s="85" t="inlineStr">
        <is>
          <t>КИ</t>
        </is>
      </c>
    </row>
    <row r="53" ht="27" customHeight="1">
      <c r="A53" s="64" t="inlineStr">
        <is>
          <t>SU002815</t>
        </is>
      </c>
      <c r="B53" s="64" t="inlineStr">
        <is>
          <t>P003227</t>
        </is>
      </c>
      <c r="C53" s="37" t="n">
        <v>4301011437</v>
      </c>
      <c r="D53" s="315" t="n">
        <v>4680115881419</v>
      </c>
      <c r="E53" s="636" t="n"/>
      <c r="F53" s="668" t="n">
        <v>0.45</v>
      </c>
      <c r="G53" s="38" t="n">
        <v>10</v>
      </c>
      <c r="H53" s="668" t="n">
        <v>4.5</v>
      </c>
      <c r="I53" s="668" t="n">
        <v>4.74</v>
      </c>
      <c r="J53" s="38" t="n">
        <v>120</v>
      </c>
      <c r="K53" s="39" t="inlineStr">
        <is>
          <t>СК1</t>
        </is>
      </c>
      <c r="L53" s="38" t="n">
        <v>50</v>
      </c>
      <c r="M53" s="689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3" s="670" t="n"/>
      <c r="O53" s="670" t="n"/>
      <c r="P53" s="670" t="n"/>
      <c r="Q53" s="636" t="n"/>
      <c r="R53" s="40" t="inlineStr"/>
      <c r="S53" s="40" t="inlineStr"/>
      <c r="T53" s="41" t="inlineStr">
        <is>
          <t>кг</t>
        </is>
      </c>
      <c r="U53" s="671" t="n">
        <v>0</v>
      </c>
      <c r="V53" s="672">
        <f>IFERROR(IF(U53="",0,CEILING((U53/$H53),1)*$H53),"")</f>
        <v/>
      </c>
      <c r="W53" s="42">
        <f>IFERROR(IF(V53=0,"",ROUNDUP(V53/H53,0)*0.00937),"")</f>
        <v/>
      </c>
      <c r="X53" s="69" t="inlineStr"/>
      <c r="Y53" s="70" t="inlineStr"/>
      <c r="AC53" s="71" t="n"/>
      <c r="AZ53" s="86" t="inlineStr">
        <is>
          <t>КИ</t>
        </is>
      </c>
    </row>
    <row r="54" ht="27" customHeight="1">
      <c r="A54" s="64" t="inlineStr">
        <is>
          <t>SU002831</t>
        </is>
      </c>
      <c r="B54" s="64" t="inlineStr">
        <is>
          <t>P003243</t>
        </is>
      </c>
      <c r="C54" s="37" t="n">
        <v>4301011458</v>
      </c>
      <c r="D54" s="315" t="n">
        <v>4680115881525</v>
      </c>
      <c r="E54" s="636" t="n"/>
      <c r="F54" s="668" t="n">
        <v>0.4</v>
      </c>
      <c r="G54" s="38" t="n">
        <v>10</v>
      </c>
      <c r="H54" s="668" t="n">
        <v>4</v>
      </c>
      <c r="I54" s="668" t="n">
        <v>4.24</v>
      </c>
      <c r="J54" s="38" t="n">
        <v>120</v>
      </c>
      <c r="K54" s="39" t="inlineStr">
        <is>
          <t>СК1</t>
        </is>
      </c>
      <c r="L54" s="38" t="n">
        <v>50</v>
      </c>
      <c r="M54" s="690" t="inlineStr">
        <is>
          <t>Колбаса вареная Филейская ТМ Вязанка ТС Классическая полиамид ф/в 0,4 кг</t>
        </is>
      </c>
      <c r="N54" s="670" t="n"/>
      <c r="O54" s="670" t="n"/>
      <c r="P54" s="670" t="n"/>
      <c r="Q54" s="636" t="n"/>
      <c r="R54" s="40" t="inlineStr"/>
      <c r="S54" s="40" t="inlineStr"/>
      <c r="T54" s="41" t="inlineStr">
        <is>
          <t>кг</t>
        </is>
      </c>
      <c r="U54" s="671" t="n">
        <v>0</v>
      </c>
      <c r="V54" s="672">
        <f>IFERROR(IF(U54="",0,CEILING((U54/$H54),1)*$H54),"")</f>
        <v/>
      </c>
      <c r="W54" s="42">
        <f>IFERROR(IF(V54=0,"",ROUNDUP(V54/H54,0)*0.00937),"")</f>
        <v/>
      </c>
      <c r="X54" s="69" t="inlineStr"/>
      <c r="Y54" s="70" t="inlineStr"/>
      <c r="AC54" s="71" t="n"/>
      <c r="AZ54" s="87" t="inlineStr">
        <is>
          <t>КИ</t>
        </is>
      </c>
    </row>
    <row r="55">
      <c r="A55" s="323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673" t="n"/>
      <c r="M55" s="674" t="inlineStr">
        <is>
          <t>Итого</t>
        </is>
      </c>
      <c r="N55" s="644" t="n"/>
      <c r="O55" s="644" t="n"/>
      <c r="P55" s="644" t="n"/>
      <c r="Q55" s="644" t="n"/>
      <c r="R55" s="644" t="n"/>
      <c r="S55" s="645" t="n"/>
      <c r="T55" s="43" t="inlineStr">
        <is>
          <t>кор</t>
        </is>
      </c>
      <c r="U55" s="675">
        <f>IFERROR(U52/H52,"0")+IFERROR(U53/H53,"0")+IFERROR(U54/H54,"0")</f>
        <v/>
      </c>
      <c r="V55" s="675">
        <f>IFERROR(V52/H52,"0")+IFERROR(V53/H53,"0")+IFERROR(V54/H54,"0")</f>
        <v/>
      </c>
      <c r="W55" s="675">
        <f>IFERROR(IF(W52="",0,W52),"0")+IFERROR(IF(W53="",0,W53),"0")+IFERROR(IF(W54="",0,W54),"0")</f>
        <v/>
      </c>
      <c r="X55" s="676" t="n"/>
      <c r="Y55" s="676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673" t="n"/>
      <c r="M56" s="674" t="inlineStr">
        <is>
          <t>Итого</t>
        </is>
      </c>
      <c r="N56" s="644" t="n"/>
      <c r="O56" s="644" t="n"/>
      <c r="P56" s="644" t="n"/>
      <c r="Q56" s="644" t="n"/>
      <c r="R56" s="644" t="n"/>
      <c r="S56" s="645" t="n"/>
      <c r="T56" s="43" t="inlineStr">
        <is>
          <t>кг</t>
        </is>
      </c>
      <c r="U56" s="675">
        <f>IFERROR(SUM(U52:U54),"0")</f>
        <v/>
      </c>
      <c r="V56" s="675">
        <f>IFERROR(SUM(V52:V54),"0")</f>
        <v/>
      </c>
      <c r="W56" s="43" t="n"/>
      <c r="X56" s="676" t="n"/>
      <c r="Y56" s="676" t="n"/>
    </row>
    <row r="57" ht="16.5" customHeight="1">
      <c r="A57" s="330" t="inlineStr">
        <is>
          <t>Вязанка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330" t="n"/>
      <c r="Y57" s="330" t="n"/>
    </row>
    <row r="58" ht="14.25" customHeight="1">
      <c r="A58" s="331" t="inlineStr">
        <is>
          <t>Вареные колбасы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331" t="n"/>
      <c r="Y58" s="331" t="n"/>
    </row>
    <row r="59" ht="27" customHeight="1">
      <c r="A59" s="64" t="inlineStr">
        <is>
          <t>SU000124</t>
        </is>
      </c>
      <c r="B59" s="64" t="inlineStr">
        <is>
          <t>P002478</t>
        </is>
      </c>
      <c r="C59" s="37" t="n">
        <v>4301011191</v>
      </c>
      <c r="D59" s="315" t="n">
        <v>4607091382945</v>
      </c>
      <c r="E59" s="636" t="n"/>
      <c r="F59" s="668" t="n">
        <v>1.35</v>
      </c>
      <c r="G59" s="38" t="n">
        <v>8</v>
      </c>
      <c r="H59" s="668" t="n">
        <v>10.8</v>
      </c>
      <c r="I59" s="668" t="n">
        <v>11.28</v>
      </c>
      <c r="J59" s="38" t="n">
        <v>56</v>
      </c>
      <c r="K59" s="39" t="inlineStr">
        <is>
          <t>СК1</t>
        </is>
      </c>
      <c r="L59" s="38" t="n">
        <v>50</v>
      </c>
      <c r="M59" s="691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59" s="670" t="n"/>
      <c r="O59" s="670" t="n"/>
      <c r="P59" s="670" t="n"/>
      <c r="Q59" s="636" t="n"/>
      <c r="R59" s="40" t="inlineStr"/>
      <c r="S59" s="40" t="inlineStr"/>
      <c r="T59" s="41" t="inlineStr">
        <is>
          <t>кг</t>
        </is>
      </c>
      <c r="U59" s="671" t="n">
        <v>0</v>
      </c>
      <c r="V59" s="672">
        <f>IFERROR(IF(U59="",0,CEILING((U59/$H59),1)*$H59),"")</f>
        <v/>
      </c>
      <c r="W59" s="42">
        <f>IFERROR(IF(V59=0,"",ROUNDUP(V59/H59,0)*0.02175),"")</f>
        <v/>
      </c>
      <c r="X59" s="69" t="inlineStr"/>
      <c r="Y59" s="70" t="inlineStr"/>
      <c r="AC59" s="71" t="n"/>
      <c r="AZ59" s="88" t="inlineStr">
        <is>
          <t>КИ</t>
        </is>
      </c>
    </row>
    <row r="60" ht="27" customHeight="1">
      <c r="A60" s="64" t="inlineStr">
        <is>
          <t>SU000722</t>
        </is>
      </c>
      <c r="B60" s="64" t="inlineStr">
        <is>
          <t>P003011</t>
        </is>
      </c>
      <c r="C60" s="37" t="n">
        <v>4301011380</v>
      </c>
      <c r="D60" s="315" t="n">
        <v>4607091385670</v>
      </c>
      <c r="E60" s="636" t="n"/>
      <c r="F60" s="668" t="n">
        <v>1.35</v>
      </c>
      <c r="G60" s="38" t="n">
        <v>8</v>
      </c>
      <c r="H60" s="668" t="n">
        <v>10.8</v>
      </c>
      <c r="I60" s="668" t="n">
        <v>11.28</v>
      </c>
      <c r="J60" s="38" t="n">
        <v>56</v>
      </c>
      <c r="K60" s="39" t="inlineStr">
        <is>
          <t>СК1</t>
        </is>
      </c>
      <c r="L60" s="38" t="n">
        <v>50</v>
      </c>
      <c r="M60" s="692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0" s="670" t="n"/>
      <c r="O60" s="670" t="n"/>
      <c r="P60" s="670" t="n"/>
      <c r="Q60" s="636" t="n"/>
      <c r="R60" s="40" t="inlineStr"/>
      <c r="S60" s="40" t="inlineStr"/>
      <c r="T60" s="41" t="inlineStr">
        <is>
          <t>кг</t>
        </is>
      </c>
      <c r="U60" s="671" t="n">
        <v>0</v>
      </c>
      <c r="V60" s="672">
        <f>IFERROR(IF(U60="",0,CEILING((U60/$H60),1)*$H60),"")</f>
        <v/>
      </c>
      <c r="W60" s="42">
        <f>IFERROR(IF(V60=0,"",ROUNDUP(V60/H60,0)*0.02175),"")</f>
        <v/>
      </c>
      <c r="X60" s="69" t="inlineStr"/>
      <c r="Y60" s="70" t="inlineStr"/>
      <c r="AC60" s="71" t="n"/>
      <c r="AZ60" s="89" t="inlineStr">
        <is>
          <t>КИ</t>
        </is>
      </c>
    </row>
    <row r="61" ht="27" customHeight="1">
      <c r="A61" s="64" t="inlineStr">
        <is>
          <t>SU002830</t>
        </is>
      </c>
      <c r="B61" s="64" t="inlineStr">
        <is>
          <t>P003239</t>
        </is>
      </c>
      <c r="C61" s="37" t="n">
        <v>4301011468</v>
      </c>
      <c r="D61" s="315" t="n">
        <v>4680115881327</v>
      </c>
      <c r="E61" s="636" t="n"/>
      <c r="F61" s="668" t="n">
        <v>1.35</v>
      </c>
      <c r="G61" s="38" t="n">
        <v>8</v>
      </c>
      <c r="H61" s="668" t="n">
        <v>10.8</v>
      </c>
      <c r="I61" s="668" t="n">
        <v>11.28</v>
      </c>
      <c r="J61" s="38" t="n">
        <v>56</v>
      </c>
      <c r="K61" s="39" t="inlineStr">
        <is>
          <t>СК4</t>
        </is>
      </c>
      <c r="L61" s="38" t="n">
        <v>50</v>
      </c>
      <c r="M61" s="693">
        <f>HYPERLINK("https://abi.ru/products/Охлажденные/Вязанка/Вязанка/Вареные колбасы/P003239/","Вареные колбасы Молокуша Вязанка Вес п/а Вязанка")</f>
        <v/>
      </c>
      <c r="N61" s="670" t="n"/>
      <c r="O61" s="670" t="n"/>
      <c r="P61" s="670" t="n"/>
      <c r="Q61" s="636" t="n"/>
      <c r="R61" s="40" t="inlineStr"/>
      <c r="S61" s="40" t="inlineStr"/>
      <c r="T61" s="41" t="inlineStr">
        <is>
          <t>кг</t>
        </is>
      </c>
      <c r="U61" s="671" t="n">
        <v>0</v>
      </c>
      <c r="V61" s="672">
        <f>IFERROR(IF(U61="",0,CEILING((U61/$H61),1)*$H61),"")</f>
        <v/>
      </c>
      <c r="W61" s="42">
        <f>IFERROR(IF(V61=0,"",ROUNDUP(V61/H61,0)*0.02175),"")</f>
        <v/>
      </c>
      <c r="X61" s="69" t="inlineStr"/>
      <c r="Y61" s="70" t="inlineStr"/>
      <c r="AC61" s="71" t="n"/>
      <c r="AZ61" s="90" t="inlineStr">
        <is>
          <t>КИ</t>
        </is>
      </c>
    </row>
    <row r="62" ht="16.5" customHeight="1">
      <c r="A62" s="64" t="inlineStr">
        <is>
          <t>SU001904</t>
        </is>
      </c>
      <c r="B62" s="64" t="inlineStr">
        <is>
          <t>P001681</t>
        </is>
      </c>
      <c r="C62" s="37" t="n">
        <v>4301011348</v>
      </c>
      <c r="D62" s="315" t="n">
        <v>4607091388312</v>
      </c>
      <c r="E62" s="636" t="n"/>
      <c r="F62" s="668" t="n">
        <v>1.35</v>
      </c>
      <c r="G62" s="38" t="n">
        <v>8</v>
      </c>
      <c r="H62" s="668" t="n">
        <v>10.8</v>
      </c>
      <c r="I62" s="668" t="n">
        <v>11.28</v>
      </c>
      <c r="J62" s="38" t="n">
        <v>56</v>
      </c>
      <c r="K62" s="39" t="inlineStr">
        <is>
          <t>СК1</t>
        </is>
      </c>
      <c r="L62" s="38" t="n">
        <v>45</v>
      </c>
      <c r="M62" s="694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2" s="670" t="n"/>
      <c r="O62" s="670" t="n"/>
      <c r="P62" s="670" t="n"/>
      <c r="Q62" s="636" t="n"/>
      <c r="R62" s="40" t="inlineStr"/>
      <c r="S62" s="40" t="inlineStr"/>
      <c r="T62" s="41" t="inlineStr">
        <is>
          <t>кг</t>
        </is>
      </c>
      <c r="U62" s="671" t="n">
        <v>0</v>
      </c>
      <c r="V62" s="672">
        <f>IFERROR(IF(U62="",0,CEILING((U62/$H62),1)*$H62),"")</f>
        <v/>
      </c>
      <c r="W62" s="42">
        <f>IFERROR(IF(V62=0,"",ROUNDUP(V62/H62,0)*0.02175),"")</f>
        <v/>
      </c>
      <c r="X62" s="69" t="inlineStr"/>
      <c r="Y62" s="70" t="inlineStr"/>
      <c r="AC62" s="71" t="n"/>
      <c r="AZ62" s="91" t="inlineStr">
        <is>
          <t>КИ</t>
        </is>
      </c>
    </row>
    <row r="63" ht="16.5" customHeight="1">
      <c r="A63" s="64" t="inlineStr">
        <is>
          <t>SU002928</t>
        </is>
      </c>
      <c r="B63" s="64" t="inlineStr">
        <is>
          <t>P003357</t>
        </is>
      </c>
      <c r="C63" s="37" t="n">
        <v>4301011514</v>
      </c>
      <c r="D63" s="315" t="n">
        <v>4680115882133</v>
      </c>
      <c r="E63" s="636" t="n"/>
      <c r="F63" s="668" t="n">
        <v>1.35</v>
      </c>
      <c r="G63" s="38" t="n">
        <v>8</v>
      </c>
      <c r="H63" s="668" t="n">
        <v>10.8</v>
      </c>
      <c r="I63" s="668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5">
        <f>HYPERLINK("https://abi.ru/products/Охлажденные/Вязанка/Вязанка/Вареные колбасы/P003357/","Вареные колбасы «Сливушка» Вес П/а ТМ «Вязанка»")</f>
        <v/>
      </c>
      <c r="N63" s="670" t="n"/>
      <c r="O63" s="670" t="n"/>
      <c r="P63" s="670" t="n"/>
      <c r="Q63" s="636" t="n"/>
      <c r="R63" s="40" t="inlineStr"/>
      <c r="S63" s="40" t="inlineStr"/>
      <c r="T63" s="41" t="inlineStr">
        <is>
          <t>кг</t>
        </is>
      </c>
      <c r="U63" s="671" t="n">
        <v>0</v>
      </c>
      <c r="V63" s="672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71" t="n"/>
      <c r="AZ63" s="92" t="inlineStr">
        <is>
          <t>КИ</t>
        </is>
      </c>
    </row>
    <row r="64" ht="27" customHeight="1">
      <c r="A64" s="64" t="inlineStr">
        <is>
          <t>SU000125</t>
        </is>
      </c>
      <c r="B64" s="64" t="inlineStr">
        <is>
          <t>P002479</t>
        </is>
      </c>
      <c r="C64" s="37" t="n">
        <v>4301011192</v>
      </c>
      <c r="D64" s="315" t="n">
        <v>4607091382952</v>
      </c>
      <c r="E64" s="636" t="n"/>
      <c r="F64" s="668" t="n">
        <v>0.5</v>
      </c>
      <c r="G64" s="38" t="n">
        <v>6</v>
      </c>
      <c r="H64" s="668" t="n">
        <v>3</v>
      </c>
      <c r="I64" s="668" t="n">
        <v>3.2</v>
      </c>
      <c r="J64" s="38" t="n">
        <v>156</v>
      </c>
      <c r="K64" s="39" t="inlineStr">
        <is>
          <t>СК1</t>
        </is>
      </c>
      <c r="L64" s="38" t="n">
        <v>50</v>
      </c>
      <c r="M64" s="696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4" s="670" t="n"/>
      <c r="O64" s="670" t="n"/>
      <c r="P64" s="670" t="n"/>
      <c r="Q64" s="636" t="n"/>
      <c r="R64" s="40" t="inlineStr"/>
      <c r="S64" s="40" t="inlineStr"/>
      <c r="T64" s="41" t="inlineStr">
        <is>
          <t>кг</t>
        </is>
      </c>
      <c r="U64" s="671" t="n">
        <v>0</v>
      </c>
      <c r="V64" s="672">
        <f>IFERROR(IF(U64="",0,CEILING((U64/$H64),1)*$H64),"")</f>
        <v/>
      </c>
      <c r="W64" s="42">
        <f>IFERROR(IF(V64=0,"",ROUNDUP(V64/H64,0)*0.00753),"")</f>
        <v/>
      </c>
      <c r="X64" s="69" t="inlineStr"/>
      <c r="Y64" s="70" t="inlineStr"/>
      <c r="AC64" s="71" t="n"/>
      <c r="AZ64" s="93" t="inlineStr">
        <is>
          <t>КИ</t>
        </is>
      </c>
    </row>
    <row r="65" ht="27" customHeight="1">
      <c r="A65" s="64" t="inlineStr">
        <is>
          <t>SU001485</t>
        </is>
      </c>
      <c r="B65" s="64" t="inlineStr">
        <is>
          <t>P003008</t>
        </is>
      </c>
      <c r="C65" s="37" t="n">
        <v>4301011382</v>
      </c>
      <c r="D65" s="315" t="n">
        <v>4607091385687</v>
      </c>
      <c r="E65" s="636" t="n"/>
      <c r="F65" s="668" t="n">
        <v>0.4</v>
      </c>
      <c r="G65" s="38" t="n">
        <v>10</v>
      </c>
      <c r="H65" s="668" t="n">
        <v>4</v>
      </c>
      <c r="I65" s="668" t="n">
        <v>4.24</v>
      </c>
      <c r="J65" s="38" t="n">
        <v>120</v>
      </c>
      <c r="K65" s="39" t="inlineStr">
        <is>
          <t>СК3</t>
        </is>
      </c>
      <c r="L65" s="38" t="n">
        <v>50</v>
      </c>
      <c r="M65" s="697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5" s="670" t="n"/>
      <c r="O65" s="670" t="n"/>
      <c r="P65" s="670" t="n"/>
      <c r="Q65" s="636" t="n"/>
      <c r="R65" s="40" t="inlineStr"/>
      <c r="S65" s="40" t="inlineStr"/>
      <c r="T65" s="41" t="inlineStr">
        <is>
          <t>кг</t>
        </is>
      </c>
      <c r="U65" s="671" t="n">
        <v>0</v>
      </c>
      <c r="V65" s="672">
        <f>IFERROR(IF(U65="",0,CEILING((U65/$H65),1)*$H65),"")</f>
        <v/>
      </c>
      <c r="W65" s="42">
        <f>IFERROR(IF(V65=0,"",ROUNDUP(V65/H65,0)*0.00937),"")</f>
        <v/>
      </c>
      <c r="X65" s="69" t="inlineStr"/>
      <c r="Y65" s="70" t="inlineStr"/>
      <c r="AC65" s="71" t="n"/>
      <c r="AZ65" s="94" t="inlineStr">
        <is>
          <t>КИ</t>
        </is>
      </c>
    </row>
    <row r="66" ht="27" customHeight="1">
      <c r="A66" s="64" t="inlineStr">
        <is>
          <t>SU002986</t>
        </is>
      </c>
      <c r="B66" s="64" t="inlineStr">
        <is>
          <t>P003429</t>
        </is>
      </c>
      <c r="C66" s="37" t="n">
        <v>4301011565</v>
      </c>
      <c r="D66" s="315" t="n">
        <v>4680115882539</v>
      </c>
      <c r="E66" s="636" t="n"/>
      <c r="F66" s="668" t="n">
        <v>0.37</v>
      </c>
      <c r="G66" s="38" t="n">
        <v>10</v>
      </c>
      <c r="H66" s="668" t="n">
        <v>3.7</v>
      </c>
      <c r="I66" s="668" t="n">
        <v>3.94</v>
      </c>
      <c r="J66" s="38" t="n">
        <v>120</v>
      </c>
      <c r="K66" s="39" t="inlineStr">
        <is>
          <t>СК3</t>
        </is>
      </c>
      <c r="L66" s="38" t="n">
        <v>50</v>
      </c>
      <c r="M66" s="698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6" s="670" t="n"/>
      <c r="O66" s="670" t="n"/>
      <c r="P66" s="670" t="n"/>
      <c r="Q66" s="636" t="n"/>
      <c r="R66" s="40" t="inlineStr"/>
      <c r="S66" s="40" t="inlineStr"/>
      <c r="T66" s="41" t="inlineStr">
        <is>
          <t>кг</t>
        </is>
      </c>
      <c r="U66" s="671" t="n">
        <v>0</v>
      </c>
      <c r="V66" s="672">
        <f>IFERROR(IF(U66="",0,CEILING((U66/$H66),1)*$H66),"")</f>
        <v/>
      </c>
      <c r="W66" s="42">
        <f>IFERROR(IF(V66=0,"",ROUNDUP(V66/H66,0)*0.00937),"")</f>
        <v/>
      </c>
      <c r="X66" s="69" t="inlineStr"/>
      <c r="Y66" s="70" t="inlineStr"/>
      <c r="AC66" s="71" t="n"/>
      <c r="AZ66" s="95" t="inlineStr">
        <is>
          <t>КИ</t>
        </is>
      </c>
    </row>
    <row r="67" ht="27" customHeight="1">
      <c r="A67" s="64" t="inlineStr">
        <is>
          <t>SU002312</t>
        </is>
      </c>
      <c r="B67" s="64" t="inlineStr">
        <is>
          <t>P002577</t>
        </is>
      </c>
      <c r="C67" s="37" t="n">
        <v>4301011344</v>
      </c>
      <c r="D67" s="315" t="n">
        <v>4607091384604</v>
      </c>
      <c r="E67" s="636" t="n"/>
      <c r="F67" s="668" t="n">
        <v>0.4</v>
      </c>
      <c r="G67" s="38" t="n">
        <v>10</v>
      </c>
      <c r="H67" s="668" t="n">
        <v>4</v>
      </c>
      <c r="I67" s="668" t="n">
        <v>4.24</v>
      </c>
      <c r="J67" s="38" t="n">
        <v>120</v>
      </c>
      <c r="K67" s="39" t="inlineStr">
        <is>
          <t>СК1</t>
        </is>
      </c>
      <c r="L67" s="38" t="n">
        <v>50</v>
      </c>
      <c r="M67" s="699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67" s="670" t="n"/>
      <c r="O67" s="670" t="n"/>
      <c r="P67" s="670" t="n"/>
      <c r="Q67" s="636" t="n"/>
      <c r="R67" s="40" t="inlineStr"/>
      <c r="S67" s="40" t="inlineStr"/>
      <c r="T67" s="41" t="inlineStr">
        <is>
          <t>кг</t>
        </is>
      </c>
      <c r="U67" s="671" t="n">
        <v>0</v>
      </c>
      <c r="V67" s="672">
        <f>IFERROR(IF(U67="",0,CEILING((U67/$H67),1)*$H67),"")</f>
        <v/>
      </c>
      <c r="W67" s="42">
        <f>IFERROR(IF(V67=0,"",ROUNDUP(V67/H67,0)*0.00937),"")</f>
        <v/>
      </c>
      <c r="X67" s="69" t="inlineStr"/>
      <c r="Y67" s="70" t="inlineStr"/>
      <c r="AC67" s="71" t="n"/>
      <c r="AZ67" s="96" t="inlineStr">
        <is>
          <t>КИ</t>
        </is>
      </c>
    </row>
    <row r="68" ht="27" customHeight="1">
      <c r="A68" s="64" t="inlineStr">
        <is>
          <t>SU002674</t>
        </is>
      </c>
      <c r="B68" s="64" t="inlineStr">
        <is>
          <t>P003045</t>
        </is>
      </c>
      <c r="C68" s="37" t="n">
        <v>4301011386</v>
      </c>
      <c r="D68" s="315" t="n">
        <v>4680115880283</v>
      </c>
      <c r="E68" s="636" t="n"/>
      <c r="F68" s="668" t="n">
        <v>0.6</v>
      </c>
      <c r="G68" s="38" t="n">
        <v>8</v>
      </c>
      <c r="H68" s="668" t="n">
        <v>4.8</v>
      </c>
      <c r="I68" s="668" t="n">
        <v>5.04</v>
      </c>
      <c r="J68" s="38" t="n">
        <v>120</v>
      </c>
      <c r="K68" s="39" t="inlineStr">
        <is>
          <t>СК1</t>
        </is>
      </c>
      <c r="L68" s="38" t="n">
        <v>45</v>
      </c>
      <c r="M68" s="700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68" s="670" t="n"/>
      <c r="O68" s="670" t="n"/>
      <c r="P68" s="670" t="n"/>
      <c r="Q68" s="636" t="n"/>
      <c r="R68" s="40" t="inlineStr"/>
      <c r="S68" s="40" t="inlineStr"/>
      <c r="T68" s="41" t="inlineStr">
        <is>
          <t>кг</t>
        </is>
      </c>
      <c r="U68" s="671" t="n">
        <v>0</v>
      </c>
      <c r="V68" s="672">
        <f>IFERROR(IF(U68="",0,CEILING((U68/$H68),1)*$H68),"")</f>
        <v/>
      </c>
      <c r="W68" s="42">
        <f>IFERROR(IF(V68=0,"",ROUNDUP(V68/H68,0)*0.00937),"")</f>
        <v/>
      </c>
      <c r="X68" s="69" t="inlineStr"/>
      <c r="Y68" s="70" t="inlineStr"/>
      <c r="AC68" s="71" t="n"/>
      <c r="AZ68" s="97" t="inlineStr">
        <is>
          <t>КИ</t>
        </is>
      </c>
    </row>
    <row r="69" ht="16.5" customHeight="1">
      <c r="A69" s="64" t="inlineStr">
        <is>
          <t>SU002832</t>
        </is>
      </c>
      <c r="B69" s="64" t="inlineStr">
        <is>
          <t>P003245</t>
        </is>
      </c>
      <c r="C69" s="37" t="n">
        <v>4301011476</v>
      </c>
      <c r="D69" s="315" t="n">
        <v>4680115881518</v>
      </c>
      <c r="E69" s="636" t="n"/>
      <c r="F69" s="668" t="n">
        <v>0.4</v>
      </c>
      <c r="G69" s="38" t="n">
        <v>10</v>
      </c>
      <c r="H69" s="668" t="n">
        <v>4</v>
      </c>
      <c r="I69" s="668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701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69" s="670" t="n"/>
      <c r="O69" s="670" t="n"/>
      <c r="P69" s="670" t="n"/>
      <c r="Q69" s="636" t="n"/>
      <c r="R69" s="40" t="inlineStr"/>
      <c r="S69" s="40" t="inlineStr"/>
      <c r="T69" s="41" t="inlineStr">
        <is>
          <t>кг</t>
        </is>
      </c>
      <c r="U69" s="671" t="n">
        <v>0</v>
      </c>
      <c r="V69" s="672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71" t="n"/>
      <c r="AZ69" s="98" t="inlineStr">
        <is>
          <t>КИ</t>
        </is>
      </c>
    </row>
    <row r="70" ht="27" customHeight="1">
      <c r="A70" s="64" t="inlineStr">
        <is>
          <t>SU002816</t>
        </is>
      </c>
      <c r="B70" s="64" t="inlineStr">
        <is>
          <t>P003228</t>
        </is>
      </c>
      <c r="C70" s="37" t="n">
        <v>4301011443</v>
      </c>
      <c r="D70" s="315" t="n">
        <v>4680115881303</v>
      </c>
      <c r="E70" s="636" t="n"/>
      <c r="F70" s="668" t="n">
        <v>0.45</v>
      </c>
      <c r="G70" s="38" t="n">
        <v>10</v>
      </c>
      <c r="H70" s="668" t="n">
        <v>4.5</v>
      </c>
      <c r="I70" s="668" t="n">
        <v>4.71</v>
      </c>
      <c r="J70" s="38" t="n">
        <v>120</v>
      </c>
      <c r="K70" s="39" t="inlineStr">
        <is>
          <t>СК4</t>
        </is>
      </c>
      <c r="L70" s="38" t="n">
        <v>50</v>
      </c>
      <c r="M70" s="702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0" s="670" t="n"/>
      <c r="O70" s="670" t="n"/>
      <c r="P70" s="670" t="n"/>
      <c r="Q70" s="636" t="n"/>
      <c r="R70" s="40" t="inlineStr"/>
      <c r="S70" s="40" t="inlineStr"/>
      <c r="T70" s="41" t="inlineStr">
        <is>
          <t>кг</t>
        </is>
      </c>
      <c r="U70" s="671" t="n">
        <v>0</v>
      </c>
      <c r="V70" s="672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71" t="n"/>
      <c r="AZ70" s="99" t="inlineStr">
        <is>
          <t>КИ</t>
        </is>
      </c>
    </row>
    <row r="71" ht="27" customHeight="1">
      <c r="A71" s="64" t="inlineStr">
        <is>
          <t>SU001905</t>
        </is>
      </c>
      <c r="B71" s="64" t="inlineStr">
        <is>
          <t>P001685</t>
        </is>
      </c>
      <c r="C71" s="37" t="n">
        <v>4301011352</v>
      </c>
      <c r="D71" s="315" t="n">
        <v>4607091388466</v>
      </c>
      <c r="E71" s="636" t="n"/>
      <c r="F71" s="668" t="n">
        <v>0.45</v>
      </c>
      <c r="G71" s="38" t="n">
        <v>6</v>
      </c>
      <c r="H71" s="668" t="n">
        <v>2.7</v>
      </c>
      <c r="I71" s="668" t="n">
        <v>2.9</v>
      </c>
      <c r="J71" s="38" t="n">
        <v>156</v>
      </c>
      <c r="K71" s="39" t="inlineStr">
        <is>
          <t>СК3</t>
        </is>
      </c>
      <c r="L71" s="38" t="n">
        <v>45</v>
      </c>
      <c r="M71" s="703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1" s="670" t="n"/>
      <c r="O71" s="670" t="n"/>
      <c r="P71" s="670" t="n"/>
      <c r="Q71" s="636" t="n"/>
      <c r="R71" s="40" t="inlineStr"/>
      <c r="S71" s="40" t="inlineStr"/>
      <c r="T71" s="41" t="inlineStr">
        <is>
          <t>кг</t>
        </is>
      </c>
      <c r="U71" s="671" t="n">
        <v>0</v>
      </c>
      <c r="V71" s="672">
        <f>IFERROR(IF(U71="",0,CEILING((U71/$H71),1)*$H71),"")</f>
        <v/>
      </c>
      <c r="W71" s="42">
        <f>IFERROR(IF(V71=0,"",ROUNDUP(V71/H71,0)*0.00753),"")</f>
        <v/>
      </c>
      <c r="X71" s="69" t="inlineStr"/>
      <c r="Y71" s="70" t="inlineStr"/>
      <c r="AC71" s="71" t="n"/>
      <c r="AZ71" s="100" t="inlineStr">
        <is>
          <t>КИ</t>
        </is>
      </c>
    </row>
    <row r="72" ht="27" customHeight="1">
      <c r="A72" s="64" t="inlineStr">
        <is>
          <t>SU002733</t>
        </is>
      </c>
      <c r="B72" s="64" t="inlineStr">
        <is>
          <t>P003102</t>
        </is>
      </c>
      <c r="C72" s="37" t="n">
        <v>4301011417</v>
      </c>
      <c r="D72" s="315" t="n">
        <v>4680115880269</v>
      </c>
      <c r="E72" s="636" t="n"/>
      <c r="F72" s="668" t="n">
        <v>0.375</v>
      </c>
      <c r="G72" s="38" t="n">
        <v>10</v>
      </c>
      <c r="H72" s="668" t="n">
        <v>3.75</v>
      </c>
      <c r="I72" s="668" t="n">
        <v>3.99</v>
      </c>
      <c r="J72" s="38" t="n">
        <v>120</v>
      </c>
      <c r="K72" s="39" t="inlineStr">
        <is>
          <t>СК3</t>
        </is>
      </c>
      <c r="L72" s="38" t="n">
        <v>50</v>
      </c>
      <c r="M72" s="704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2" s="670" t="n"/>
      <c r="O72" s="670" t="n"/>
      <c r="P72" s="670" t="n"/>
      <c r="Q72" s="636" t="n"/>
      <c r="R72" s="40" t="inlineStr"/>
      <c r="S72" s="40" t="inlineStr"/>
      <c r="T72" s="41" t="inlineStr">
        <is>
          <t>кг</t>
        </is>
      </c>
      <c r="U72" s="671" t="n">
        <v>0</v>
      </c>
      <c r="V72" s="672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71" t="n"/>
      <c r="AZ72" s="101" t="inlineStr">
        <is>
          <t>КИ</t>
        </is>
      </c>
    </row>
    <row r="73" ht="16.5" customHeight="1">
      <c r="A73" s="64" t="inlineStr">
        <is>
          <t>SU002734</t>
        </is>
      </c>
      <c r="B73" s="64" t="inlineStr">
        <is>
          <t>P003103</t>
        </is>
      </c>
      <c r="C73" s="37" t="n">
        <v>4301011415</v>
      </c>
      <c r="D73" s="315" t="n">
        <v>4680115880429</v>
      </c>
      <c r="E73" s="636" t="n"/>
      <c r="F73" s="668" t="n">
        <v>0.45</v>
      </c>
      <c r="G73" s="38" t="n">
        <v>10</v>
      </c>
      <c r="H73" s="668" t="n">
        <v>4.5</v>
      </c>
      <c r="I73" s="668" t="n">
        <v>4.74</v>
      </c>
      <c r="J73" s="38" t="n">
        <v>120</v>
      </c>
      <c r="K73" s="39" t="inlineStr">
        <is>
          <t>СК3</t>
        </is>
      </c>
      <c r="L73" s="38" t="n">
        <v>50</v>
      </c>
      <c r="M73" s="705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3" s="670" t="n"/>
      <c r="O73" s="670" t="n"/>
      <c r="P73" s="670" t="n"/>
      <c r="Q73" s="636" t="n"/>
      <c r="R73" s="40" t="inlineStr"/>
      <c r="S73" s="40" t="inlineStr"/>
      <c r="T73" s="41" t="inlineStr">
        <is>
          <t>кг</t>
        </is>
      </c>
      <c r="U73" s="671" t="n">
        <v>0</v>
      </c>
      <c r="V73" s="672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71" t="n"/>
      <c r="AZ73" s="102" t="inlineStr">
        <is>
          <t>КИ</t>
        </is>
      </c>
    </row>
    <row r="74" ht="16.5" customHeight="1">
      <c r="A74" s="64" t="inlineStr">
        <is>
          <t>SU002827</t>
        </is>
      </c>
      <c r="B74" s="64" t="inlineStr">
        <is>
          <t>P003233</t>
        </is>
      </c>
      <c r="C74" s="37" t="n">
        <v>4301011462</v>
      </c>
      <c r="D74" s="315" t="n">
        <v>4680115881457</v>
      </c>
      <c r="E74" s="636" t="n"/>
      <c r="F74" s="668" t="n">
        <v>0.75</v>
      </c>
      <c r="G74" s="38" t="n">
        <v>6</v>
      </c>
      <c r="H74" s="668" t="n">
        <v>4.5</v>
      </c>
      <c r="I74" s="668" t="n">
        <v>4.74</v>
      </c>
      <c r="J74" s="38" t="n">
        <v>120</v>
      </c>
      <c r="K74" s="39" t="inlineStr">
        <is>
          <t>СК3</t>
        </is>
      </c>
      <c r="L74" s="38" t="n">
        <v>50</v>
      </c>
      <c r="M74" s="706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4" s="670" t="n"/>
      <c r="O74" s="670" t="n"/>
      <c r="P74" s="670" t="n"/>
      <c r="Q74" s="636" t="n"/>
      <c r="R74" s="40" t="inlineStr"/>
      <c r="S74" s="40" t="inlineStr"/>
      <c r="T74" s="41" t="inlineStr">
        <is>
          <t>кг</t>
        </is>
      </c>
      <c r="U74" s="671" t="n">
        <v>0</v>
      </c>
      <c r="V74" s="672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71" t="n"/>
      <c r="AZ74" s="103" t="inlineStr">
        <is>
          <t>КИ</t>
        </is>
      </c>
    </row>
    <row r="75">
      <c r="A75" s="323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673" t="n"/>
      <c r="M75" s="674" t="inlineStr">
        <is>
          <t>Итого</t>
        </is>
      </c>
      <c r="N75" s="644" t="n"/>
      <c r="O75" s="644" t="n"/>
      <c r="P75" s="644" t="n"/>
      <c r="Q75" s="644" t="n"/>
      <c r="R75" s="644" t="n"/>
      <c r="S75" s="645" t="n"/>
      <c r="T75" s="43" t="inlineStr">
        <is>
          <t>кор</t>
        </is>
      </c>
      <c r="U75" s="675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/>
      </c>
      <c r="V75" s="675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/>
      </c>
      <c r="W75" s="675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/>
      </c>
      <c r="X75" s="676" t="n"/>
      <c r="Y75" s="676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673" t="n"/>
      <c r="M76" s="674" t="inlineStr">
        <is>
          <t>Итого</t>
        </is>
      </c>
      <c r="N76" s="644" t="n"/>
      <c r="O76" s="644" t="n"/>
      <c r="P76" s="644" t="n"/>
      <c r="Q76" s="644" t="n"/>
      <c r="R76" s="644" t="n"/>
      <c r="S76" s="645" t="n"/>
      <c r="T76" s="43" t="inlineStr">
        <is>
          <t>кг</t>
        </is>
      </c>
      <c r="U76" s="675">
        <f>IFERROR(SUM(U59:U74),"0")</f>
        <v/>
      </c>
      <c r="V76" s="675">
        <f>IFERROR(SUM(V59:V74),"0")</f>
        <v/>
      </c>
      <c r="W76" s="43" t="n"/>
      <c r="X76" s="676" t="n"/>
      <c r="Y76" s="676" t="n"/>
    </row>
    <row r="77" ht="14.25" customHeight="1">
      <c r="A77" s="331" t="inlineStr">
        <is>
          <t>Ветчины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331" t="n"/>
      <c r="Y77" s="331" t="n"/>
    </row>
    <row r="78" ht="16.5" customHeight="1">
      <c r="A78" s="64" t="inlineStr">
        <is>
          <t>SU001944</t>
        </is>
      </c>
      <c r="B78" s="64" t="inlineStr">
        <is>
          <t>P001620</t>
        </is>
      </c>
      <c r="C78" s="37" t="n">
        <v>4301020204</v>
      </c>
      <c r="D78" s="315" t="n">
        <v>4607091388442</v>
      </c>
      <c r="E78" s="636" t="n"/>
      <c r="F78" s="668" t="n">
        <v>1.35</v>
      </c>
      <c r="G78" s="38" t="n">
        <v>8</v>
      </c>
      <c r="H78" s="668" t="n">
        <v>10.8</v>
      </c>
      <c r="I78" s="668" t="n">
        <v>11.28</v>
      </c>
      <c r="J78" s="38" t="n">
        <v>56</v>
      </c>
      <c r="K78" s="39" t="inlineStr">
        <is>
          <t>СК1</t>
        </is>
      </c>
      <c r="L78" s="38" t="n">
        <v>45</v>
      </c>
      <c r="M78" s="707">
        <f>HYPERLINK("https://abi.ru/products/Охлажденные/Вязанка/Вязанка/Ветчины/P001620/","Ветчины Вязанка с индейкой Вязанка Весовые Вектор Вязанка")</f>
        <v/>
      </c>
      <c r="N78" s="670" t="n"/>
      <c r="O78" s="670" t="n"/>
      <c r="P78" s="670" t="n"/>
      <c r="Q78" s="636" t="n"/>
      <c r="R78" s="40" t="inlineStr"/>
      <c r="S78" s="40" t="inlineStr"/>
      <c r="T78" s="41" t="inlineStr">
        <is>
          <t>кг</t>
        </is>
      </c>
      <c r="U78" s="671" t="n">
        <v>0</v>
      </c>
      <c r="V78" s="672">
        <f>IFERROR(IF(U78="",0,CEILING((U78/$H78),1)*$H78),"")</f>
        <v/>
      </c>
      <c r="W78" s="42">
        <f>IFERROR(IF(V78=0,"",ROUNDUP(V78/H78,0)*0.02175),"")</f>
        <v/>
      </c>
      <c r="X78" s="69" t="inlineStr"/>
      <c r="Y78" s="70" t="inlineStr"/>
      <c r="AC78" s="71" t="n"/>
      <c r="AZ78" s="104" t="inlineStr">
        <is>
          <t>КИ</t>
        </is>
      </c>
    </row>
    <row r="79" ht="27" customHeight="1">
      <c r="A79" s="64" t="inlineStr">
        <is>
          <t>SU002488</t>
        </is>
      </c>
      <c r="B79" s="64" t="inlineStr">
        <is>
          <t>P002800</t>
        </is>
      </c>
      <c r="C79" s="37" t="n">
        <v>4301020189</v>
      </c>
      <c r="D79" s="315" t="n">
        <v>4607091384789</v>
      </c>
      <c r="E79" s="636" t="n"/>
      <c r="F79" s="668" t="n">
        <v>1</v>
      </c>
      <c r="G79" s="38" t="n">
        <v>6</v>
      </c>
      <c r="H79" s="668" t="n">
        <v>6</v>
      </c>
      <c r="I79" s="668" t="n">
        <v>6.36</v>
      </c>
      <c r="J79" s="38" t="n">
        <v>104</v>
      </c>
      <c r="K79" s="39" t="inlineStr">
        <is>
          <t>СК1</t>
        </is>
      </c>
      <c r="L79" s="38" t="n">
        <v>45</v>
      </c>
      <c r="M79" s="708" t="inlineStr">
        <is>
          <t>Ветчины Запекуша с сочным окороком Вязанка Весовые П/а Вязанка</t>
        </is>
      </c>
      <c r="N79" s="670" t="n"/>
      <c r="O79" s="670" t="n"/>
      <c r="P79" s="670" t="n"/>
      <c r="Q79" s="636" t="n"/>
      <c r="R79" s="40" t="inlineStr"/>
      <c r="S79" s="40" t="inlineStr"/>
      <c r="T79" s="41" t="inlineStr">
        <is>
          <t>кг</t>
        </is>
      </c>
      <c r="U79" s="671" t="n">
        <v>0</v>
      </c>
      <c r="V79" s="672">
        <f>IFERROR(IF(U79="",0,CEILING((U79/$H79),1)*$H79),"")</f>
        <v/>
      </c>
      <c r="W79" s="42">
        <f>IFERROR(IF(V79=0,"",ROUNDUP(V79/H79,0)*0.01196),"")</f>
        <v/>
      </c>
      <c r="X79" s="69" t="inlineStr"/>
      <c r="Y79" s="70" t="inlineStr"/>
      <c r="AC79" s="71" t="n"/>
      <c r="AZ79" s="105" t="inlineStr">
        <is>
          <t>КИ</t>
        </is>
      </c>
    </row>
    <row r="80" ht="16.5" customHeight="1">
      <c r="A80" s="64" t="inlineStr">
        <is>
          <t>SU002833</t>
        </is>
      </c>
      <c r="B80" s="64" t="inlineStr">
        <is>
          <t>P003236</t>
        </is>
      </c>
      <c r="C80" s="37" t="n">
        <v>4301020235</v>
      </c>
      <c r="D80" s="315" t="n">
        <v>4680115881488</v>
      </c>
      <c r="E80" s="636" t="n"/>
      <c r="F80" s="668" t="n">
        <v>1.35</v>
      </c>
      <c r="G80" s="38" t="n">
        <v>8</v>
      </c>
      <c r="H80" s="668" t="n">
        <v>10.8</v>
      </c>
      <c r="I80" s="668" t="n">
        <v>11.28</v>
      </c>
      <c r="J80" s="38" t="n">
        <v>48</v>
      </c>
      <c r="K80" s="39" t="inlineStr">
        <is>
          <t>СК1</t>
        </is>
      </c>
      <c r="L80" s="38" t="n">
        <v>50</v>
      </c>
      <c r="M80" s="709">
        <f>HYPERLINK("https://abi.ru/products/Охлажденные/Вязанка/Вязанка/Ветчины/P003236/","Ветчины Сливушка с индейкой Вязанка вес П/а Вязанка")</f>
        <v/>
      </c>
      <c r="N80" s="670" t="n"/>
      <c r="O80" s="670" t="n"/>
      <c r="P80" s="670" t="n"/>
      <c r="Q80" s="636" t="n"/>
      <c r="R80" s="40" t="inlineStr"/>
      <c r="S80" s="40" t="inlineStr"/>
      <c r="T80" s="41" t="inlineStr">
        <is>
          <t>кг</t>
        </is>
      </c>
      <c r="U80" s="671" t="n">
        <v>0</v>
      </c>
      <c r="V80" s="672">
        <f>IFERROR(IF(U80="",0,CEILING((U80/$H80),1)*$H80),"")</f>
        <v/>
      </c>
      <c r="W80" s="42">
        <f>IFERROR(IF(V80=0,"",ROUNDUP(V80/H80,0)*0.02175),"")</f>
        <v/>
      </c>
      <c r="X80" s="69" t="inlineStr"/>
      <c r="Y80" s="70" t="inlineStr"/>
      <c r="AC80" s="71" t="n"/>
      <c r="AZ80" s="106" t="inlineStr">
        <is>
          <t>КИ</t>
        </is>
      </c>
    </row>
    <row r="81" ht="27" customHeight="1">
      <c r="A81" s="64" t="inlineStr">
        <is>
          <t>SU002313</t>
        </is>
      </c>
      <c r="B81" s="64" t="inlineStr">
        <is>
          <t>P002583</t>
        </is>
      </c>
      <c r="C81" s="37" t="n">
        <v>4301020183</v>
      </c>
      <c r="D81" s="315" t="n">
        <v>4607091384765</v>
      </c>
      <c r="E81" s="636" t="n"/>
      <c r="F81" s="668" t="n">
        <v>0.42</v>
      </c>
      <c r="G81" s="38" t="n">
        <v>6</v>
      </c>
      <c r="H81" s="668" t="n">
        <v>2.52</v>
      </c>
      <c r="I81" s="668" t="n">
        <v>2.72</v>
      </c>
      <c r="J81" s="38" t="n">
        <v>156</v>
      </c>
      <c r="K81" s="39" t="inlineStr">
        <is>
          <t>СК1</t>
        </is>
      </c>
      <c r="L81" s="38" t="n">
        <v>45</v>
      </c>
      <c r="M81" s="710" t="inlineStr">
        <is>
          <t>Ветчины Запекуша с сочным окороком Вязанка Фикс.вес 0,42 п/а Вязанка</t>
        </is>
      </c>
      <c r="N81" s="670" t="n"/>
      <c r="O81" s="670" t="n"/>
      <c r="P81" s="670" t="n"/>
      <c r="Q81" s="636" t="n"/>
      <c r="R81" s="40" t="inlineStr"/>
      <c r="S81" s="40" t="inlineStr"/>
      <c r="T81" s="41" t="inlineStr">
        <is>
          <t>кг</t>
        </is>
      </c>
      <c r="U81" s="671" t="n">
        <v>0</v>
      </c>
      <c r="V81" s="672">
        <f>IFERROR(IF(U81="",0,CEILING((U81/$H81),1)*$H81),"")</f>
        <v/>
      </c>
      <c r="W81" s="42">
        <f>IFERROR(IF(V81=0,"",ROUNDUP(V81/H81,0)*0.00753),"")</f>
        <v/>
      </c>
      <c r="X81" s="69" t="inlineStr"/>
      <c r="Y81" s="70" t="inlineStr"/>
      <c r="AC81" s="71" t="n"/>
      <c r="AZ81" s="107" t="inlineStr">
        <is>
          <t>КИ</t>
        </is>
      </c>
    </row>
    <row r="82" ht="27" customHeight="1">
      <c r="A82" s="64" t="inlineStr">
        <is>
          <t>SU003037</t>
        </is>
      </c>
      <c r="B82" s="64" t="inlineStr">
        <is>
          <t>P003575</t>
        </is>
      </c>
      <c r="C82" s="37" t="n">
        <v>4301020258</v>
      </c>
      <c r="D82" s="315" t="n">
        <v>4680115882775</v>
      </c>
      <c r="E82" s="636" t="n"/>
      <c r="F82" s="668" t="n">
        <v>0.3</v>
      </c>
      <c r="G82" s="38" t="n">
        <v>8</v>
      </c>
      <c r="H82" s="668" t="n">
        <v>2.4</v>
      </c>
      <c r="I82" s="668" t="n">
        <v>2.5</v>
      </c>
      <c r="J82" s="38" t="n">
        <v>234</v>
      </c>
      <c r="K82" s="39" t="inlineStr">
        <is>
          <t>СК3</t>
        </is>
      </c>
      <c r="L82" s="38" t="n">
        <v>50</v>
      </c>
      <c r="M82" s="711" t="inlineStr">
        <is>
          <t>Ветчины «Сливушка с индейкой» Фикс.вес 0,3 П/а ТМ «Вязанка»</t>
        </is>
      </c>
      <c r="N82" s="670" t="n"/>
      <c r="O82" s="670" t="n"/>
      <c r="P82" s="670" t="n"/>
      <c r="Q82" s="636" t="n"/>
      <c r="R82" s="40" t="inlineStr"/>
      <c r="S82" s="40" t="inlineStr"/>
      <c r="T82" s="41" t="inlineStr">
        <is>
          <t>кг</t>
        </is>
      </c>
      <c r="U82" s="671" t="n">
        <v>0</v>
      </c>
      <c r="V82" s="672">
        <f>IFERROR(IF(U82="",0,CEILING((U82/$H82),1)*$H82),"")</f>
        <v/>
      </c>
      <c r="W82" s="42">
        <f>IFERROR(IF(V82=0,"",ROUNDUP(V82/H82,0)*0.00502),"")</f>
        <v/>
      </c>
      <c r="X82" s="69" t="inlineStr"/>
      <c r="Y82" s="70" t="inlineStr"/>
      <c r="AC82" s="71" t="n"/>
      <c r="AZ82" s="108" t="inlineStr">
        <is>
          <t>КИ</t>
        </is>
      </c>
    </row>
    <row r="83" ht="27" customHeight="1">
      <c r="A83" s="64" t="inlineStr">
        <is>
          <t>SU002735</t>
        </is>
      </c>
      <c r="B83" s="64" t="inlineStr">
        <is>
          <t>P003107</t>
        </is>
      </c>
      <c r="C83" s="37" t="n">
        <v>4301020217</v>
      </c>
      <c r="D83" s="315" t="n">
        <v>4680115880658</v>
      </c>
      <c r="E83" s="636" t="n"/>
      <c r="F83" s="668" t="n">
        <v>0.4</v>
      </c>
      <c r="G83" s="38" t="n">
        <v>6</v>
      </c>
      <c r="H83" s="668" t="n">
        <v>2.4</v>
      </c>
      <c r="I83" s="668" t="n">
        <v>2.6</v>
      </c>
      <c r="J83" s="38" t="n">
        <v>156</v>
      </c>
      <c r="K83" s="39" t="inlineStr">
        <is>
          <t>СК1</t>
        </is>
      </c>
      <c r="L83" s="38" t="n">
        <v>50</v>
      </c>
      <c r="M83" s="712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3" s="670" t="n"/>
      <c r="O83" s="670" t="n"/>
      <c r="P83" s="670" t="n"/>
      <c r="Q83" s="636" t="n"/>
      <c r="R83" s="40" t="inlineStr"/>
      <c r="S83" s="40" t="inlineStr"/>
      <c r="T83" s="41" t="inlineStr">
        <is>
          <t>кг</t>
        </is>
      </c>
      <c r="U83" s="671" t="n">
        <v>0</v>
      </c>
      <c r="V83" s="672">
        <f>IFERROR(IF(U83="",0,CEILING((U83/$H83),1)*$H83),"")</f>
        <v/>
      </c>
      <c r="W83" s="42">
        <f>IFERROR(IF(V83=0,"",ROUNDUP(V83/H83,0)*0.00753),"")</f>
        <v/>
      </c>
      <c r="X83" s="69" t="inlineStr"/>
      <c r="Y83" s="70" t="inlineStr"/>
      <c r="AC83" s="71" t="n"/>
      <c r="AZ83" s="109" t="inlineStr">
        <is>
          <t>КИ</t>
        </is>
      </c>
    </row>
    <row r="84" ht="27" customHeight="1">
      <c r="A84" s="64" t="inlineStr">
        <is>
          <t>SU000082</t>
        </is>
      </c>
      <c r="B84" s="64" t="inlineStr">
        <is>
          <t>P003164</t>
        </is>
      </c>
      <c r="C84" s="37" t="n">
        <v>4301020223</v>
      </c>
      <c r="D84" s="315" t="n">
        <v>4607091381962</v>
      </c>
      <c r="E84" s="636" t="n"/>
      <c r="F84" s="668" t="n">
        <v>0.5</v>
      </c>
      <c r="G84" s="38" t="n">
        <v>6</v>
      </c>
      <c r="H84" s="668" t="n">
        <v>3</v>
      </c>
      <c r="I84" s="668" t="n">
        <v>3.2</v>
      </c>
      <c r="J84" s="38" t="n">
        <v>156</v>
      </c>
      <c r="K84" s="39" t="inlineStr">
        <is>
          <t>СК1</t>
        </is>
      </c>
      <c r="L84" s="38" t="n">
        <v>50</v>
      </c>
      <c r="M84" s="713">
        <f>HYPERLINK("https://abi.ru/products/Охлажденные/Вязанка/Вязанка/Ветчины/P003164/","Ветчины Столичная Вязанка Фикс.вес 0,5 Вектор Вязанка")</f>
        <v/>
      </c>
      <c r="N84" s="670" t="n"/>
      <c r="O84" s="670" t="n"/>
      <c r="P84" s="670" t="n"/>
      <c r="Q84" s="636" t="n"/>
      <c r="R84" s="40" t="inlineStr"/>
      <c r="S84" s="40" t="inlineStr"/>
      <c r="T84" s="41" t="inlineStr">
        <is>
          <t>кг</t>
        </is>
      </c>
      <c r="U84" s="671" t="n">
        <v>0</v>
      </c>
      <c r="V84" s="672">
        <f>IFERROR(IF(U84="",0,CEILING((U84/$H84),1)*$H84),"")</f>
        <v/>
      </c>
      <c r="W84" s="42">
        <f>IFERROR(IF(V84=0,"",ROUNDUP(V84/H84,0)*0.00753),"")</f>
        <v/>
      </c>
      <c r="X84" s="69" t="inlineStr"/>
      <c r="Y84" s="70" t="inlineStr"/>
      <c r="AC84" s="71" t="n"/>
      <c r="AZ84" s="110" t="inlineStr">
        <is>
          <t>КИ</t>
        </is>
      </c>
    </row>
    <row r="85">
      <c r="A85" s="323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673" t="n"/>
      <c r="M85" s="674" t="inlineStr">
        <is>
          <t>Итого</t>
        </is>
      </c>
      <c r="N85" s="644" t="n"/>
      <c r="O85" s="644" t="n"/>
      <c r="P85" s="644" t="n"/>
      <c r="Q85" s="644" t="n"/>
      <c r="R85" s="644" t="n"/>
      <c r="S85" s="645" t="n"/>
      <c r="T85" s="43" t="inlineStr">
        <is>
          <t>кор</t>
        </is>
      </c>
      <c r="U85" s="675">
        <f>IFERROR(U78/H78,"0")+IFERROR(U79/H79,"0")+IFERROR(U80/H80,"0")+IFERROR(U81/H81,"0")+IFERROR(U82/H82,"0")+IFERROR(U83/H83,"0")+IFERROR(U84/H84,"0")</f>
        <v/>
      </c>
      <c r="V85" s="675">
        <f>IFERROR(V78/H78,"0")+IFERROR(V79/H79,"0")+IFERROR(V80/H80,"0")+IFERROR(V81/H81,"0")+IFERROR(V82/H82,"0")+IFERROR(V83/H83,"0")+IFERROR(V84/H84,"0")</f>
        <v/>
      </c>
      <c r="W85" s="675">
        <f>IFERROR(IF(W78="",0,W78),"0")+IFERROR(IF(W79="",0,W79),"0")+IFERROR(IF(W80="",0,W80),"0")+IFERROR(IF(W81="",0,W81),"0")+IFERROR(IF(W82="",0,W82),"0")+IFERROR(IF(W83="",0,W83),"0")+IFERROR(IF(W84="",0,W84),"0")</f>
        <v/>
      </c>
      <c r="X85" s="676" t="n"/>
      <c r="Y85" s="676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673" t="n"/>
      <c r="M86" s="674" t="inlineStr">
        <is>
          <t>Итого</t>
        </is>
      </c>
      <c r="N86" s="644" t="n"/>
      <c r="O86" s="644" t="n"/>
      <c r="P86" s="644" t="n"/>
      <c r="Q86" s="644" t="n"/>
      <c r="R86" s="644" t="n"/>
      <c r="S86" s="645" t="n"/>
      <c r="T86" s="43" t="inlineStr">
        <is>
          <t>кг</t>
        </is>
      </c>
      <c r="U86" s="675">
        <f>IFERROR(SUM(U78:U84),"0")</f>
        <v/>
      </c>
      <c r="V86" s="675">
        <f>IFERROR(SUM(V78:V84),"0")</f>
        <v/>
      </c>
      <c r="W86" s="43" t="n"/>
      <c r="X86" s="676" t="n"/>
      <c r="Y86" s="676" t="n"/>
    </row>
    <row r="87" ht="14.25" customHeight="1">
      <c r="A87" s="331" t="inlineStr">
        <is>
          <t>Копченые колбасы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331" t="n"/>
      <c r="Y87" s="331" t="n"/>
    </row>
    <row r="88" ht="16.5" customHeight="1">
      <c r="A88" s="64" t="inlineStr">
        <is>
          <t>SU000064</t>
        </is>
      </c>
      <c r="B88" s="64" t="inlineStr">
        <is>
          <t>P001841</t>
        </is>
      </c>
      <c r="C88" s="37" t="n">
        <v>4301030895</v>
      </c>
      <c r="D88" s="315" t="n">
        <v>4607091387667</v>
      </c>
      <c r="E88" s="636" t="n"/>
      <c r="F88" s="668" t="n">
        <v>0.9</v>
      </c>
      <c r="G88" s="38" t="n">
        <v>10</v>
      </c>
      <c r="H88" s="668" t="n">
        <v>9</v>
      </c>
      <c r="I88" s="668" t="n">
        <v>9.630000000000001</v>
      </c>
      <c r="J88" s="38" t="n">
        <v>56</v>
      </c>
      <c r="K88" s="39" t="inlineStr">
        <is>
          <t>СК1</t>
        </is>
      </c>
      <c r="L88" s="38" t="n">
        <v>40</v>
      </c>
      <c r="M88" s="714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88" s="670" t="n"/>
      <c r="O88" s="670" t="n"/>
      <c r="P88" s="670" t="n"/>
      <c r="Q88" s="636" t="n"/>
      <c r="R88" s="40" t="inlineStr"/>
      <c r="S88" s="40" t="inlineStr"/>
      <c r="T88" s="41" t="inlineStr">
        <is>
          <t>кг</t>
        </is>
      </c>
      <c r="U88" s="671" t="n">
        <v>0</v>
      </c>
      <c r="V88" s="672">
        <f>IFERROR(IF(U88="",0,CEILING((U88/$H88),1)*$H88),"")</f>
        <v/>
      </c>
      <c r="W88" s="42">
        <f>IFERROR(IF(V88=0,"",ROUNDUP(V88/H88,0)*0.02175),"")</f>
        <v/>
      </c>
      <c r="X88" s="69" t="inlineStr"/>
      <c r="Y88" s="70" t="inlineStr"/>
      <c r="AC88" s="71" t="n"/>
      <c r="AZ88" s="111" t="inlineStr">
        <is>
          <t>КИ</t>
        </is>
      </c>
    </row>
    <row r="89" ht="27" customHeight="1">
      <c r="A89" s="64" t="inlineStr">
        <is>
          <t>SU000664</t>
        </is>
      </c>
      <c r="B89" s="64" t="inlineStr">
        <is>
          <t>P002177</t>
        </is>
      </c>
      <c r="C89" s="37" t="n">
        <v>4301030961</v>
      </c>
      <c r="D89" s="315" t="n">
        <v>4607091387636</v>
      </c>
      <c r="E89" s="636" t="n"/>
      <c r="F89" s="668" t="n">
        <v>0.7</v>
      </c>
      <c r="G89" s="38" t="n">
        <v>6</v>
      </c>
      <c r="H89" s="668" t="n">
        <v>4.2</v>
      </c>
      <c r="I89" s="668" t="n">
        <v>4.5</v>
      </c>
      <c r="J89" s="38" t="n">
        <v>120</v>
      </c>
      <c r="K89" s="39" t="inlineStr">
        <is>
          <t>СК2</t>
        </is>
      </c>
      <c r="L89" s="38" t="n">
        <v>40</v>
      </c>
      <c r="M89" s="715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89" s="670" t="n"/>
      <c r="O89" s="670" t="n"/>
      <c r="P89" s="670" t="n"/>
      <c r="Q89" s="636" t="n"/>
      <c r="R89" s="40" t="inlineStr"/>
      <c r="S89" s="40" t="inlineStr"/>
      <c r="T89" s="41" t="inlineStr">
        <is>
          <t>кг</t>
        </is>
      </c>
      <c r="U89" s="671" t="n">
        <v>0</v>
      </c>
      <c r="V89" s="672">
        <f>IFERROR(IF(U89="",0,CEILING((U89/$H89),1)*$H89),"")</f>
        <v/>
      </c>
      <c r="W89" s="42">
        <f>IFERROR(IF(V89=0,"",ROUNDUP(V89/H89,0)*0.00937),"")</f>
        <v/>
      </c>
      <c r="X89" s="69" t="inlineStr"/>
      <c r="Y89" s="70" t="inlineStr"/>
      <c r="AC89" s="71" t="n"/>
      <c r="AZ89" s="112" t="inlineStr">
        <is>
          <t>КИ</t>
        </is>
      </c>
    </row>
    <row r="90" ht="27" customHeight="1">
      <c r="A90" s="64" t="inlineStr">
        <is>
          <t>SU002308</t>
        </is>
      </c>
      <c r="B90" s="64" t="inlineStr">
        <is>
          <t>P002572</t>
        </is>
      </c>
      <c r="C90" s="37" t="n">
        <v>4301031078</v>
      </c>
      <c r="D90" s="315" t="n">
        <v>4607091384727</v>
      </c>
      <c r="E90" s="636" t="n"/>
      <c r="F90" s="668" t="n">
        <v>0.8</v>
      </c>
      <c r="G90" s="38" t="n">
        <v>6</v>
      </c>
      <c r="H90" s="668" t="n">
        <v>4.8</v>
      </c>
      <c r="I90" s="668" t="n">
        <v>5.16</v>
      </c>
      <c r="J90" s="38" t="n">
        <v>104</v>
      </c>
      <c r="K90" s="39" t="inlineStr">
        <is>
          <t>СК2</t>
        </is>
      </c>
      <c r="L90" s="38" t="n">
        <v>45</v>
      </c>
      <c r="M90" s="716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0" s="670" t="n"/>
      <c r="O90" s="670" t="n"/>
      <c r="P90" s="670" t="n"/>
      <c r="Q90" s="636" t="n"/>
      <c r="R90" s="40" t="inlineStr"/>
      <c r="S90" s="40" t="inlineStr"/>
      <c r="T90" s="41" t="inlineStr">
        <is>
          <t>кг</t>
        </is>
      </c>
      <c r="U90" s="671" t="n">
        <v>0</v>
      </c>
      <c r="V90" s="672">
        <f>IFERROR(IF(U90="",0,CEILING((U90/$H90),1)*$H90),"")</f>
        <v/>
      </c>
      <c r="W90" s="42">
        <f>IFERROR(IF(V90=0,"",ROUNDUP(V90/H90,0)*0.01196),"")</f>
        <v/>
      </c>
      <c r="X90" s="69" t="inlineStr"/>
      <c r="Y90" s="70" t="inlineStr"/>
      <c r="AC90" s="71" t="n"/>
      <c r="AZ90" s="113" t="inlineStr">
        <is>
          <t>КИ</t>
        </is>
      </c>
    </row>
    <row r="91" ht="27" customHeight="1">
      <c r="A91" s="64" t="inlineStr">
        <is>
          <t>SU002310</t>
        </is>
      </c>
      <c r="B91" s="64" t="inlineStr">
        <is>
          <t>P002574</t>
        </is>
      </c>
      <c r="C91" s="37" t="n">
        <v>4301031080</v>
      </c>
      <c r="D91" s="315" t="n">
        <v>4607091386745</v>
      </c>
      <c r="E91" s="636" t="n"/>
      <c r="F91" s="668" t="n">
        <v>0.8</v>
      </c>
      <c r="G91" s="38" t="n">
        <v>6</v>
      </c>
      <c r="H91" s="668" t="n">
        <v>4.8</v>
      </c>
      <c r="I91" s="668" t="n">
        <v>5.16</v>
      </c>
      <c r="J91" s="38" t="n">
        <v>104</v>
      </c>
      <c r="K91" s="39" t="inlineStr">
        <is>
          <t>СК2</t>
        </is>
      </c>
      <c r="L91" s="38" t="n">
        <v>45</v>
      </c>
      <c r="M91" s="717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1" s="670" t="n"/>
      <c r="O91" s="670" t="n"/>
      <c r="P91" s="670" t="n"/>
      <c r="Q91" s="636" t="n"/>
      <c r="R91" s="40" t="inlineStr"/>
      <c r="S91" s="40" t="inlineStr"/>
      <c r="T91" s="41" t="inlineStr">
        <is>
          <t>кг</t>
        </is>
      </c>
      <c r="U91" s="671" t="n">
        <v>0</v>
      </c>
      <c r="V91" s="672">
        <f>IFERROR(IF(U91="",0,CEILING((U91/$H91),1)*$H91),"")</f>
        <v/>
      </c>
      <c r="W91" s="42">
        <f>IFERROR(IF(V91=0,"",ROUNDUP(V91/H91,0)*0.01196),"")</f>
        <v/>
      </c>
      <c r="X91" s="69" t="inlineStr"/>
      <c r="Y91" s="70" t="inlineStr"/>
      <c r="AC91" s="71" t="n"/>
      <c r="AZ91" s="114" t="inlineStr">
        <is>
          <t>КИ</t>
        </is>
      </c>
    </row>
    <row r="92" ht="16.5" customHeight="1">
      <c r="A92" s="64" t="inlineStr">
        <is>
          <t>SU000097</t>
        </is>
      </c>
      <c r="B92" s="64" t="inlineStr">
        <is>
          <t>P002179</t>
        </is>
      </c>
      <c r="C92" s="37" t="n">
        <v>4301030963</v>
      </c>
      <c r="D92" s="315" t="n">
        <v>4607091382426</v>
      </c>
      <c r="E92" s="636" t="n"/>
      <c r="F92" s="668" t="n">
        <v>0.9</v>
      </c>
      <c r="G92" s="38" t="n">
        <v>10</v>
      </c>
      <c r="H92" s="668" t="n">
        <v>9</v>
      </c>
      <c r="I92" s="668" t="n">
        <v>9.630000000000001</v>
      </c>
      <c r="J92" s="38" t="n">
        <v>56</v>
      </c>
      <c r="K92" s="39" t="inlineStr">
        <is>
          <t>СК2</t>
        </is>
      </c>
      <c r="L92" s="38" t="n">
        <v>40</v>
      </c>
      <c r="M92" s="718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2" s="670" t="n"/>
      <c r="O92" s="670" t="n"/>
      <c r="P92" s="670" t="n"/>
      <c r="Q92" s="636" t="n"/>
      <c r="R92" s="40" t="inlineStr"/>
      <c r="S92" s="40" t="inlineStr"/>
      <c r="T92" s="41" t="inlineStr">
        <is>
          <t>кг</t>
        </is>
      </c>
      <c r="U92" s="671" t="n">
        <v>0</v>
      </c>
      <c r="V92" s="672">
        <f>IFERROR(IF(U92="",0,CEILING((U92/$H92),1)*$H92),"")</f>
        <v/>
      </c>
      <c r="W92" s="42">
        <f>IFERROR(IF(V92=0,"",ROUNDUP(V92/H92,0)*0.02175),"")</f>
        <v/>
      </c>
      <c r="X92" s="69" t="inlineStr"/>
      <c r="Y92" s="70" t="inlineStr"/>
      <c r="AC92" s="71" t="n"/>
      <c r="AZ92" s="115" t="inlineStr">
        <is>
          <t>КИ</t>
        </is>
      </c>
    </row>
    <row r="93" ht="27" customHeight="1">
      <c r="A93" s="64" t="inlineStr">
        <is>
          <t>SU000665</t>
        </is>
      </c>
      <c r="B93" s="64" t="inlineStr">
        <is>
          <t>P002178</t>
        </is>
      </c>
      <c r="C93" s="37" t="n">
        <v>4301030962</v>
      </c>
      <c r="D93" s="315" t="n">
        <v>4607091386547</v>
      </c>
      <c r="E93" s="636" t="n"/>
      <c r="F93" s="668" t="n">
        <v>0.35</v>
      </c>
      <c r="G93" s="38" t="n">
        <v>8</v>
      </c>
      <c r="H93" s="668" t="n">
        <v>2.8</v>
      </c>
      <c r="I93" s="668" t="n">
        <v>2.94</v>
      </c>
      <c r="J93" s="38" t="n">
        <v>234</v>
      </c>
      <c r="K93" s="39" t="inlineStr">
        <is>
          <t>СК2</t>
        </is>
      </c>
      <c r="L93" s="38" t="n">
        <v>40</v>
      </c>
      <c r="M93" s="719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3" s="670" t="n"/>
      <c r="O93" s="670" t="n"/>
      <c r="P93" s="670" t="n"/>
      <c r="Q93" s="636" t="n"/>
      <c r="R93" s="40" t="inlineStr"/>
      <c r="S93" s="40" t="inlineStr"/>
      <c r="T93" s="41" t="inlineStr">
        <is>
          <t>кг</t>
        </is>
      </c>
      <c r="U93" s="671" t="n">
        <v>0</v>
      </c>
      <c r="V93" s="672">
        <f>IFERROR(IF(U93="",0,CEILING((U93/$H93),1)*$H93),"")</f>
        <v/>
      </c>
      <c r="W93" s="42">
        <f>IFERROR(IF(V93=0,"",ROUNDUP(V93/H93,0)*0.00502),"")</f>
        <v/>
      </c>
      <c r="X93" s="69" t="inlineStr"/>
      <c r="Y93" s="70" t="inlineStr"/>
      <c r="AC93" s="71" t="n"/>
      <c r="AZ93" s="116" t="inlineStr">
        <is>
          <t>КИ</t>
        </is>
      </c>
    </row>
    <row r="94" ht="27" customHeight="1">
      <c r="A94" s="64" t="inlineStr">
        <is>
          <t>SU002307</t>
        </is>
      </c>
      <c r="B94" s="64" t="inlineStr">
        <is>
          <t>P002571</t>
        </is>
      </c>
      <c r="C94" s="37" t="n">
        <v>4301031077</v>
      </c>
      <c r="D94" s="315" t="n">
        <v>4607091384703</v>
      </c>
      <c r="E94" s="636" t="n"/>
      <c r="F94" s="668" t="n">
        <v>0.35</v>
      </c>
      <c r="G94" s="38" t="n">
        <v>6</v>
      </c>
      <c r="H94" s="668" t="n">
        <v>2.1</v>
      </c>
      <c r="I94" s="668" t="n">
        <v>2.2</v>
      </c>
      <c r="J94" s="38" t="n">
        <v>234</v>
      </c>
      <c r="K94" s="39" t="inlineStr">
        <is>
          <t>СК2</t>
        </is>
      </c>
      <c r="L94" s="38" t="n">
        <v>45</v>
      </c>
      <c r="M94" s="720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4" s="670" t="n"/>
      <c r="O94" s="670" t="n"/>
      <c r="P94" s="670" t="n"/>
      <c r="Q94" s="636" t="n"/>
      <c r="R94" s="40" t="inlineStr"/>
      <c r="S94" s="40" t="inlineStr"/>
      <c r="T94" s="41" t="inlineStr">
        <is>
          <t>кг</t>
        </is>
      </c>
      <c r="U94" s="671" t="n">
        <v>0</v>
      </c>
      <c r="V94" s="672">
        <f>IFERROR(IF(U94="",0,CEILING((U94/$H94),1)*$H94),"")</f>
        <v/>
      </c>
      <c r="W94" s="42">
        <f>IFERROR(IF(V94=0,"",ROUNDUP(V94/H94,0)*0.00502),"")</f>
        <v/>
      </c>
      <c r="X94" s="69" t="inlineStr"/>
      <c r="Y94" s="70" t="inlineStr"/>
      <c r="AC94" s="71" t="n"/>
      <c r="AZ94" s="117" t="inlineStr">
        <is>
          <t>КИ</t>
        </is>
      </c>
    </row>
    <row r="95" ht="27" customHeight="1">
      <c r="A95" s="64" t="inlineStr">
        <is>
          <t>SU002309</t>
        </is>
      </c>
      <c r="B95" s="64" t="inlineStr">
        <is>
          <t>P002573</t>
        </is>
      </c>
      <c r="C95" s="37" t="n">
        <v>4301031079</v>
      </c>
      <c r="D95" s="315" t="n">
        <v>4607091384734</v>
      </c>
      <c r="E95" s="636" t="n"/>
      <c r="F95" s="668" t="n">
        <v>0.35</v>
      </c>
      <c r="G95" s="38" t="n">
        <v>6</v>
      </c>
      <c r="H95" s="668" t="n">
        <v>2.1</v>
      </c>
      <c r="I95" s="668" t="n">
        <v>2.2</v>
      </c>
      <c r="J95" s="38" t="n">
        <v>234</v>
      </c>
      <c r="K95" s="39" t="inlineStr">
        <is>
          <t>СК2</t>
        </is>
      </c>
      <c r="L95" s="38" t="n">
        <v>45</v>
      </c>
      <c r="M95" s="721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5" s="670" t="n"/>
      <c r="O95" s="670" t="n"/>
      <c r="P95" s="670" t="n"/>
      <c r="Q95" s="636" t="n"/>
      <c r="R95" s="40" t="inlineStr"/>
      <c r="S95" s="40" t="inlineStr"/>
      <c r="T95" s="41" t="inlineStr">
        <is>
          <t>кг</t>
        </is>
      </c>
      <c r="U95" s="671" t="n">
        <v>0</v>
      </c>
      <c r="V95" s="672">
        <f>IFERROR(IF(U95="",0,CEILING((U95/$H95),1)*$H95),"")</f>
        <v/>
      </c>
      <c r="W95" s="42">
        <f>IFERROR(IF(V95=0,"",ROUNDUP(V95/H95,0)*0.00502),"")</f>
        <v/>
      </c>
      <c r="X95" s="69" t="inlineStr"/>
      <c r="Y95" s="70" t="inlineStr"/>
      <c r="AC95" s="71" t="n"/>
      <c r="AZ95" s="118" t="inlineStr">
        <is>
          <t>КИ</t>
        </is>
      </c>
    </row>
    <row r="96" ht="27" customHeight="1">
      <c r="A96" s="64" t="inlineStr">
        <is>
          <t>SU001605</t>
        </is>
      </c>
      <c r="B96" s="64" t="inlineStr">
        <is>
          <t>P002180</t>
        </is>
      </c>
      <c r="C96" s="37" t="n">
        <v>4301030964</v>
      </c>
      <c r="D96" s="315" t="n">
        <v>4607091382464</v>
      </c>
      <c r="E96" s="636" t="n"/>
      <c r="F96" s="668" t="n">
        <v>0.35</v>
      </c>
      <c r="G96" s="38" t="n">
        <v>8</v>
      </c>
      <c r="H96" s="668" t="n">
        <v>2.8</v>
      </c>
      <c r="I96" s="668" t="n">
        <v>2.964</v>
      </c>
      <c r="J96" s="38" t="n">
        <v>234</v>
      </c>
      <c r="K96" s="39" t="inlineStr">
        <is>
          <t>СК2</t>
        </is>
      </c>
      <c r="L96" s="38" t="n">
        <v>40</v>
      </c>
      <c r="M96" s="722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6" s="670" t="n"/>
      <c r="O96" s="670" t="n"/>
      <c r="P96" s="670" t="n"/>
      <c r="Q96" s="636" t="n"/>
      <c r="R96" s="40" t="inlineStr"/>
      <c r="S96" s="40" t="inlineStr"/>
      <c r="T96" s="41" t="inlineStr">
        <is>
          <t>кг</t>
        </is>
      </c>
      <c r="U96" s="671" t="n">
        <v>0</v>
      </c>
      <c r="V96" s="672">
        <f>IFERROR(IF(U96="",0,CEILING((U96/$H96),1)*$H96),"")</f>
        <v/>
      </c>
      <c r="W96" s="42">
        <f>IFERROR(IF(V96=0,"",ROUNDUP(V96/H96,0)*0.00502),"")</f>
        <v/>
      </c>
      <c r="X96" s="69" t="inlineStr"/>
      <c r="Y96" s="70" t="inlineStr"/>
      <c r="AC96" s="71" t="n"/>
      <c r="AZ96" s="119" t="inlineStr">
        <is>
          <t>КИ</t>
        </is>
      </c>
    </row>
    <row r="97">
      <c r="A97" s="323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673" t="n"/>
      <c r="M97" s="674" t="inlineStr">
        <is>
          <t>Итого</t>
        </is>
      </c>
      <c r="N97" s="644" t="n"/>
      <c r="O97" s="644" t="n"/>
      <c r="P97" s="644" t="n"/>
      <c r="Q97" s="644" t="n"/>
      <c r="R97" s="644" t="n"/>
      <c r="S97" s="645" t="n"/>
      <c r="T97" s="43" t="inlineStr">
        <is>
          <t>кор</t>
        </is>
      </c>
      <c r="U97" s="675">
        <f>IFERROR(U88/H88,"0")+IFERROR(U89/H89,"0")+IFERROR(U90/H90,"0")+IFERROR(U91/H91,"0")+IFERROR(U92/H92,"0")+IFERROR(U93/H93,"0")+IFERROR(U94/H94,"0")+IFERROR(U95/H95,"0")+IFERROR(U96/H96,"0")</f>
        <v/>
      </c>
      <c r="V97" s="675">
        <f>IFERROR(V88/H88,"0")+IFERROR(V89/H89,"0")+IFERROR(V90/H90,"0")+IFERROR(V91/H91,"0")+IFERROR(V92/H92,"0")+IFERROR(V93/H93,"0")+IFERROR(V94/H94,"0")+IFERROR(V95/H95,"0")+IFERROR(V96/H96,"0")</f>
        <v/>
      </c>
      <c r="W97" s="675">
        <f>IFERROR(IF(W88="",0,W88),"0")+IFERROR(IF(W89="",0,W89),"0")+IFERROR(IF(W90="",0,W90),"0")+IFERROR(IF(W91="",0,W91),"0")+IFERROR(IF(W92="",0,W92),"0")+IFERROR(IF(W93="",0,W93),"0")+IFERROR(IF(W94="",0,W94),"0")+IFERROR(IF(W95="",0,W95),"0")+IFERROR(IF(W96="",0,W96),"0")</f>
        <v/>
      </c>
      <c r="X97" s="676" t="n"/>
      <c r="Y97" s="676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673" t="n"/>
      <c r="M98" s="674" t="inlineStr">
        <is>
          <t>Итого</t>
        </is>
      </c>
      <c r="N98" s="644" t="n"/>
      <c r="O98" s="644" t="n"/>
      <c r="P98" s="644" t="n"/>
      <c r="Q98" s="644" t="n"/>
      <c r="R98" s="644" t="n"/>
      <c r="S98" s="645" t="n"/>
      <c r="T98" s="43" t="inlineStr">
        <is>
          <t>кг</t>
        </is>
      </c>
      <c r="U98" s="675">
        <f>IFERROR(SUM(U88:U96),"0")</f>
        <v/>
      </c>
      <c r="V98" s="675">
        <f>IFERROR(SUM(V88:V96),"0")</f>
        <v/>
      </c>
      <c r="W98" s="43" t="n"/>
      <c r="X98" s="676" t="n"/>
      <c r="Y98" s="676" t="n"/>
    </row>
    <row r="99" ht="14.25" customHeight="1">
      <c r="A99" s="331" t="inlineStr">
        <is>
          <t>Сосиски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331" t="n"/>
      <c r="Y99" s="331" t="n"/>
    </row>
    <row r="100" ht="27" customHeight="1">
      <c r="A100" s="64" t="inlineStr">
        <is>
          <t>SU001523</t>
        </is>
      </c>
      <c r="B100" s="64" t="inlineStr">
        <is>
          <t>P003328</t>
        </is>
      </c>
      <c r="C100" s="37" t="n">
        <v>4301051437</v>
      </c>
      <c r="D100" s="315" t="n">
        <v>4607091386967</v>
      </c>
      <c r="E100" s="636" t="n"/>
      <c r="F100" s="668" t="n">
        <v>1.35</v>
      </c>
      <c r="G100" s="38" t="n">
        <v>6</v>
      </c>
      <c r="H100" s="668" t="n">
        <v>8.1</v>
      </c>
      <c r="I100" s="668" t="n">
        <v>8.664</v>
      </c>
      <c r="J100" s="38" t="n">
        <v>56</v>
      </c>
      <c r="K100" s="39" t="inlineStr">
        <is>
          <t>СК3</t>
        </is>
      </c>
      <c r="L100" s="38" t="n">
        <v>45</v>
      </c>
      <c r="M100" s="723" t="inlineStr">
        <is>
          <t>Сосиски Молокуши (Вязанка Молочные) Вязанка Весовые П/а мгс Вязанка</t>
        </is>
      </c>
      <c r="N100" s="670" t="n"/>
      <c r="O100" s="670" t="n"/>
      <c r="P100" s="670" t="n"/>
      <c r="Q100" s="636" t="n"/>
      <c r="R100" s="40" t="inlineStr"/>
      <c r="S100" s="40" t="inlineStr"/>
      <c r="T100" s="41" t="inlineStr">
        <is>
          <t>кг</t>
        </is>
      </c>
      <c r="U100" s="671" t="n">
        <v>0</v>
      </c>
      <c r="V100" s="672">
        <f>IFERROR(IF(U100="",0,CEILING((U100/$H100),1)*$H100),"")</f>
        <v/>
      </c>
      <c r="W100" s="42">
        <f>IFERROR(IF(V100=0,"",ROUNDUP(V100/H100,0)*0.02175),"")</f>
        <v/>
      </c>
      <c r="X100" s="69" t="inlineStr"/>
      <c r="Y100" s="70" t="inlineStr"/>
      <c r="AC100" s="71" t="n"/>
      <c r="AZ100" s="120" t="inlineStr">
        <is>
          <t>КИ</t>
        </is>
      </c>
    </row>
    <row r="101" ht="16.5" customHeight="1">
      <c r="A101" s="64" t="inlineStr">
        <is>
          <t>SU001351</t>
        </is>
      </c>
      <c r="B101" s="64" t="inlineStr">
        <is>
          <t>P003025</t>
        </is>
      </c>
      <c r="C101" s="37" t="n">
        <v>4301051311</v>
      </c>
      <c r="D101" s="315" t="n">
        <v>4607091385304</v>
      </c>
      <c r="E101" s="636" t="n"/>
      <c r="F101" s="668" t="n">
        <v>1.35</v>
      </c>
      <c r="G101" s="38" t="n">
        <v>6</v>
      </c>
      <c r="H101" s="668" t="n">
        <v>8.1</v>
      </c>
      <c r="I101" s="668" t="n">
        <v>8.664</v>
      </c>
      <c r="J101" s="38" t="n">
        <v>56</v>
      </c>
      <c r="K101" s="39" t="inlineStr">
        <is>
          <t>СК2</t>
        </is>
      </c>
      <c r="L101" s="38" t="n">
        <v>40</v>
      </c>
      <c r="M101" s="724">
        <f>HYPERLINK("https://abi.ru/products/Охлажденные/Вязанка/Вязанка/Сосиски/P003025/","Сосиски Рубленые Вязанка Весовые п/а мгс Вязанка")</f>
        <v/>
      </c>
      <c r="N101" s="670" t="n"/>
      <c r="O101" s="670" t="n"/>
      <c r="P101" s="670" t="n"/>
      <c r="Q101" s="636" t="n"/>
      <c r="R101" s="40" t="inlineStr"/>
      <c r="S101" s="40" t="inlineStr"/>
      <c r="T101" s="41" t="inlineStr">
        <is>
          <t>кг</t>
        </is>
      </c>
      <c r="U101" s="671" t="n">
        <v>0</v>
      </c>
      <c r="V101" s="672">
        <f>IFERROR(IF(U101="",0,CEILING((U101/$H101),1)*$H101),"")</f>
        <v/>
      </c>
      <c r="W101" s="42">
        <f>IFERROR(IF(V101=0,"",ROUNDUP(V101/H101,0)*0.02175),"")</f>
        <v/>
      </c>
      <c r="X101" s="69" t="inlineStr"/>
      <c r="Y101" s="70" t="inlineStr"/>
      <c r="AC101" s="71" t="n"/>
      <c r="AZ101" s="121" t="inlineStr">
        <is>
          <t>КИ</t>
        </is>
      </c>
    </row>
    <row r="102" ht="16.5" customHeight="1">
      <c r="A102" s="64" t="inlineStr">
        <is>
          <t>SU001527</t>
        </is>
      </c>
      <c r="B102" s="64" t="inlineStr">
        <is>
          <t>P002217</t>
        </is>
      </c>
      <c r="C102" s="37" t="n">
        <v>4301051306</v>
      </c>
      <c r="D102" s="315" t="n">
        <v>4607091386264</v>
      </c>
      <c r="E102" s="636" t="n"/>
      <c r="F102" s="668" t="n">
        <v>0.5</v>
      </c>
      <c r="G102" s="38" t="n">
        <v>6</v>
      </c>
      <c r="H102" s="668" t="n">
        <v>3</v>
      </c>
      <c r="I102" s="668" t="n">
        <v>3.278</v>
      </c>
      <c r="J102" s="38" t="n">
        <v>156</v>
      </c>
      <c r="K102" s="39" t="inlineStr">
        <is>
          <t>СК2</t>
        </is>
      </c>
      <c r="L102" s="38" t="n">
        <v>31</v>
      </c>
      <c r="M102" s="725">
        <f>HYPERLINK("https://abi.ru/products/Охлажденные/Вязанка/Вязанка/Сосиски/P002217/","Сосиски Венские Вязанка Фикс.вес 0,5 NDX мгс Вязанка")</f>
        <v/>
      </c>
      <c r="N102" s="670" t="n"/>
      <c r="O102" s="670" t="n"/>
      <c r="P102" s="670" t="n"/>
      <c r="Q102" s="636" t="n"/>
      <c r="R102" s="40" t="inlineStr"/>
      <c r="S102" s="40" t="inlineStr"/>
      <c r="T102" s="41" t="inlineStr">
        <is>
          <t>кг</t>
        </is>
      </c>
      <c r="U102" s="671" t="n">
        <v>0</v>
      </c>
      <c r="V102" s="672">
        <f>IFERROR(IF(U102="",0,CEILING((U102/$H102),1)*$H102),"")</f>
        <v/>
      </c>
      <c r="W102" s="42">
        <f>IFERROR(IF(V102=0,"",ROUNDUP(V102/H102,0)*0.00753),"")</f>
        <v/>
      </c>
      <c r="X102" s="69" t="inlineStr"/>
      <c r="Y102" s="70" t="inlineStr"/>
      <c r="AC102" s="71" t="n"/>
      <c r="AZ102" s="122" t="inlineStr">
        <is>
          <t>КИ</t>
        </is>
      </c>
    </row>
    <row r="103" ht="27" customHeight="1">
      <c r="A103" s="64" t="inlineStr">
        <is>
          <t>SU001718</t>
        </is>
      </c>
      <c r="B103" s="64" t="inlineStr">
        <is>
          <t>P003327</t>
        </is>
      </c>
      <c r="C103" s="37" t="n">
        <v>4301051436</v>
      </c>
      <c r="D103" s="315" t="n">
        <v>4607091385731</v>
      </c>
      <c r="E103" s="636" t="n"/>
      <c r="F103" s="668" t="n">
        <v>0.45</v>
      </c>
      <c r="G103" s="38" t="n">
        <v>6</v>
      </c>
      <c r="H103" s="668" t="n">
        <v>2.7</v>
      </c>
      <c r="I103" s="668" t="n">
        <v>2.972</v>
      </c>
      <c r="J103" s="38" t="n">
        <v>156</v>
      </c>
      <c r="K103" s="39" t="inlineStr">
        <is>
          <t>СК3</t>
        </is>
      </c>
      <c r="L103" s="38" t="n">
        <v>45</v>
      </c>
      <c r="M103" s="726" t="inlineStr">
        <is>
          <t>Сосиски Молокуши (Вязанка Молочные) Вязанка Фикс.вес 0,45 П/а мгс Вязанка</t>
        </is>
      </c>
      <c r="N103" s="670" t="n"/>
      <c r="O103" s="670" t="n"/>
      <c r="P103" s="670" t="n"/>
      <c r="Q103" s="636" t="n"/>
      <c r="R103" s="40" t="inlineStr"/>
      <c r="S103" s="40" t="inlineStr"/>
      <c r="T103" s="41" t="inlineStr">
        <is>
          <t>кг</t>
        </is>
      </c>
      <c r="U103" s="671" t="n">
        <v>0</v>
      </c>
      <c r="V103" s="672">
        <f>IFERROR(IF(U103="",0,CEILING((U103/$H103),1)*$H103),"")</f>
        <v/>
      </c>
      <c r="W103" s="42">
        <f>IFERROR(IF(V103=0,"",ROUNDUP(V103/H103,0)*0.00753),"")</f>
        <v/>
      </c>
      <c r="X103" s="69" t="inlineStr"/>
      <c r="Y103" s="70" t="inlineStr"/>
      <c r="AC103" s="71" t="n"/>
      <c r="AZ103" s="123" t="inlineStr">
        <is>
          <t>КИ</t>
        </is>
      </c>
    </row>
    <row r="104" ht="27" customHeight="1">
      <c r="A104" s="64" t="inlineStr">
        <is>
          <t>SU002658</t>
        </is>
      </c>
      <c r="B104" s="64" t="inlineStr">
        <is>
          <t>P003326</t>
        </is>
      </c>
      <c r="C104" s="37" t="n">
        <v>4301051439</v>
      </c>
      <c r="D104" s="315" t="n">
        <v>4680115880214</v>
      </c>
      <c r="E104" s="636" t="n"/>
      <c r="F104" s="668" t="n">
        <v>0.45</v>
      </c>
      <c r="G104" s="38" t="n">
        <v>6</v>
      </c>
      <c r="H104" s="668" t="n">
        <v>2.7</v>
      </c>
      <c r="I104" s="668" t="n">
        <v>2.988</v>
      </c>
      <c r="J104" s="38" t="n">
        <v>120</v>
      </c>
      <c r="K104" s="39" t="inlineStr">
        <is>
          <t>СК3</t>
        </is>
      </c>
      <c r="L104" s="38" t="n">
        <v>45</v>
      </c>
      <c r="M104" s="727" t="inlineStr">
        <is>
          <t>Сосиски Молокуши миникушай Вязанка Ф/в 0,45 амилюкс мгс Вязанка</t>
        </is>
      </c>
      <c r="N104" s="670" t="n"/>
      <c r="O104" s="670" t="n"/>
      <c r="P104" s="670" t="n"/>
      <c r="Q104" s="636" t="n"/>
      <c r="R104" s="40" t="inlineStr"/>
      <c r="S104" s="40" t="inlineStr"/>
      <c r="T104" s="41" t="inlineStr">
        <is>
          <t>кг</t>
        </is>
      </c>
      <c r="U104" s="671" t="n">
        <v>0</v>
      </c>
      <c r="V104" s="672">
        <f>IFERROR(IF(U104="",0,CEILING((U104/$H104),1)*$H104),"")</f>
        <v/>
      </c>
      <c r="W104" s="42">
        <f>IFERROR(IF(V104=0,"",ROUNDUP(V104/H104,0)*0.00937),"")</f>
        <v/>
      </c>
      <c r="X104" s="69" t="inlineStr"/>
      <c r="Y104" s="70" t="inlineStr"/>
      <c r="AC104" s="71" t="n"/>
      <c r="AZ104" s="124" t="inlineStr">
        <is>
          <t>КИ</t>
        </is>
      </c>
    </row>
    <row r="105" ht="27" customHeight="1">
      <c r="A105" s="64" t="inlineStr">
        <is>
          <t>SU002769</t>
        </is>
      </c>
      <c r="B105" s="64" t="inlineStr">
        <is>
          <t>P003324</t>
        </is>
      </c>
      <c r="C105" s="37" t="n">
        <v>4301051438</v>
      </c>
      <c r="D105" s="315" t="n">
        <v>4680115880894</v>
      </c>
      <c r="E105" s="636" t="n"/>
      <c r="F105" s="668" t="n">
        <v>0.33</v>
      </c>
      <c r="G105" s="38" t="n">
        <v>6</v>
      </c>
      <c r="H105" s="668" t="n">
        <v>1.98</v>
      </c>
      <c r="I105" s="668" t="n">
        <v>2.258</v>
      </c>
      <c r="J105" s="38" t="n">
        <v>156</v>
      </c>
      <c r="K105" s="39" t="inlineStr">
        <is>
          <t>СК3</t>
        </is>
      </c>
      <c r="L105" s="38" t="n">
        <v>45</v>
      </c>
      <c r="M105" s="728" t="inlineStr">
        <is>
          <t>Сосиски Молокуши Миникушай Вязанка фикс.вес 0,33 п/а Вязанка</t>
        </is>
      </c>
      <c r="N105" s="670" t="n"/>
      <c r="O105" s="670" t="n"/>
      <c r="P105" s="670" t="n"/>
      <c r="Q105" s="636" t="n"/>
      <c r="R105" s="40" t="inlineStr"/>
      <c r="S105" s="40" t="inlineStr"/>
      <c r="T105" s="41" t="inlineStr">
        <is>
          <t>кг</t>
        </is>
      </c>
      <c r="U105" s="671" t="n">
        <v>0</v>
      </c>
      <c r="V105" s="672">
        <f>IFERROR(IF(U105="",0,CEILING((U105/$H105),1)*$H105),"")</f>
        <v/>
      </c>
      <c r="W105" s="42">
        <f>IFERROR(IF(V105=0,"",ROUNDUP(V105/H105,0)*0.00753),"")</f>
        <v/>
      </c>
      <c r="X105" s="69" t="inlineStr"/>
      <c r="Y105" s="70" t="inlineStr"/>
      <c r="AC105" s="71" t="n"/>
      <c r="AZ105" s="125" t="inlineStr">
        <is>
          <t>КИ</t>
        </is>
      </c>
    </row>
    <row r="106" ht="27" customHeight="1">
      <c r="A106" s="64" t="inlineStr">
        <is>
          <t>SU001354</t>
        </is>
      </c>
      <c r="B106" s="64" t="inlineStr">
        <is>
          <t>P003030</t>
        </is>
      </c>
      <c r="C106" s="37" t="n">
        <v>4301051313</v>
      </c>
      <c r="D106" s="315" t="n">
        <v>4607091385427</v>
      </c>
      <c r="E106" s="636" t="n"/>
      <c r="F106" s="668" t="n">
        <v>0.5</v>
      </c>
      <c r="G106" s="38" t="n">
        <v>6</v>
      </c>
      <c r="H106" s="668" t="n">
        <v>3</v>
      </c>
      <c r="I106" s="668" t="n">
        <v>3.272</v>
      </c>
      <c r="J106" s="38" t="n">
        <v>156</v>
      </c>
      <c r="K106" s="39" t="inlineStr">
        <is>
          <t>СК2</t>
        </is>
      </c>
      <c r="L106" s="38" t="n">
        <v>40</v>
      </c>
      <c r="M106" s="729">
        <f>HYPERLINK("https://abi.ru/products/Охлажденные/Вязанка/Вязанка/Сосиски/P003030/","Сосиски Рубленые Вязанка Фикс.вес 0,5 п/а мгс Вязанка")</f>
        <v/>
      </c>
      <c r="N106" s="670" t="n"/>
      <c r="O106" s="670" t="n"/>
      <c r="P106" s="670" t="n"/>
      <c r="Q106" s="636" t="n"/>
      <c r="R106" s="40" t="inlineStr"/>
      <c r="S106" s="40" t="inlineStr"/>
      <c r="T106" s="41" t="inlineStr">
        <is>
          <t>кг</t>
        </is>
      </c>
      <c r="U106" s="671" t="n">
        <v>0</v>
      </c>
      <c r="V106" s="672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71" t="n"/>
      <c r="AZ106" s="126" t="inlineStr">
        <is>
          <t>КИ</t>
        </is>
      </c>
    </row>
    <row r="107">
      <c r="A107" s="323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673" t="n"/>
      <c r="M107" s="674" t="inlineStr">
        <is>
          <t>Итого</t>
        </is>
      </c>
      <c r="N107" s="644" t="n"/>
      <c r="O107" s="644" t="n"/>
      <c r="P107" s="644" t="n"/>
      <c r="Q107" s="644" t="n"/>
      <c r="R107" s="644" t="n"/>
      <c r="S107" s="645" t="n"/>
      <c r="T107" s="43" t="inlineStr">
        <is>
          <t>кор</t>
        </is>
      </c>
      <c r="U107" s="675">
        <f>IFERROR(U100/H100,"0")+IFERROR(U101/H101,"0")+IFERROR(U102/H102,"0")+IFERROR(U103/H103,"0")+IFERROR(U104/H104,"0")+IFERROR(U105/H105,"0")+IFERROR(U106/H106,"0")</f>
        <v/>
      </c>
      <c r="V107" s="675">
        <f>IFERROR(V100/H100,"0")+IFERROR(V101/H101,"0")+IFERROR(V102/H102,"0")+IFERROR(V103/H103,"0")+IFERROR(V104/H104,"0")+IFERROR(V105/H105,"0")+IFERROR(V106/H106,"0")</f>
        <v/>
      </c>
      <c r="W107" s="675">
        <f>IFERROR(IF(W100="",0,W100),"0")+IFERROR(IF(W101="",0,W101),"0")+IFERROR(IF(W102="",0,W102),"0")+IFERROR(IF(W103="",0,W103),"0")+IFERROR(IF(W104="",0,W104),"0")+IFERROR(IF(W105="",0,W105),"0")+IFERROR(IF(W106="",0,W106),"0")</f>
        <v/>
      </c>
      <c r="X107" s="676" t="n"/>
      <c r="Y107" s="676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673" t="n"/>
      <c r="M108" s="674" t="inlineStr">
        <is>
          <t>Итого</t>
        </is>
      </c>
      <c r="N108" s="644" t="n"/>
      <c r="O108" s="644" t="n"/>
      <c r="P108" s="644" t="n"/>
      <c r="Q108" s="644" t="n"/>
      <c r="R108" s="644" t="n"/>
      <c r="S108" s="645" t="n"/>
      <c r="T108" s="43" t="inlineStr">
        <is>
          <t>кг</t>
        </is>
      </c>
      <c r="U108" s="675">
        <f>IFERROR(SUM(U100:U106),"0")</f>
        <v/>
      </c>
      <c r="V108" s="675">
        <f>IFERROR(SUM(V100:V106),"0")</f>
        <v/>
      </c>
      <c r="W108" s="43" t="n"/>
      <c r="X108" s="676" t="n"/>
      <c r="Y108" s="676" t="n"/>
    </row>
    <row r="109" ht="14.25" customHeight="1">
      <c r="A109" s="331" t="inlineStr">
        <is>
          <t>Сардельки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331" t="n"/>
      <c r="Y109" s="331" t="n"/>
    </row>
    <row r="110" ht="27" customHeight="1">
      <c r="A110" s="64" t="inlineStr">
        <is>
          <t>SU002071</t>
        </is>
      </c>
      <c r="B110" s="64" t="inlineStr">
        <is>
          <t>P002233</t>
        </is>
      </c>
      <c r="C110" s="37" t="n">
        <v>4301060296</v>
      </c>
      <c r="D110" s="315" t="n">
        <v>4607091383065</v>
      </c>
      <c r="E110" s="636" t="n"/>
      <c r="F110" s="668" t="n">
        <v>0.83</v>
      </c>
      <c r="G110" s="38" t="n">
        <v>4</v>
      </c>
      <c r="H110" s="668" t="n">
        <v>3.32</v>
      </c>
      <c r="I110" s="668" t="n">
        <v>3.582</v>
      </c>
      <c r="J110" s="38" t="n">
        <v>120</v>
      </c>
      <c r="K110" s="39" t="inlineStr">
        <is>
          <t>СК2</t>
        </is>
      </c>
      <c r="L110" s="38" t="n">
        <v>30</v>
      </c>
      <c r="M110" s="730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0" s="670" t="n"/>
      <c r="O110" s="670" t="n"/>
      <c r="P110" s="670" t="n"/>
      <c r="Q110" s="636" t="n"/>
      <c r="R110" s="40" t="inlineStr"/>
      <c r="S110" s="40" t="inlineStr"/>
      <c r="T110" s="41" t="inlineStr">
        <is>
          <t>кг</t>
        </is>
      </c>
      <c r="U110" s="671" t="n">
        <v>0</v>
      </c>
      <c r="V110" s="672">
        <f>IFERROR(IF(U110="",0,CEILING((U110/$H110),1)*$H110),"")</f>
        <v/>
      </c>
      <c r="W110" s="42">
        <f>IFERROR(IF(V110=0,"",ROUNDUP(V110/H110,0)*0.00937),"")</f>
        <v/>
      </c>
      <c r="X110" s="69" t="inlineStr"/>
      <c r="Y110" s="70" t="inlineStr"/>
      <c r="AC110" s="71" t="n"/>
      <c r="AZ110" s="127" t="inlineStr">
        <is>
          <t>КИ</t>
        </is>
      </c>
    </row>
    <row r="111" ht="27" customHeight="1">
      <c r="A111" s="64" t="inlineStr">
        <is>
          <t>SU002835</t>
        </is>
      </c>
      <c r="B111" s="64" t="inlineStr">
        <is>
          <t>P003237</t>
        </is>
      </c>
      <c r="C111" s="37" t="n">
        <v>4301060350</v>
      </c>
      <c r="D111" s="315" t="n">
        <v>4680115881532</v>
      </c>
      <c r="E111" s="636" t="n"/>
      <c r="F111" s="668" t="n">
        <v>1.35</v>
      </c>
      <c r="G111" s="38" t="n">
        <v>6</v>
      </c>
      <c r="H111" s="668" t="n">
        <v>8.1</v>
      </c>
      <c r="I111" s="668" t="n">
        <v>8.58</v>
      </c>
      <c r="J111" s="38" t="n">
        <v>56</v>
      </c>
      <c r="K111" s="39" t="inlineStr">
        <is>
          <t>СК3</t>
        </is>
      </c>
      <c r="L111" s="38" t="n">
        <v>30</v>
      </c>
      <c r="M111" s="731">
        <f>HYPERLINK("https://abi.ru/products/Охлажденные/Вязанка/Вязанка/Сардельки/P003237/","Сардельки «Филейские» Весовые NDX мгс ТМ «Вязанка»")</f>
        <v/>
      </c>
      <c r="N111" s="670" t="n"/>
      <c r="O111" s="670" t="n"/>
      <c r="P111" s="670" t="n"/>
      <c r="Q111" s="636" t="n"/>
      <c r="R111" s="40" t="inlineStr"/>
      <c r="S111" s="40" t="inlineStr"/>
      <c r="T111" s="41" t="inlineStr">
        <is>
          <t>кг</t>
        </is>
      </c>
      <c r="U111" s="671" t="n">
        <v>0</v>
      </c>
      <c r="V111" s="672">
        <f>IFERROR(IF(U111="",0,CEILING((U111/$H111),1)*$H111),"")</f>
        <v/>
      </c>
      <c r="W111" s="42">
        <f>IFERROR(IF(V111=0,"",ROUNDUP(V111/H111,0)*0.02175),"")</f>
        <v/>
      </c>
      <c r="X111" s="69" t="inlineStr"/>
      <c r="Y111" s="70" t="inlineStr"/>
      <c r="AC111" s="71" t="n"/>
      <c r="AZ111" s="128" t="inlineStr">
        <is>
          <t>КИ</t>
        </is>
      </c>
    </row>
    <row r="112" ht="16.5" customHeight="1">
      <c r="A112" s="64" t="inlineStr">
        <is>
          <t>SU002367</t>
        </is>
      </c>
      <c r="B112" s="64" t="inlineStr">
        <is>
          <t>P002644</t>
        </is>
      </c>
      <c r="C112" s="37" t="n">
        <v>4301060309</v>
      </c>
      <c r="D112" s="315" t="n">
        <v>4680115880238</v>
      </c>
      <c r="E112" s="636" t="n"/>
      <c r="F112" s="668" t="n">
        <v>0.33</v>
      </c>
      <c r="G112" s="38" t="n">
        <v>6</v>
      </c>
      <c r="H112" s="668" t="n">
        <v>1.98</v>
      </c>
      <c r="I112" s="668" t="n">
        <v>2.258</v>
      </c>
      <c r="J112" s="38" t="n">
        <v>156</v>
      </c>
      <c r="K112" s="39" t="inlineStr">
        <is>
          <t>СК2</t>
        </is>
      </c>
      <c r="L112" s="38" t="n">
        <v>40</v>
      </c>
      <c r="M112" s="732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2" s="670" t="n"/>
      <c r="O112" s="670" t="n"/>
      <c r="P112" s="670" t="n"/>
      <c r="Q112" s="636" t="n"/>
      <c r="R112" s="40" t="inlineStr"/>
      <c r="S112" s="40" t="inlineStr"/>
      <c r="T112" s="41" t="inlineStr">
        <is>
          <t>кг</t>
        </is>
      </c>
      <c r="U112" s="671" t="n">
        <v>0</v>
      </c>
      <c r="V112" s="672">
        <f>IFERROR(IF(U112="",0,CEILING((U112/$H112),1)*$H112),"")</f>
        <v/>
      </c>
      <c r="W112" s="42">
        <f>IFERROR(IF(V112=0,"",ROUNDUP(V112/H112,0)*0.00753),"")</f>
        <v/>
      </c>
      <c r="X112" s="69" t="inlineStr"/>
      <c r="Y112" s="70" t="inlineStr"/>
      <c r="AC112" s="71" t="n"/>
      <c r="AZ112" s="129" t="inlineStr">
        <is>
          <t>КИ</t>
        </is>
      </c>
    </row>
    <row r="113" ht="27" customHeight="1">
      <c r="A113" s="64" t="inlineStr">
        <is>
          <t>SU002834</t>
        </is>
      </c>
      <c r="B113" s="64" t="inlineStr">
        <is>
          <t>P003238</t>
        </is>
      </c>
      <c r="C113" s="37" t="n">
        <v>4301060351</v>
      </c>
      <c r="D113" s="315" t="n">
        <v>4680115881464</v>
      </c>
      <c r="E113" s="636" t="n"/>
      <c r="F113" s="668" t="n">
        <v>0.4</v>
      </c>
      <c r="G113" s="38" t="n">
        <v>6</v>
      </c>
      <c r="H113" s="668" t="n">
        <v>2.4</v>
      </c>
      <c r="I113" s="668" t="n">
        <v>2.6</v>
      </c>
      <c r="J113" s="38" t="n">
        <v>156</v>
      </c>
      <c r="K113" s="39" t="inlineStr">
        <is>
          <t>СК3</t>
        </is>
      </c>
      <c r="L113" s="38" t="n">
        <v>30</v>
      </c>
      <c r="M113" s="733" t="inlineStr">
        <is>
          <t>Сардельки «Филейские» Фикс.вес 0,4 NDX мгс ТМ «Вязанка»</t>
        </is>
      </c>
      <c r="N113" s="670" t="n"/>
      <c r="O113" s="670" t="n"/>
      <c r="P113" s="670" t="n"/>
      <c r="Q113" s="636" t="n"/>
      <c r="R113" s="40" t="inlineStr"/>
      <c r="S113" s="40" t="inlineStr"/>
      <c r="T113" s="41" t="inlineStr">
        <is>
          <t>кг</t>
        </is>
      </c>
      <c r="U113" s="671" t="n">
        <v>0</v>
      </c>
      <c r="V113" s="672">
        <f>IFERROR(IF(U113="",0,CEILING((U113/$H113),1)*$H113),"")</f>
        <v/>
      </c>
      <c r="W113" s="42">
        <f>IFERROR(IF(V113=0,"",ROUNDUP(V113/H113,0)*0.00753),"")</f>
        <v/>
      </c>
      <c r="X113" s="69" t="inlineStr"/>
      <c r="Y113" s="70" t="inlineStr"/>
      <c r="AC113" s="71" t="n"/>
      <c r="AZ113" s="130" t="inlineStr">
        <is>
          <t>КИ</t>
        </is>
      </c>
    </row>
    <row r="114">
      <c r="A114" s="323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673" t="n"/>
      <c r="M114" s="674" t="inlineStr">
        <is>
          <t>Итого</t>
        </is>
      </c>
      <c r="N114" s="644" t="n"/>
      <c r="O114" s="644" t="n"/>
      <c r="P114" s="644" t="n"/>
      <c r="Q114" s="644" t="n"/>
      <c r="R114" s="644" t="n"/>
      <c r="S114" s="645" t="n"/>
      <c r="T114" s="43" t="inlineStr">
        <is>
          <t>кор</t>
        </is>
      </c>
      <c r="U114" s="675">
        <f>IFERROR(U110/H110,"0")+IFERROR(U111/H111,"0")+IFERROR(U112/H112,"0")+IFERROR(U113/H113,"0")</f>
        <v/>
      </c>
      <c r="V114" s="675">
        <f>IFERROR(V110/H110,"0")+IFERROR(V111/H111,"0")+IFERROR(V112/H112,"0")+IFERROR(V113/H113,"0")</f>
        <v/>
      </c>
      <c r="W114" s="675">
        <f>IFERROR(IF(W110="",0,W110),"0")+IFERROR(IF(W111="",0,W111),"0")+IFERROR(IF(W112="",0,W112),"0")+IFERROR(IF(W113="",0,W113),"0")</f>
        <v/>
      </c>
      <c r="X114" s="676" t="n"/>
      <c r="Y114" s="676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673" t="n"/>
      <c r="M115" s="674" t="inlineStr">
        <is>
          <t>Итого</t>
        </is>
      </c>
      <c r="N115" s="644" t="n"/>
      <c r="O115" s="644" t="n"/>
      <c r="P115" s="644" t="n"/>
      <c r="Q115" s="644" t="n"/>
      <c r="R115" s="644" t="n"/>
      <c r="S115" s="645" t="n"/>
      <c r="T115" s="43" t="inlineStr">
        <is>
          <t>кг</t>
        </is>
      </c>
      <c r="U115" s="675">
        <f>IFERROR(SUM(U110:U113),"0")</f>
        <v/>
      </c>
      <c r="V115" s="675">
        <f>IFERROR(SUM(V110:V113),"0")</f>
        <v/>
      </c>
      <c r="W115" s="43" t="n"/>
      <c r="X115" s="676" t="n"/>
      <c r="Y115" s="676" t="n"/>
    </row>
    <row r="116" ht="16.5" customHeight="1">
      <c r="A116" s="330" t="inlineStr">
        <is>
          <t>Сливушки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330" t="n"/>
      <c r="Y116" s="330" t="n"/>
    </row>
    <row r="117" ht="14.25" customHeight="1">
      <c r="A117" s="331" t="inlineStr">
        <is>
          <t>Сосиски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331" t="n"/>
      <c r="Y117" s="331" t="n"/>
    </row>
    <row r="118" ht="27" customHeight="1">
      <c r="A118" s="64" t="inlineStr">
        <is>
          <t>SU001721</t>
        </is>
      </c>
      <c r="B118" s="64" t="inlineStr">
        <is>
          <t>P003161</t>
        </is>
      </c>
      <c r="C118" s="37" t="n">
        <v>4301051360</v>
      </c>
      <c r="D118" s="315" t="n">
        <v>4607091385168</v>
      </c>
      <c r="E118" s="636" t="n"/>
      <c r="F118" s="668" t="n">
        <v>1.35</v>
      </c>
      <c r="G118" s="38" t="n">
        <v>6</v>
      </c>
      <c r="H118" s="668" t="n">
        <v>8.1</v>
      </c>
      <c r="I118" s="668" t="n">
        <v>8.657999999999999</v>
      </c>
      <c r="J118" s="38" t="n">
        <v>56</v>
      </c>
      <c r="K118" s="39" t="inlineStr">
        <is>
          <t>СК3</t>
        </is>
      </c>
      <c r="L118" s="38" t="n">
        <v>45</v>
      </c>
      <c r="M118" s="73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18" s="670" t="n"/>
      <c r="O118" s="670" t="n"/>
      <c r="P118" s="670" t="n"/>
      <c r="Q118" s="636" t="n"/>
      <c r="R118" s="40" t="inlineStr"/>
      <c r="S118" s="40" t="inlineStr"/>
      <c r="T118" s="41" t="inlineStr">
        <is>
          <t>кг</t>
        </is>
      </c>
      <c r="U118" s="671" t="n">
        <v>0</v>
      </c>
      <c r="V118" s="672">
        <f>IFERROR(IF(U118="",0,CEILING((U118/$H118),1)*$H118),"")</f>
        <v/>
      </c>
      <c r="W118" s="42">
        <f>IFERROR(IF(V118=0,"",ROUNDUP(V118/H118,0)*0.02175),"")</f>
        <v/>
      </c>
      <c r="X118" s="69" t="inlineStr"/>
      <c r="Y118" s="70" t="inlineStr"/>
      <c r="AC118" s="71" t="n"/>
      <c r="AZ118" s="131" t="inlineStr">
        <is>
          <t>КИ</t>
        </is>
      </c>
    </row>
    <row r="119" ht="16.5" customHeight="1">
      <c r="A119" s="64" t="inlineStr">
        <is>
          <t>SU002139</t>
        </is>
      </c>
      <c r="B119" s="64" t="inlineStr">
        <is>
          <t>P003162</t>
        </is>
      </c>
      <c r="C119" s="37" t="n">
        <v>4301051362</v>
      </c>
      <c r="D119" s="315" t="n">
        <v>4607091383256</v>
      </c>
      <c r="E119" s="636" t="n"/>
      <c r="F119" s="668" t="n">
        <v>0.33</v>
      </c>
      <c r="G119" s="38" t="n">
        <v>6</v>
      </c>
      <c r="H119" s="668" t="n">
        <v>1.98</v>
      </c>
      <c r="I119" s="668" t="n">
        <v>2.246</v>
      </c>
      <c r="J119" s="38" t="n">
        <v>156</v>
      </c>
      <c r="K119" s="39" t="inlineStr">
        <is>
          <t>СК3</t>
        </is>
      </c>
      <c r="L119" s="38" t="n">
        <v>45</v>
      </c>
      <c r="M119" s="735">
        <f>HYPERLINK("https://abi.ru/products/Охлажденные/Вязанка/Сливушки/Сосиски/P003162/","Сосиски Сливочные Сливушки Фикс.вес 0,33 П/а мгс Вязанка")</f>
        <v/>
      </c>
      <c r="N119" s="670" t="n"/>
      <c r="O119" s="670" t="n"/>
      <c r="P119" s="670" t="n"/>
      <c r="Q119" s="636" t="n"/>
      <c r="R119" s="40" t="inlineStr"/>
      <c r="S119" s="40" t="inlineStr"/>
      <c r="T119" s="41" t="inlineStr">
        <is>
          <t>кг</t>
        </is>
      </c>
      <c r="U119" s="671" t="n">
        <v>0</v>
      </c>
      <c r="V119" s="672">
        <f>IFERROR(IF(U119="",0,CEILING((U119/$H119),1)*$H119),"")</f>
        <v/>
      </c>
      <c r="W119" s="42">
        <f>IFERROR(IF(V119=0,"",ROUNDUP(V119/H119,0)*0.00753),"")</f>
        <v/>
      </c>
      <c r="X119" s="69" t="inlineStr"/>
      <c r="Y119" s="70" t="inlineStr"/>
      <c r="AC119" s="71" t="n"/>
      <c r="AZ119" s="132" t="inlineStr">
        <is>
          <t>КИ</t>
        </is>
      </c>
    </row>
    <row r="120" ht="16.5" customHeight="1">
      <c r="A120" s="64" t="inlineStr">
        <is>
          <t>SU001720</t>
        </is>
      </c>
      <c r="B120" s="64" t="inlineStr">
        <is>
          <t>P003160</t>
        </is>
      </c>
      <c r="C120" s="37" t="n">
        <v>4301051358</v>
      </c>
      <c r="D120" s="315" t="n">
        <v>4607091385748</v>
      </c>
      <c r="E120" s="636" t="n"/>
      <c r="F120" s="668" t="n">
        <v>0.45</v>
      </c>
      <c r="G120" s="38" t="n">
        <v>6</v>
      </c>
      <c r="H120" s="668" t="n">
        <v>2.7</v>
      </c>
      <c r="I120" s="668" t="n">
        <v>2.972</v>
      </c>
      <c r="J120" s="38" t="n">
        <v>156</v>
      </c>
      <c r="K120" s="39" t="inlineStr">
        <is>
          <t>СК3</t>
        </is>
      </c>
      <c r="L120" s="38" t="n">
        <v>45</v>
      </c>
      <c r="M120" s="736">
        <f>HYPERLINK("https://abi.ru/products/Охлажденные/Вязанка/Сливушки/Сосиски/P003160/","Сосиски Сливочные Сливушки Фикс.вес 0,45 П/а мгс Вязанка")</f>
        <v/>
      </c>
      <c r="N120" s="670" t="n"/>
      <c r="O120" s="670" t="n"/>
      <c r="P120" s="670" t="n"/>
      <c r="Q120" s="636" t="n"/>
      <c r="R120" s="40" t="inlineStr"/>
      <c r="S120" s="40" t="inlineStr"/>
      <c r="T120" s="41" t="inlineStr">
        <is>
          <t>кг</t>
        </is>
      </c>
      <c r="U120" s="671" t="n">
        <v>0</v>
      </c>
      <c r="V120" s="672">
        <f>IFERROR(IF(U120="",0,CEILING((U120/$H120),1)*$H120),"")</f>
        <v/>
      </c>
      <c r="W120" s="42">
        <f>IFERROR(IF(V120=0,"",ROUNDUP(V120/H120,0)*0.00753),"")</f>
        <v/>
      </c>
      <c r="X120" s="69" t="inlineStr"/>
      <c r="Y120" s="70" t="inlineStr"/>
      <c r="AC120" s="71" t="n"/>
      <c r="AZ120" s="133" t="inlineStr">
        <is>
          <t>КИ</t>
        </is>
      </c>
    </row>
    <row r="121" ht="16.5" customHeight="1">
      <c r="A121" s="64" t="inlineStr">
        <is>
          <t>SU002438</t>
        </is>
      </c>
      <c r="B121" s="64" t="inlineStr">
        <is>
          <t>P003163</t>
        </is>
      </c>
      <c r="C121" s="37" t="n">
        <v>4301051364</v>
      </c>
      <c r="D121" s="315" t="n">
        <v>4607091384581</v>
      </c>
      <c r="E121" s="636" t="n"/>
      <c r="F121" s="668" t="n">
        <v>0.67</v>
      </c>
      <c r="G121" s="38" t="n">
        <v>4</v>
      </c>
      <c r="H121" s="668" t="n">
        <v>2.68</v>
      </c>
      <c r="I121" s="668" t="n">
        <v>2.942</v>
      </c>
      <c r="J121" s="38" t="n">
        <v>120</v>
      </c>
      <c r="K121" s="39" t="inlineStr">
        <is>
          <t>СК3</t>
        </is>
      </c>
      <c r="L121" s="38" t="n">
        <v>45</v>
      </c>
      <c r="M121" s="737">
        <f>HYPERLINK("https://abi.ru/products/Охлажденные/Вязанка/Сливушки/Сосиски/P003163/","Сосиски Сливочные Сливушки Фикс.вес 0,67 П/а мгс Вязанка")</f>
        <v/>
      </c>
      <c r="N121" s="670" t="n"/>
      <c r="O121" s="670" t="n"/>
      <c r="P121" s="670" t="n"/>
      <c r="Q121" s="636" t="n"/>
      <c r="R121" s="40" t="inlineStr"/>
      <c r="S121" s="40" t="inlineStr"/>
      <c r="T121" s="41" t="inlineStr">
        <is>
          <t>кг</t>
        </is>
      </c>
      <c r="U121" s="671" t="n">
        <v>0</v>
      </c>
      <c r="V121" s="672">
        <f>IFERROR(IF(U121="",0,CEILING((U121/$H121),1)*$H121),"")</f>
        <v/>
      </c>
      <c r="W121" s="42">
        <f>IFERROR(IF(V121=0,"",ROUNDUP(V121/H121,0)*0.00937),"")</f>
        <v/>
      </c>
      <c r="X121" s="69" t="inlineStr"/>
      <c r="Y121" s="70" t="inlineStr"/>
      <c r="AC121" s="71" t="n"/>
      <c r="AZ121" s="134" t="inlineStr">
        <is>
          <t>КИ</t>
        </is>
      </c>
    </row>
    <row r="122">
      <c r="A122" s="323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673" t="n"/>
      <c r="M122" s="674" t="inlineStr">
        <is>
          <t>Итого</t>
        </is>
      </c>
      <c r="N122" s="644" t="n"/>
      <c r="O122" s="644" t="n"/>
      <c r="P122" s="644" t="n"/>
      <c r="Q122" s="644" t="n"/>
      <c r="R122" s="644" t="n"/>
      <c r="S122" s="645" t="n"/>
      <c r="T122" s="43" t="inlineStr">
        <is>
          <t>кор</t>
        </is>
      </c>
      <c r="U122" s="675">
        <f>IFERROR(U118/H118,"0")+IFERROR(U119/H119,"0")+IFERROR(U120/H120,"0")+IFERROR(U121/H121,"0")</f>
        <v/>
      </c>
      <c r="V122" s="675">
        <f>IFERROR(V118/H118,"0")+IFERROR(V119/H119,"0")+IFERROR(V120/H120,"0")+IFERROR(V121/H121,"0")</f>
        <v/>
      </c>
      <c r="W122" s="675">
        <f>IFERROR(IF(W118="",0,W118),"0")+IFERROR(IF(W119="",0,W119),"0")+IFERROR(IF(W120="",0,W120),"0")+IFERROR(IF(W121="",0,W121),"0")</f>
        <v/>
      </c>
      <c r="X122" s="676" t="n"/>
      <c r="Y122" s="676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673" t="n"/>
      <c r="M123" s="674" t="inlineStr">
        <is>
          <t>Итого</t>
        </is>
      </c>
      <c r="N123" s="644" t="n"/>
      <c r="O123" s="644" t="n"/>
      <c r="P123" s="644" t="n"/>
      <c r="Q123" s="644" t="n"/>
      <c r="R123" s="644" t="n"/>
      <c r="S123" s="645" t="n"/>
      <c r="T123" s="43" t="inlineStr">
        <is>
          <t>кг</t>
        </is>
      </c>
      <c r="U123" s="675">
        <f>IFERROR(SUM(U118:U121),"0")</f>
        <v/>
      </c>
      <c r="V123" s="675">
        <f>IFERROR(SUM(V118:V121),"0")</f>
        <v/>
      </c>
      <c r="W123" s="43" t="n"/>
      <c r="X123" s="676" t="n"/>
      <c r="Y123" s="676" t="n"/>
    </row>
    <row r="124" ht="27.75" customHeight="1">
      <c r="A124" s="336" t="inlineStr">
        <is>
          <t>Стародворье</t>
        </is>
      </c>
      <c r="B124" s="667" t="n"/>
      <c r="C124" s="667" t="n"/>
      <c r="D124" s="667" t="n"/>
      <c r="E124" s="667" t="n"/>
      <c r="F124" s="667" t="n"/>
      <c r="G124" s="667" t="n"/>
      <c r="H124" s="667" t="n"/>
      <c r="I124" s="667" t="n"/>
      <c r="J124" s="667" t="n"/>
      <c r="K124" s="667" t="n"/>
      <c r="L124" s="667" t="n"/>
      <c r="M124" s="667" t="n"/>
      <c r="N124" s="667" t="n"/>
      <c r="O124" s="667" t="n"/>
      <c r="P124" s="667" t="n"/>
      <c r="Q124" s="667" t="n"/>
      <c r="R124" s="667" t="n"/>
      <c r="S124" s="667" t="n"/>
      <c r="T124" s="667" t="n"/>
      <c r="U124" s="667" t="n"/>
      <c r="V124" s="667" t="n"/>
      <c r="W124" s="667" t="n"/>
      <c r="X124" s="55" t="n"/>
      <c r="Y124" s="55" t="n"/>
    </row>
    <row r="125" ht="16.5" customHeight="1">
      <c r="A125" s="330" t="inlineStr">
        <is>
          <t>Золоченная в печи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330" t="n"/>
      <c r="Y125" s="330" t="n"/>
    </row>
    <row r="126" ht="14.25" customHeight="1">
      <c r="A126" s="331" t="inlineStr">
        <is>
          <t>Вареные колбасы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331" t="n"/>
      <c r="Y126" s="331" t="n"/>
    </row>
    <row r="127" ht="27" customHeight="1">
      <c r="A127" s="64" t="inlineStr">
        <is>
          <t>SU002201</t>
        </is>
      </c>
      <c r="B127" s="64" t="inlineStr">
        <is>
          <t>P002567</t>
        </is>
      </c>
      <c r="C127" s="37" t="n">
        <v>4301011223</v>
      </c>
      <c r="D127" s="315" t="n">
        <v>4607091383423</v>
      </c>
      <c r="E127" s="636" t="n"/>
      <c r="F127" s="668" t="n">
        <v>1.35</v>
      </c>
      <c r="G127" s="38" t="n">
        <v>8</v>
      </c>
      <c r="H127" s="668" t="n">
        <v>10.8</v>
      </c>
      <c r="I127" s="668" t="n">
        <v>11.376</v>
      </c>
      <c r="J127" s="38" t="n">
        <v>56</v>
      </c>
      <c r="K127" s="39" t="inlineStr">
        <is>
          <t>СК3</t>
        </is>
      </c>
      <c r="L127" s="38" t="n">
        <v>35</v>
      </c>
      <c r="M127" s="73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27" s="670" t="n"/>
      <c r="O127" s="670" t="n"/>
      <c r="P127" s="670" t="n"/>
      <c r="Q127" s="636" t="n"/>
      <c r="R127" s="40" t="inlineStr"/>
      <c r="S127" s="40" t="inlineStr"/>
      <c r="T127" s="41" t="inlineStr">
        <is>
          <t>кг</t>
        </is>
      </c>
      <c r="U127" s="671" t="n">
        <v>0</v>
      </c>
      <c r="V127" s="672">
        <f>IFERROR(IF(U127="",0,CEILING((U127/$H127),1)*$H127),"")</f>
        <v/>
      </c>
      <c r="W127" s="42">
        <f>IFERROR(IF(V127=0,"",ROUNDUP(V127/H127,0)*0.02175),"")</f>
        <v/>
      </c>
      <c r="X127" s="69" t="inlineStr"/>
      <c r="Y127" s="70" t="inlineStr"/>
      <c r="AC127" s="71" t="n"/>
      <c r="AZ127" s="135" t="inlineStr">
        <is>
          <t>КИ</t>
        </is>
      </c>
    </row>
    <row r="128" ht="27" customHeight="1">
      <c r="A128" s="64" t="inlineStr">
        <is>
          <t>SU002203</t>
        </is>
      </c>
      <c r="B128" s="64" t="inlineStr">
        <is>
          <t>P002568</t>
        </is>
      </c>
      <c r="C128" s="37" t="n">
        <v>4301011338</v>
      </c>
      <c r="D128" s="315" t="n">
        <v>4607091381405</v>
      </c>
      <c r="E128" s="636" t="n"/>
      <c r="F128" s="668" t="n">
        <v>1.35</v>
      </c>
      <c r="G128" s="38" t="n">
        <v>8</v>
      </c>
      <c r="H128" s="668" t="n">
        <v>10.8</v>
      </c>
      <c r="I128" s="668" t="n">
        <v>11.376</v>
      </c>
      <c r="J128" s="38" t="n">
        <v>56</v>
      </c>
      <c r="K128" s="39" t="inlineStr">
        <is>
          <t>СК2</t>
        </is>
      </c>
      <c r="L128" s="38" t="n">
        <v>35</v>
      </c>
      <c r="M128" s="739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28" s="670" t="n"/>
      <c r="O128" s="670" t="n"/>
      <c r="P128" s="670" t="n"/>
      <c r="Q128" s="636" t="n"/>
      <c r="R128" s="40" t="inlineStr"/>
      <c r="S128" s="40" t="inlineStr"/>
      <c r="T128" s="41" t="inlineStr">
        <is>
          <t>кг</t>
        </is>
      </c>
      <c r="U128" s="671" t="n">
        <v>0</v>
      </c>
      <c r="V128" s="672">
        <f>IFERROR(IF(U128="",0,CEILING((U128/$H128),1)*$H128),"")</f>
        <v/>
      </c>
      <c r="W128" s="42">
        <f>IFERROR(IF(V128=0,"",ROUNDUP(V128/H128,0)*0.02175),"")</f>
        <v/>
      </c>
      <c r="X128" s="69" t="inlineStr"/>
      <c r="Y128" s="70" t="inlineStr"/>
      <c r="AC128" s="71" t="n"/>
      <c r="AZ128" s="136" t="inlineStr">
        <is>
          <t>КИ</t>
        </is>
      </c>
    </row>
    <row r="129" ht="27" customHeight="1">
      <c r="A129" s="64" t="inlineStr">
        <is>
          <t>SU002216</t>
        </is>
      </c>
      <c r="B129" s="64" t="inlineStr">
        <is>
          <t>P002400</t>
        </is>
      </c>
      <c r="C129" s="37" t="n">
        <v>4301011333</v>
      </c>
      <c r="D129" s="315" t="n">
        <v>4607091386516</v>
      </c>
      <c r="E129" s="636" t="n"/>
      <c r="F129" s="668" t="n">
        <v>1.4</v>
      </c>
      <c r="G129" s="38" t="n">
        <v>8</v>
      </c>
      <c r="H129" s="668" t="n">
        <v>11.2</v>
      </c>
      <c r="I129" s="668" t="n">
        <v>11.776</v>
      </c>
      <c r="J129" s="38" t="n">
        <v>56</v>
      </c>
      <c r="K129" s="39" t="inlineStr">
        <is>
          <t>СК2</t>
        </is>
      </c>
      <c r="L129" s="38" t="n">
        <v>30</v>
      </c>
      <c r="M129" s="740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29" s="670" t="n"/>
      <c r="O129" s="670" t="n"/>
      <c r="P129" s="670" t="n"/>
      <c r="Q129" s="636" t="n"/>
      <c r="R129" s="40" t="inlineStr"/>
      <c r="S129" s="40" t="inlineStr"/>
      <c r="T129" s="41" t="inlineStr">
        <is>
          <t>кг</t>
        </is>
      </c>
      <c r="U129" s="671" t="n">
        <v>0</v>
      </c>
      <c r="V129" s="672">
        <f>IFERROR(IF(U129="",0,CEILING((U129/$H129),1)*$H129),"")</f>
        <v/>
      </c>
      <c r="W129" s="42">
        <f>IFERROR(IF(V129=0,"",ROUNDUP(V129/H129,0)*0.02175),"")</f>
        <v/>
      </c>
      <c r="X129" s="69" t="inlineStr"/>
      <c r="Y129" s="70" t="inlineStr"/>
      <c r="AC129" s="71" t="n"/>
      <c r="AZ129" s="137" t="inlineStr">
        <is>
          <t>КИ</t>
        </is>
      </c>
    </row>
    <row r="130">
      <c r="A130" s="323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673" t="n"/>
      <c r="M130" s="674" t="inlineStr">
        <is>
          <t>Итого</t>
        </is>
      </c>
      <c r="N130" s="644" t="n"/>
      <c r="O130" s="644" t="n"/>
      <c r="P130" s="644" t="n"/>
      <c r="Q130" s="644" t="n"/>
      <c r="R130" s="644" t="n"/>
      <c r="S130" s="645" t="n"/>
      <c r="T130" s="43" t="inlineStr">
        <is>
          <t>кор</t>
        </is>
      </c>
      <c r="U130" s="675">
        <f>IFERROR(U127/H127,"0")+IFERROR(U128/H128,"0")+IFERROR(U129/H129,"0")</f>
        <v/>
      </c>
      <c r="V130" s="675">
        <f>IFERROR(V127/H127,"0")+IFERROR(V128/H128,"0")+IFERROR(V129/H129,"0")</f>
        <v/>
      </c>
      <c r="W130" s="675">
        <f>IFERROR(IF(W127="",0,W127),"0")+IFERROR(IF(W128="",0,W128),"0")+IFERROR(IF(W129="",0,W129),"0")</f>
        <v/>
      </c>
      <c r="X130" s="676" t="n"/>
      <c r="Y130" s="676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673" t="n"/>
      <c r="M131" s="674" t="inlineStr">
        <is>
          <t>Итого</t>
        </is>
      </c>
      <c r="N131" s="644" t="n"/>
      <c r="O131" s="644" t="n"/>
      <c r="P131" s="644" t="n"/>
      <c r="Q131" s="644" t="n"/>
      <c r="R131" s="644" t="n"/>
      <c r="S131" s="645" t="n"/>
      <c r="T131" s="43" t="inlineStr">
        <is>
          <t>кг</t>
        </is>
      </c>
      <c r="U131" s="675">
        <f>IFERROR(SUM(U127:U129),"0")</f>
        <v/>
      </c>
      <c r="V131" s="675">
        <f>IFERROR(SUM(V127:V129),"0")</f>
        <v/>
      </c>
      <c r="W131" s="43" t="n"/>
      <c r="X131" s="676" t="n"/>
      <c r="Y131" s="676" t="n"/>
    </row>
    <row r="132" ht="16.5" customHeight="1">
      <c r="A132" s="330" t="inlineStr">
        <is>
          <t>Мясорубская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330" t="n"/>
      <c r="Y132" s="330" t="n"/>
    </row>
    <row r="133" ht="14.25" customHeight="1">
      <c r="A133" s="331" t="inlineStr">
        <is>
          <t>Копченые колбасы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331" t="n"/>
      <c r="Y133" s="331" t="n"/>
    </row>
    <row r="134" ht="27" customHeight="1">
      <c r="A134" s="64" t="inlineStr">
        <is>
          <t>SU002756</t>
        </is>
      </c>
      <c r="B134" s="64" t="inlineStr">
        <is>
          <t>P003179</t>
        </is>
      </c>
      <c r="C134" s="37" t="n">
        <v>4301031191</v>
      </c>
      <c r="D134" s="315" t="n">
        <v>4680115880993</v>
      </c>
      <c r="E134" s="636" t="n"/>
      <c r="F134" s="668" t="n">
        <v>0.7</v>
      </c>
      <c r="G134" s="38" t="n">
        <v>6</v>
      </c>
      <c r="H134" s="668" t="n">
        <v>4.2</v>
      </c>
      <c r="I134" s="668" t="n">
        <v>4.46</v>
      </c>
      <c r="J134" s="38" t="n">
        <v>156</v>
      </c>
      <c r="K134" s="39" t="inlineStr">
        <is>
          <t>СК2</t>
        </is>
      </c>
      <c r="L134" s="38" t="n">
        <v>40</v>
      </c>
      <c r="M134" s="741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4" s="670" t="n"/>
      <c r="O134" s="670" t="n"/>
      <c r="P134" s="670" t="n"/>
      <c r="Q134" s="636" t="n"/>
      <c r="R134" s="40" t="inlineStr"/>
      <c r="S134" s="40" t="inlineStr"/>
      <c r="T134" s="41" t="inlineStr">
        <is>
          <t>кг</t>
        </is>
      </c>
      <c r="U134" s="671" t="n">
        <v>0</v>
      </c>
      <c r="V134" s="672">
        <f>IFERROR(IF(U134="",0,CEILING((U134/$H134),1)*$H134),"")</f>
        <v/>
      </c>
      <c r="W134" s="42">
        <f>IFERROR(IF(V134=0,"",ROUNDUP(V134/H134,0)*0.00753),"")</f>
        <v/>
      </c>
      <c r="X134" s="69" t="inlineStr"/>
      <c r="Y134" s="70" t="inlineStr"/>
      <c r="AC134" s="71" t="n"/>
      <c r="AZ134" s="138" t="inlineStr">
        <is>
          <t>КИ</t>
        </is>
      </c>
    </row>
    <row r="135" ht="27" customHeight="1">
      <c r="A135" s="64" t="inlineStr">
        <is>
          <t>SU002876</t>
        </is>
      </c>
      <c r="B135" s="64" t="inlineStr">
        <is>
          <t>P003276</t>
        </is>
      </c>
      <c r="C135" s="37" t="n">
        <v>4301031204</v>
      </c>
      <c r="D135" s="315" t="n">
        <v>4680115881761</v>
      </c>
      <c r="E135" s="636" t="n"/>
      <c r="F135" s="668" t="n">
        <v>0.7</v>
      </c>
      <c r="G135" s="38" t="n">
        <v>6</v>
      </c>
      <c r="H135" s="668" t="n">
        <v>4.2</v>
      </c>
      <c r="I135" s="668" t="n">
        <v>4.46</v>
      </c>
      <c r="J135" s="38" t="n">
        <v>156</v>
      </c>
      <c r="K135" s="39" t="inlineStr">
        <is>
          <t>СК2</t>
        </is>
      </c>
      <c r="L135" s="38" t="n">
        <v>40</v>
      </c>
      <c r="M135" s="74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35" s="670" t="n"/>
      <c r="O135" s="670" t="n"/>
      <c r="P135" s="670" t="n"/>
      <c r="Q135" s="636" t="n"/>
      <c r="R135" s="40" t="inlineStr"/>
      <c r="S135" s="40" t="inlineStr"/>
      <c r="T135" s="41" t="inlineStr">
        <is>
          <t>кг</t>
        </is>
      </c>
      <c r="U135" s="671" t="n">
        <v>0</v>
      </c>
      <c r="V135" s="672">
        <f>IFERROR(IF(U135="",0,CEILING((U135/$H135),1)*$H135),"")</f>
        <v/>
      </c>
      <c r="W135" s="42">
        <f>IFERROR(IF(V135=0,"",ROUNDUP(V135/H135,0)*0.00753),"")</f>
        <v/>
      </c>
      <c r="X135" s="69" t="inlineStr"/>
      <c r="Y135" s="70" t="inlineStr"/>
      <c r="AC135" s="71" t="n"/>
      <c r="AZ135" s="139" t="inlineStr">
        <is>
          <t>КИ</t>
        </is>
      </c>
    </row>
    <row r="136" ht="27" customHeight="1">
      <c r="A136" s="64" t="inlineStr">
        <is>
          <t>SU002847</t>
        </is>
      </c>
      <c r="B136" s="64" t="inlineStr">
        <is>
          <t>P003259</t>
        </is>
      </c>
      <c r="C136" s="37" t="n">
        <v>4301031201</v>
      </c>
      <c r="D136" s="315" t="n">
        <v>4680115881563</v>
      </c>
      <c r="E136" s="636" t="n"/>
      <c r="F136" s="668" t="n">
        <v>0.7</v>
      </c>
      <c r="G136" s="38" t="n">
        <v>6</v>
      </c>
      <c r="H136" s="668" t="n">
        <v>4.2</v>
      </c>
      <c r="I136" s="668" t="n">
        <v>4.4</v>
      </c>
      <c r="J136" s="38" t="n">
        <v>156</v>
      </c>
      <c r="K136" s="39" t="inlineStr">
        <is>
          <t>СК2</t>
        </is>
      </c>
      <c r="L136" s="38" t="n">
        <v>40</v>
      </c>
      <c r="M136" s="743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36" s="670" t="n"/>
      <c r="O136" s="670" t="n"/>
      <c r="P136" s="670" t="n"/>
      <c r="Q136" s="636" t="n"/>
      <c r="R136" s="40" t="inlineStr"/>
      <c r="S136" s="40" t="inlineStr"/>
      <c r="T136" s="41" t="inlineStr">
        <is>
          <t>кг</t>
        </is>
      </c>
      <c r="U136" s="671" t="n">
        <v>0</v>
      </c>
      <c r="V136" s="672">
        <f>IFERROR(IF(U136="",0,CEILING((U136/$H136),1)*$H136),"")</f>
        <v/>
      </c>
      <c r="W136" s="42">
        <f>IFERROR(IF(V136=0,"",ROUNDUP(V136/H136,0)*0.00753),"")</f>
        <v/>
      </c>
      <c r="X136" s="69" t="inlineStr"/>
      <c r="Y136" s="70" t="inlineStr"/>
      <c r="AC136" s="71" t="n"/>
      <c r="AZ136" s="140" t="inlineStr">
        <is>
          <t>КИ</t>
        </is>
      </c>
    </row>
    <row r="137" ht="27" customHeight="1">
      <c r="A137" s="64" t="inlineStr">
        <is>
          <t>SU002660</t>
        </is>
      </c>
      <c r="B137" s="64" t="inlineStr">
        <is>
          <t>P003256</t>
        </is>
      </c>
      <c r="C137" s="37" t="n">
        <v>4301031199</v>
      </c>
      <c r="D137" s="315" t="n">
        <v>4680115880986</v>
      </c>
      <c r="E137" s="636" t="n"/>
      <c r="F137" s="668" t="n">
        <v>0.35</v>
      </c>
      <c r="G137" s="38" t="n">
        <v>6</v>
      </c>
      <c r="H137" s="668" t="n">
        <v>2.1</v>
      </c>
      <c r="I137" s="668" t="n">
        <v>2.23</v>
      </c>
      <c r="J137" s="38" t="n">
        <v>234</v>
      </c>
      <c r="K137" s="39" t="inlineStr">
        <is>
          <t>СК2</t>
        </is>
      </c>
      <c r="L137" s="38" t="n">
        <v>40</v>
      </c>
      <c r="M137" s="744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37" s="670" t="n"/>
      <c r="O137" s="670" t="n"/>
      <c r="P137" s="670" t="n"/>
      <c r="Q137" s="636" t="n"/>
      <c r="R137" s="40" t="inlineStr"/>
      <c r="S137" s="40" t="inlineStr"/>
      <c r="T137" s="41" t="inlineStr">
        <is>
          <t>кг</t>
        </is>
      </c>
      <c r="U137" s="671" t="n">
        <v>0</v>
      </c>
      <c r="V137" s="672">
        <f>IFERROR(IF(U137="",0,CEILING((U137/$H137),1)*$H137),"")</f>
        <v/>
      </c>
      <c r="W137" s="42">
        <f>IFERROR(IF(V137=0,"",ROUNDUP(V137/H137,0)*0.00502),"")</f>
        <v/>
      </c>
      <c r="X137" s="69" t="inlineStr"/>
      <c r="Y137" s="70" t="inlineStr"/>
      <c r="AC137" s="71" t="n"/>
      <c r="AZ137" s="141" t="inlineStr">
        <is>
          <t>КИ</t>
        </is>
      </c>
    </row>
    <row r="138" ht="27" customHeight="1">
      <c r="A138" s="64" t="inlineStr">
        <is>
          <t>SU002826</t>
        </is>
      </c>
      <c r="B138" s="64" t="inlineStr">
        <is>
          <t>P003178</t>
        </is>
      </c>
      <c r="C138" s="37" t="n">
        <v>4301031190</v>
      </c>
      <c r="D138" s="315" t="n">
        <v>4680115880207</v>
      </c>
      <c r="E138" s="636" t="n"/>
      <c r="F138" s="668" t="n">
        <v>0.4</v>
      </c>
      <c r="G138" s="38" t="n">
        <v>6</v>
      </c>
      <c r="H138" s="668" t="n">
        <v>2.4</v>
      </c>
      <c r="I138" s="668" t="n">
        <v>2.63</v>
      </c>
      <c r="J138" s="38" t="n">
        <v>156</v>
      </c>
      <c r="K138" s="39" t="inlineStr">
        <is>
          <t>СК2</t>
        </is>
      </c>
      <c r="L138" s="38" t="n">
        <v>40</v>
      </c>
      <c r="M138" s="745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38" s="670" t="n"/>
      <c r="O138" s="670" t="n"/>
      <c r="P138" s="670" t="n"/>
      <c r="Q138" s="636" t="n"/>
      <c r="R138" s="40" t="inlineStr"/>
      <c r="S138" s="40" t="inlineStr"/>
      <c r="T138" s="41" t="inlineStr">
        <is>
          <t>кг</t>
        </is>
      </c>
      <c r="U138" s="671" t="n">
        <v>0</v>
      </c>
      <c r="V138" s="672">
        <f>IFERROR(IF(U138="",0,CEILING((U138/$H138),1)*$H138),"")</f>
        <v/>
      </c>
      <c r="W138" s="42">
        <f>IFERROR(IF(V138=0,"",ROUNDUP(V138/H138,0)*0.00753),"")</f>
        <v/>
      </c>
      <c r="X138" s="69" t="inlineStr"/>
      <c r="Y138" s="70" t="inlineStr"/>
      <c r="AC138" s="71" t="n"/>
      <c r="AZ138" s="142" t="inlineStr">
        <is>
          <t>КИ</t>
        </is>
      </c>
    </row>
    <row r="139" ht="27" customHeight="1">
      <c r="A139" s="64" t="inlineStr">
        <is>
          <t>SU002877</t>
        </is>
      </c>
      <c r="B139" s="64" t="inlineStr">
        <is>
          <t>P003277</t>
        </is>
      </c>
      <c r="C139" s="37" t="n">
        <v>4301031205</v>
      </c>
      <c r="D139" s="315" t="n">
        <v>4680115881785</v>
      </c>
      <c r="E139" s="636" t="n"/>
      <c r="F139" s="668" t="n">
        <v>0.35</v>
      </c>
      <c r="G139" s="38" t="n">
        <v>6</v>
      </c>
      <c r="H139" s="668" t="n">
        <v>2.1</v>
      </c>
      <c r="I139" s="668" t="n">
        <v>2.23</v>
      </c>
      <c r="J139" s="38" t="n">
        <v>234</v>
      </c>
      <c r="K139" s="39" t="inlineStr">
        <is>
          <t>СК2</t>
        </is>
      </c>
      <c r="L139" s="38" t="n">
        <v>40</v>
      </c>
      <c r="M139" s="746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39" s="670" t="n"/>
      <c r="O139" s="670" t="n"/>
      <c r="P139" s="670" t="n"/>
      <c r="Q139" s="636" t="n"/>
      <c r="R139" s="40" t="inlineStr"/>
      <c r="S139" s="40" t="inlineStr"/>
      <c r="T139" s="41" t="inlineStr">
        <is>
          <t>кг</t>
        </is>
      </c>
      <c r="U139" s="671" t="n">
        <v>0</v>
      </c>
      <c r="V139" s="672">
        <f>IFERROR(IF(U139="",0,CEILING((U139/$H139),1)*$H139),"")</f>
        <v/>
      </c>
      <c r="W139" s="42">
        <f>IFERROR(IF(V139=0,"",ROUNDUP(V139/H139,0)*0.00502),"")</f>
        <v/>
      </c>
      <c r="X139" s="69" t="inlineStr"/>
      <c r="Y139" s="70" t="inlineStr"/>
      <c r="AC139" s="71" t="n"/>
      <c r="AZ139" s="143" t="inlineStr">
        <is>
          <t>КИ</t>
        </is>
      </c>
    </row>
    <row r="140" ht="27" customHeight="1">
      <c r="A140" s="64" t="inlineStr">
        <is>
          <t>SU002848</t>
        </is>
      </c>
      <c r="B140" s="64" t="inlineStr">
        <is>
          <t>P003260</t>
        </is>
      </c>
      <c r="C140" s="37" t="n">
        <v>4301031202</v>
      </c>
      <c r="D140" s="315" t="n">
        <v>4680115881679</v>
      </c>
      <c r="E140" s="636" t="n"/>
      <c r="F140" s="668" t="n">
        <v>0.35</v>
      </c>
      <c r="G140" s="38" t="n">
        <v>6</v>
      </c>
      <c r="H140" s="668" t="n">
        <v>2.1</v>
      </c>
      <c r="I140" s="668" t="n">
        <v>2.2</v>
      </c>
      <c r="J140" s="38" t="n">
        <v>234</v>
      </c>
      <c r="K140" s="39" t="inlineStr">
        <is>
          <t>СК2</t>
        </is>
      </c>
      <c r="L140" s="38" t="n">
        <v>40</v>
      </c>
      <c r="M140" s="747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0" s="670" t="n"/>
      <c r="O140" s="670" t="n"/>
      <c r="P140" s="670" t="n"/>
      <c r="Q140" s="636" t="n"/>
      <c r="R140" s="40" t="inlineStr"/>
      <c r="S140" s="40" t="inlineStr"/>
      <c r="T140" s="41" t="inlineStr">
        <is>
          <t>кг</t>
        </is>
      </c>
      <c r="U140" s="671" t="n">
        <v>0</v>
      </c>
      <c r="V140" s="672">
        <f>IFERROR(IF(U140="",0,CEILING((U140/$H140),1)*$H140),"")</f>
        <v/>
      </c>
      <c r="W140" s="42">
        <f>IFERROR(IF(V140=0,"",ROUNDUP(V140/H140,0)*0.00502),"")</f>
        <v/>
      </c>
      <c r="X140" s="69" t="inlineStr"/>
      <c r="Y140" s="70" t="inlineStr"/>
      <c r="AC140" s="71" t="n"/>
      <c r="AZ140" s="144" t="inlineStr">
        <is>
          <t>КИ</t>
        </is>
      </c>
    </row>
    <row r="141" ht="27" customHeight="1">
      <c r="A141" s="64" t="inlineStr">
        <is>
          <t>SU002659</t>
        </is>
      </c>
      <c r="B141" s="64" t="inlineStr">
        <is>
          <t>P003034</t>
        </is>
      </c>
      <c r="C141" s="37" t="n">
        <v>4301031158</v>
      </c>
      <c r="D141" s="315" t="n">
        <v>4680115880191</v>
      </c>
      <c r="E141" s="636" t="n"/>
      <c r="F141" s="668" t="n">
        <v>0.4</v>
      </c>
      <c r="G141" s="38" t="n">
        <v>6</v>
      </c>
      <c r="H141" s="668" t="n">
        <v>2.4</v>
      </c>
      <c r="I141" s="668" t="n">
        <v>2.6</v>
      </c>
      <c r="J141" s="38" t="n">
        <v>156</v>
      </c>
      <c r="K141" s="39" t="inlineStr">
        <is>
          <t>СК2</t>
        </is>
      </c>
      <c r="L141" s="38" t="n">
        <v>40</v>
      </c>
      <c r="M141" s="748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1" s="670" t="n"/>
      <c r="O141" s="670" t="n"/>
      <c r="P141" s="670" t="n"/>
      <c r="Q141" s="636" t="n"/>
      <c r="R141" s="40" t="inlineStr"/>
      <c r="S141" s="40" t="inlineStr"/>
      <c r="T141" s="41" t="inlineStr">
        <is>
          <t>кг</t>
        </is>
      </c>
      <c r="U141" s="671" t="n">
        <v>0</v>
      </c>
      <c r="V141" s="672">
        <f>IFERROR(IF(U141="",0,CEILING((U141/$H141),1)*$H141),"")</f>
        <v/>
      </c>
      <c r="W141" s="42">
        <f>IFERROR(IF(V141=0,"",ROUNDUP(V141/H141,0)*0.00753),"")</f>
        <v/>
      </c>
      <c r="X141" s="69" t="inlineStr"/>
      <c r="Y141" s="70" t="inlineStr"/>
      <c r="AC141" s="71" t="n"/>
      <c r="AZ141" s="145" t="inlineStr">
        <is>
          <t>КИ</t>
        </is>
      </c>
    </row>
    <row r="142">
      <c r="A142" s="323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673" t="n"/>
      <c r="M142" s="674" t="inlineStr">
        <is>
          <t>Итого</t>
        </is>
      </c>
      <c r="N142" s="644" t="n"/>
      <c r="O142" s="644" t="n"/>
      <c r="P142" s="644" t="n"/>
      <c r="Q142" s="644" t="n"/>
      <c r="R142" s="644" t="n"/>
      <c r="S142" s="645" t="n"/>
      <c r="T142" s="43" t="inlineStr">
        <is>
          <t>кор</t>
        </is>
      </c>
      <c r="U142" s="675">
        <f>IFERROR(U134/H134,"0")+IFERROR(U135/H135,"0")+IFERROR(U136/H136,"0")+IFERROR(U137/H137,"0")+IFERROR(U138/H138,"0")+IFERROR(U139/H139,"0")+IFERROR(U140/H140,"0")+IFERROR(U141/H141,"0")</f>
        <v/>
      </c>
      <c r="V142" s="675">
        <f>IFERROR(V134/H134,"0")+IFERROR(V135/H135,"0")+IFERROR(V136/H136,"0")+IFERROR(V137/H137,"0")+IFERROR(V138/H138,"0")+IFERROR(V139/H139,"0")+IFERROR(V140/H140,"0")+IFERROR(V141/H141,"0")</f>
        <v/>
      </c>
      <c r="W142" s="675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/>
      </c>
      <c r="X142" s="676" t="n"/>
      <c r="Y142" s="676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673" t="n"/>
      <c r="M143" s="674" t="inlineStr">
        <is>
          <t>Итого</t>
        </is>
      </c>
      <c r="N143" s="644" t="n"/>
      <c r="O143" s="644" t="n"/>
      <c r="P143" s="644" t="n"/>
      <c r="Q143" s="644" t="n"/>
      <c r="R143" s="644" t="n"/>
      <c r="S143" s="645" t="n"/>
      <c r="T143" s="43" t="inlineStr">
        <is>
          <t>кг</t>
        </is>
      </c>
      <c r="U143" s="675">
        <f>IFERROR(SUM(U134:U141),"0")</f>
        <v/>
      </c>
      <c r="V143" s="675">
        <f>IFERROR(SUM(V134:V141),"0")</f>
        <v/>
      </c>
      <c r="W143" s="43" t="n"/>
      <c r="X143" s="676" t="n"/>
      <c r="Y143" s="676" t="n"/>
    </row>
    <row r="144" ht="16.5" customHeight="1">
      <c r="A144" s="330" t="inlineStr">
        <is>
          <t>Сочинка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330" t="n"/>
      <c r="Y144" s="330" t="n"/>
    </row>
    <row r="145" ht="14.25" customHeight="1">
      <c r="A145" s="331" t="inlineStr">
        <is>
          <t>Вареные колбасы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331" t="n"/>
      <c r="Y145" s="331" t="n"/>
    </row>
    <row r="146" ht="16.5" customHeight="1">
      <c r="A146" s="64" t="inlineStr">
        <is>
          <t>SU002824</t>
        </is>
      </c>
      <c r="B146" s="64" t="inlineStr">
        <is>
          <t>P003231</t>
        </is>
      </c>
      <c r="C146" s="37" t="n">
        <v>4301011450</v>
      </c>
      <c r="D146" s="315" t="n">
        <v>4680115881402</v>
      </c>
      <c r="E146" s="636" t="n"/>
      <c r="F146" s="668" t="n">
        <v>1.35</v>
      </c>
      <c r="G146" s="38" t="n">
        <v>8</v>
      </c>
      <c r="H146" s="668" t="n">
        <v>10.8</v>
      </c>
      <c r="I146" s="668" t="n">
        <v>11.28</v>
      </c>
      <c r="J146" s="38" t="n">
        <v>56</v>
      </c>
      <c r="K146" s="39" t="inlineStr">
        <is>
          <t>СК1</t>
        </is>
      </c>
      <c r="L146" s="38" t="n">
        <v>55</v>
      </c>
      <c r="M146" s="749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46" s="670" t="n"/>
      <c r="O146" s="670" t="n"/>
      <c r="P146" s="670" t="n"/>
      <c r="Q146" s="636" t="n"/>
      <c r="R146" s="40" t="inlineStr"/>
      <c r="S146" s="40" t="inlineStr"/>
      <c r="T146" s="41" t="inlineStr">
        <is>
          <t>кг</t>
        </is>
      </c>
      <c r="U146" s="671" t="n">
        <v>0</v>
      </c>
      <c r="V146" s="672">
        <f>IFERROR(IF(U146="",0,CEILING((U146/$H146),1)*$H146),"")</f>
        <v/>
      </c>
      <c r="W146" s="42">
        <f>IFERROR(IF(V146=0,"",ROUNDUP(V146/H146,0)*0.02175),"")</f>
        <v/>
      </c>
      <c r="X146" s="69" t="inlineStr"/>
      <c r="Y146" s="70" t="inlineStr"/>
      <c r="AC146" s="71" t="n"/>
      <c r="AZ146" s="146" t="inlineStr">
        <is>
          <t>КИ</t>
        </is>
      </c>
    </row>
    <row r="147" ht="27" customHeight="1">
      <c r="A147" s="64" t="inlineStr">
        <is>
          <t>SU002823</t>
        </is>
      </c>
      <c r="B147" s="64" t="inlineStr">
        <is>
          <t>P003230</t>
        </is>
      </c>
      <c r="C147" s="37" t="n">
        <v>4301011454</v>
      </c>
      <c r="D147" s="315" t="n">
        <v>4680115881396</v>
      </c>
      <c r="E147" s="636" t="n"/>
      <c r="F147" s="668" t="n">
        <v>0.45</v>
      </c>
      <c r="G147" s="38" t="n">
        <v>6</v>
      </c>
      <c r="H147" s="668" t="n">
        <v>2.7</v>
      </c>
      <c r="I147" s="668" t="n">
        <v>2.9</v>
      </c>
      <c r="J147" s="38" t="n">
        <v>156</v>
      </c>
      <c r="K147" s="39" t="inlineStr">
        <is>
          <t>СК2</t>
        </is>
      </c>
      <c r="L147" s="38" t="n">
        <v>55</v>
      </c>
      <c r="M147" s="750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47" s="670" t="n"/>
      <c r="O147" s="670" t="n"/>
      <c r="P147" s="670" t="n"/>
      <c r="Q147" s="636" t="n"/>
      <c r="R147" s="40" t="inlineStr"/>
      <c r="S147" s="40" t="inlineStr"/>
      <c r="T147" s="41" t="inlineStr">
        <is>
          <t>кг</t>
        </is>
      </c>
      <c r="U147" s="671" t="n">
        <v>0</v>
      </c>
      <c r="V147" s="672">
        <f>IFERROR(IF(U147="",0,CEILING((U147/$H147),1)*$H147),"")</f>
        <v/>
      </c>
      <c r="W147" s="42">
        <f>IFERROR(IF(V147=0,"",ROUNDUP(V147/H147,0)*0.00753),"")</f>
        <v/>
      </c>
      <c r="X147" s="69" t="inlineStr"/>
      <c r="Y147" s="70" t="inlineStr"/>
      <c r="AC147" s="71" t="n"/>
      <c r="AZ147" s="147" t="inlineStr">
        <is>
          <t>КИ</t>
        </is>
      </c>
    </row>
    <row r="148">
      <c r="A148" s="323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673" t="n"/>
      <c r="M148" s="674" t="inlineStr">
        <is>
          <t>Итого</t>
        </is>
      </c>
      <c r="N148" s="644" t="n"/>
      <c r="O148" s="644" t="n"/>
      <c r="P148" s="644" t="n"/>
      <c r="Q148" s="644" t="n"/>
      <c r="R148" s="644" t="n"/>
      <c r="S148" s="645" t="n"/>
      <c r="T148" s="43" t="inlineStr">
        <is>
          <t>кор</t>
        </is>
      </c>
      <c r="U148" s="675">
        <f>IFERROR(U146/H146,"0")+IFERROR(U147/H147,"0")</f>
        <v/>
      </c>
      <c r="V148" s="675">
        <f>IFERROR(V146/H146,"0")+IFERROR(V147/H147,"0")</f>
        <v/>
      </c>
      <c r="W148" s="675">
        <f>IFERROR(IF(W146="",0,W146),"0")+IFERROR(IF(W147="",0,W147),"0")</f>
        <v/>
      </c>
      <c r="X148" s="676" t="n"/>
      <c r="Y148" s="676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673" t="n"/>
      <c r="M149" s="674" t="inlineStr">
        <is>
          <t>Итого</t>
        </is>
      </c>
      <c r="N149" s="644" t="n"/>
      <c r="O149" s="644" t="n"/>
      <c r="P149" s="644" t="n"/>
      <c r="Q149" s="644" t="n"/>
      <c r="R149" s="644" t="n"/>
      <c r="S149" s="645" t="n"/>
      <c r="T149" s="43" t="inlineStr">
        <is>
          <t>кг</t>
        </is>
      </c>
      <c r="U149" s="675">
        <f>IFERROR(SUM(U146:U147),"0")</f>
        <v/>
      </c>
      <c r="V149" s="675">
        <f>IFERROR(SUM(V146:V147),"0")</f>
        <v/>
      </c>
      <c r="W149" s="43" t="n"/>
      <c r="X149" s="676" t="n"/>
      <c r="Y149" s="676" t="n"/>
    </row>
    <row r="150" ht="14.25" customHeight="1">
      <c r="A150" s="331" t="inlineStr">
        <is>
          <t>Ветчины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331" t="n"/>
      <c r="Y150" s="331" t="n"/>
    </row>
    <row r="151" ht="16.5" customHeight="1">
      <c r="A151" s="64" t="inlineStr">
        <is>
          <t>SU003068</t>
        </is>
      </c>
      <c r="B151" s="64" t="inlineStr">
        <is>
          <t>P003611</t>
        </is>
      </c>
      <c r="C151" s="37" t="n">
        <v>4301020262</v>
      </c>
      <c r="D151" s="315" t="n">
        <v>4680115882935</v>
      </c>
      <c r="E151" s="636" t="n"/>
      <c r="F151" s="668" t="n">
        <v>1.35</v>
      </c>
      <c r="G151" s="38" t="n">
        <v>8</v>
      </c>
      <c r="H151" s="668" t="n">
        <v>10.8</v>
      </c>
      <c r="I151" s="668" t="n">
        <v>11.28</v>
      </c>
      <c r="J151" s="38" t="n">
        <v>56</v>
      </c>
      <c r="K151" s="39" t="inlineStr">
        <is>
          <t>СК3</t>
        </is>
      </c>
      <c r="L151" s="38" t="n">
        <v>50</v>
      </c>
      <c r="M151" s="751" t="inlineStr">
        <is>
          <t>Ветчина «Сочинка с сочным окороком» Весовой п/а ТМ «Стародворье»</t>
        </is>
      </c>
      <c r="N151" s="670" t="n"/>
      <c r="O151" s="670" t="n"/>
      <c r="P151" s="670" t="n"/>
      <c r="Q151" s="636" t="n"/>
      <c r="R151" s="40" t="inlineStr"/>
      <c r="S151" s="40" t="inlineStr"/>
      <c r="T151" s="41" t="inlineStr">
        <is>
          <t>кг</t>
        </is>
      </c>
      <c r="U151" s="671" t="n">
        <v>0</v>
      </c>
      <c r="V151" s="672">
        <f>IFERROR(IF(U151="",0,CEILING((U151/$H151),1)*$H151),"")</f>
        <v/>
      </c>
      <c r="W151" s="42">
        <f>IFERROR(IF(V151=0,"",ROUNDUP(V151/H151,0)*0.02175),"")</f>
        <v/>
      </c>
      <c r="X151" s="69" t="inlineStr"/>
      <c r="Y151" s="70" t="inlineStr"/>
      <c r="AC151" s="71" t="n"/>
      <c r="AZ151" s="148" t="inlineStr">
        <is>
          <t>КИ</t>
        </is>
      </c>
    </row>
    <row r="152" ht="16.5" customHeight="1">
      <c r="A152" s="64" t="inlineStr">
        <is>
          <t>SU002757</t>
        </is>
      </c>
      <c r="B152" s="64" t="inlineStr">
        <is>
          <t>P003128</t>
        </is>
      </c>
      <c r="C152" s="37" t="n">
        <v>4301020220</v>
      </c>
      <c r="D152" s="315" t="n">
        <v>4680115880764</v>
      </c>
      <c r="E152" s="636" t="n"/>
      <c r="F152" s="668" t="n">
        <v>0.35</v>
      </c>
      <c r="G152" s="38" t="n">
        <v>6</v>
      </c>
      <c r="H152" s="668" t="n">
        <v>2.1</v>
      </c>
      <c r="I152" s="668" t="n">
        <v>2.3</v>
      </c>
      <c r="J152" s="38" t="n">
        <v>156</v>
      </c>
      <c r="K152" s="39" t="inlineStr">
        <is>
          <t>СК1</t>
        </is>
      </c>
      <c r="L152" s="38" t="n">
        <v>50</v>
      </c>
      <c r="M152" s="752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2" s="670" t="n"/>
      <c r="O152" s="670" t="n"/>
      <c r="P152" s="670" t="n"/>
      <c r="Q152" s="636" t="n"/>
      <c r="R152" s="40" t="inlineStr"/>
      <c r="S152" s="40" t="inlineStr"/>
      <c r="T152" s="41" t="inlineStr">
        <is>
          <t>кг</t>
        </is>
      </c>
      <c r="U152" s="671" t="n">
        <v>0</v>
      </c>
      <c r="V152" s="672">
        <f>IFERROR(IF(U152="",0,CEILING((U152/$H152),1)*$H152),"")</f>
        <v/>
      </c>
      <c r="W152" s="42">
        <f>IFERROR(IF(V152=0,"",ROUNDUP(V152/H152,0)*0.00753),"")</f>
        <v/>
      </c>
      <c r="X152" s="69" t="inlineStr"/>
      <c r="Y152" s="70" t="inlineStr"/>
      <c r="AC152" s="71" t="n"/>
      <c r="AZ152" s="149" t="inlineStr">
        <is>
          <t>КИ</t>
        </is>
      </c>
    </row>
    <row r="153">
      <c r="A153" s="323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73" t="n"/>
      <c r="M153" s="674" t="inlineStr">
        <is>
          <t>Итого</t>
        </is>
      </c>
      <c r="N153" s="644" t="n"/>
      <c r="O153" s="644" t="n"/>
      <c r="P153" s="644" t="n"/>
      <c r="Q153" s="644" t="n"/>
      <c r="R153" s="644" t="n"/>
      <c r="S153" s="645" t="n"/>
      <c r="T153" s="43" t="inlineStr">
        <is>
          <t>кор</t>
        </is>
      </c>
      <c r="U153" s="675">
        <f>IFERROR(U151/H151,"0")+IFERROR(U152/H152,"0")</f>
        <v/>
      </c>
      <c r="V153" s="675">
        <f>IFERROR(V151/H151,"0")+IFERROR(V152/H152,"0")</f>
        <v/>
      </c>
      <c r="W153" s="675">
        <f>IFERROR(IF(W151="",0,W151),"0")+IFERROR(IF(W152="",0,W152),"0")</f>
        <v/>
      </c>
      <c r="X153" s="676" t="n"/>
      <c r="Y153" s="676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673" t="n"/>
      <c r="M154" s="674" t="inlineStr">
        <is>
          <t>Итого</t>
        </is>
      </c>
      <c r="N154" s="644" t="n"/>
      <c r="O154" s="644" t="n"/>
      <c r="P154" s="644" t="n"/>
      <c r="Q154" s="644" t="n"/>
      <c r="R154" s="644" t="n"/>
      <c r="S154" s="645" t="n"/>
      <c r="T154" s="43" t="inlineStr">
        <is>
          <t>кг</t>
        </is>
      </c>
      <c r="U154" s="675">
        <f>IFERROR(SUM(U151:U152),"0")</f>
        <v/>
      </c>
      <c r="V154" s="675">
        <f>IFERROR(SUM(V151:V152),"0")</f>
        <v/>
      </c>
      <c r="W154" s="43" t="n"/>
      <c r="X154" s="676" t="n"/>
      <c r="Y154" s="676" t="n"/>
    </row>
    <row r="155" ht="14.25" customHeight="1">
      <c r="A155" s="331" t="inlineStr">
        <is>
          <t>Копченые колбасы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331" t="n"/>
      <c r="Y155" s="331" t="n"/>
    </row>
    <row r="156" ht="27" customHeight="1">
      <c r="A156" s="64" t="inlineStr">
        <is>
          <t>SU002941</t>
        </is>
      </c>
      <c r="B156" s="64" t="inlineStr">
        <is>
          <t>P003387</t>
        </is>
      </c>
      <c r="C156" s="37" t="n">
        <v>4301031224</v>
      </c>
      <c r="D156" s="315" t="n">
        <v>4680115882683</v>
      </c>
      <c r="E156" s="636" t="n"/>
      <c r="F156" s="668" t="n">
        <v>0.9</v>
      </c>
      <c r="G156" s="38" t="n">
        <v>6</v>
      </c>
      <c r="H156" s="668" t="n">
        <v>5.4</v>
      </c>
      <c r="I156" s="668" t="n">
        <v>5.61</v>
      </c>
      <c r="J156" s="38" t="n">
        <v>120</v>
      </c>
      <c r="K156" s="39" t="inlineStr">
        <is>
          <t>СК2</t>
        </is>
      </c>
      <c r="L156" s="38" t="n">
        <v>40</v>
      </c>
      <c r="M156" s="753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56" s="670" t="n"/>
      <c r="O156" s="670" t="n"/>
      <c r="P156" s="670" t="n"/>
      <c r="Q156" s="636" t="n"/>
      <c r="R156" s="40" t="inlineStr"/>
      <c r="S156" s="40" t="inlineStr"/>
      <c r="T156" s="41" t="inlineStr">
        <is>
          <t>кг</t>
        </is>
      </c>
      <c r="U156" s="671" t="n">
        <v>0</v>
      </c>
      <c r="V156" s="672">
        <f>IFERROR(IF(U156="",0,CEILING((U156/$H156),1)*$H156),"")</f>
        <v/>
      </c>
      <c r="W156" s="42">
        <f>IFERROR(IF(V156=0,"",ROUNDUP(V156/H156,0)*0.00937),"")</f>
        <v/>
      </c>
      <c r="X156" s="69" t="inlineStr"/>
      <c r="Y156" s="70" t="inlineStr"/>
      <c r="AC156" s="71" t="n"/>
      <c r="AZ156" s="150" t="inlineStr">
        <is>
          <t>КИ</t>
        </is>
      </c>
    </row>
    <row r="157" ht="27" customHeight="1">
      <c r="A157" s="64" t="inlineStr">
        <is>
          <t>SU002943</t>
        </is>
      </c>
      <c r="B157" s="64" t="inlineStr">
        <is>
          <t>P003401</t>
        </is>
      </c>
      <c r="C157" s="37" t="n">
        <v>4301031230</v>
      </c>
      <c r="D157" s="315" t="n">
        <v>4680115882690</v>
      </c>
      <c r="E157" s="636" t="n"/>
      <c r="F157" s="668" t="n">
        <v>0.9</v>
      </c>
      <c r="G157" s="38" t="n">
        <v>6</v>
      </c>
      <c r="H157" s="668" t="n">
        <v>5.4</v>
      </c>
      <c r="I157" s="668" t="n">
        <v>5.61</v>
      </c>
      <c r="J157" s="38" t="n">
        <v>120</v>
      </c>
      <c r="K157" s="39" t="inlineStr">
        <is>
          <t>СК2</t>
        </is>
      </c>
      <c r="L157" s="38" t="n">
        <v>40</v>
      </c>
      <c r="M157" s="754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57" s="670" t="n"/>
      <c r="O157" s="670" t="n"/>
      <c r="P157" s="670" t="n"/>
      <c r="Q157" s="636" t="n"/>
      <c r="R157" s="40" t="inlineStr"/>
      <c r="S157" s="40" t="inlineStr"/>
      <c r="T157" s="41" t="inlineStr">
        <is>
          <t>кг</t>
        </is>
      </c>
      <c r="U157" s="671" t="n">
        <v>0</v>
      </c>
      <c r="V157" s="672">
        <f>IFERROR(IF(U157="",0,CEILING((U157/$H157),1)*$H157),"")</f>
        <v/>
      </c>
      <c r="W157" s="42">
        <f>IFERROR(IF(V157=0,"",ROUNDUP(V157/H157,0)*0.00937),"")</f>
        <v/>
      </c>
      <c r="X157" s="69" t="inlineStr"/>
      <c r="Y157" s="70" t="inlineStr"/>
      <c r="AC157" s="71" t="n"/>
      <c r="AZ157" s="151" t="inlineStr">
        <is>
          <t>КИ</t>
        </is>
      </c>
    </row>
    <row r="158" ht="27" customHeight="1">
      <c r="A158" s="64" t="inlineStr">
        <is>
          <t>SU002945</t>
        </is>
      </c>
      <c r="B158" s="64" t="inlineStr">
        <is>
          <t>P003383</t>
        </is>
      </c>
      <c r="C158" s="37" t="n">
        <v>4301031220</v>
      </c>
      <c r="D158" s="315" t="n">
        <v>4680115882669</v>
      </c>
      <c r="E158" s="636" t="n"/>
      <c r="F158" s="668" t="n">
        <v>0.9</v>
      </c>
      <c r="G158" s="38" t="n">
        <v>6</v>
      </c>
      <c r="H158" s="668" t="n">
        <v>5.4</v>
      </c>
      <c r="I158" s="668" t="n">
        <v>5.61</v>
      </c>
      <c r="J158" s="38" t="n">
        <v>120</v>
      </c>
      <c r="K158" s="39" t="inlineStr">
        <is>
          <t>СК2</t>
        </is>
      </c>
      <c r="L158" s="38" t="n">
        <v>40</v>
      </c>
      <c r="M158" s="755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58" s="670" t="n"/>
      <c r="O158" s="670" t="n"/>
      <c r="P158" s="670" t="n"/>
      <c r="Q158" s="636" t="n"/>
      <c r="R158" s="40" t="inlineStr"/>
      <c r="S158" s="40" t="inlineStr"/>
      <c r="T158" s="41" t="inlineStr">
        <is>
          <t>кг</t>
        </is>
      </c>
      <c r="U158" s="671" t="n">
        <v>8</v>
      </c>
      <c r="V158" s="672">
        <f>IFERROR(IF(U158="",0,CEILING((U158/$H158),1)*$H158),"")</f>
        <v/>
      </c>
      <c r="W158" s="42">
        <f>IFERROR(IF(V158=0,"",ROUNDUP(V158/H158,0)*0.00937),"")</f>
        <v/>
      </c>
      <c r="X158" s="69" t="inlineStr"/>
      <c r="Y158" s="70" t="inlineStr"/>
      <c r="AC158" s="71" t="n"/>
      <c r="AZ158" s="152" t="inlineStr">
        <is>
          <t>КИ</t>
        </is>
      </c>
    </row>
    <row r="159" ht="27" customHeight="1">
      <c r="A159" s="64" t="inlineStr">
        <is>
          <t>SU002947</t>
        </is>
      </c>
      <c r="B159" s="64" t="inlineStr">
        <is>
          <t>P003384</t>
        </is>
      </c>
      <c r="C159" s="37" t="n">
        <v>4301031221</v>
      </c>
      <c r="D159" s="315" t="n">
        <v>4680115882676</v>
      </c>
      <c r="E159" s="636" t="n"/>
      <c r="F159" s="668" t="n">
        <v>0.9</v>
      </c>
      <c r="G159" s="38" t="n">
        <v>6</v>
      </c>
      <c r="H159" s="668" t="n">
        <v>5.4</v>
      </c>
      <c r="I159" s="668" t="n">
        <v>5.61</v>
      </c>
      <c r="J159" s="38" t="n">
        <v>120</v>
      </c>
      <c r="K159" s="39" t="inlineStr">
        <is>
          <t>СК2</t>
        </is>
      </c>
      <c r="L159" s="38" t="n">
        <v>40</v>
      </c>
      <c r="M159" s="756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59" s="670" t="n"/>
      <c r="O159" s="670" t="n"/>
      <c r="P159" s="670" t="n"/>
      <c r="Q159" s="636" t="n"/>
      <c r="R159" s="40" t="inlineStr"/>
      <c r="S159" s="40" t="inlineStr"/>
      <c r="T159" s="41" t="inlineStr">
        <is>
          <t>кг</t>
        </is>
      </c>
      <c r="U159" s="671" t="n">
        <v>8</v>
      </c>
      <c r="V159" s="672">
        <f>IFERROR(IF(U159="",0,CEILING((U159/$H159),1)*$H159),"")</f>
        <v/>
      </c>
      <c r="W159" s="42">
        <f>IFERROR(IF(V159=0,"",ROUNDUP(V159/H159,0)*0.00937),"")</f>
        <v/>
      </c>
      <c r="X159" s="69" t="inlineStr"/>
      <c r="Y159" s="70" t="inlineStr"/>
      <c r="AC159" s="71" t="n"/>
      <c r="AZ159" s="153" t="inlineStr">
        <is>
          <t>КИ</t>
        </is>
      </c>
    </row>
    <row r="160">
      <c r="A160" s="323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673" t="n"/>
      <c r="M160" s="674" t="inlineStr">
        <is>
          <t>Итого</t>
        </is>
      </c>
      <c r="N160" s="644" t="n"/>
      <c r="O160" s="644" t="n"/>
      <c r="P160" s="644" t="n"/>
      <c r="Q160" s="644" t="n"/>
      <c r="R160" s="644" t="n"/>
      <c r="S160" s="645" t="n"/>
      <c r="T160" s="43" t="inlineStr">
        <is>
          <t>кор</t>
        </is>
      </c>
      <c r="U160" s="675">
        <f>IFERROR(U156/H156,"0")+IFERROR(U157/H157,"0")+IFERROR(U158/H158,"0")+IFERROR(U159/H159,"0")</f>
        <v/>
      </c>
      <c r="V160" s="675">
        <f>IFERROR(V156/H156,"0")+IFERROR(V157/H157,"0")+IFERROR(V158/H158,"0")+IFERROR(V159/H159,"0")</f>
        <v/>
      </c>
      <c r="W160" s="675">
        <f>IFERROR(IF(W156="",0,W156),"0")+IFERROR(IF(W157="",0,W157),"0")+IFERROR(IF(W158="",0,W158),"0")+IFERROR(IF(W159="",0,W159),"0")</f>
        <v/>
      </c>
      <c r="X160" s="676" t="n"/>
      <c r="Y160" s="676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673" t="n"/>
      <c r="M161" s="674" t="inlineStr">
        <is>
          <t>Итого</t>
        </is>
      </c>
      <c r="N161" s="644" t="n"/>
      <c r="O161" s="644" t="n"/>
      <c r="P161" s="644" t="n"/>
      <c r="Q161" s="644" t="n"/>
      <c r="R161" s="644" t="n"/>
      <c r="S161" s="645" t="n"/>
      <c r="T161" s="43" t="inlineStr">
        <is>
          <t>кг</t>
        </is>
      </c>
      <c r="U161" s="675">
        <f>IFERROR(SUM(U156:U159),"0")</f>
        <v/>
      </c>
      <c r="V161" s="675">
        <f>IFERROR(SUM(V156:V159),"0")</f>
        <v/>
      </c>
      <c r="W161" s="43" t="n"/>
      <c r="X161" s="676" t="n"/>
      <c r="Y161" s="676" t="n"/>
    </row>
    <row r="162" ht="14.25" customHeight="1">
      <c r="A162" s="331" t="inlineStr">
        <is>
          <t>Сосиски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331" t="n"/>
      <c r="Y162" s="331" t="n"/>
    </row>
    <row r="163" ht="27" customHeight="1">
      <c r="A163" s="64" t="inlineStr">
        <is>
          <t>SU002857</t>
        </is>
      </c>
      <c r="B163" s="64" t="inlineStr">
        <is>
          <t>P003264</t>
        </is>
      </c>
      <c r="C163" s="37" t="n">
        <v>4301051409</v>
      </c>
      <c r="D163" s="315" t="n">
        <v>4680115881556</v>
      </c>
      <c r="E163" s="636" t="n"/>
      <c r="F163" s="668" t="n">
        <v>1</v>
      </c>
      <c r="G163" s="38" t="n">
        <v>4</v>
      </c>
      <c r="H163" s="668" t="n">
        <v>4</v>
      </c>
      <c r="I163" s="668" t="n">
        <v>4.408</v>
      </c>
      <c r="J163" s="38" t="n">
        <v>104</v>
      </c>
      <c r="K163" s="39" t="inlineStr">
        <is>
          <t>СК3</t>
        </is>
      </c>
      <c r="L163" s="38" t="n">
        <v>45</v>
      </c>
      <c r="M163" s="757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63" s="670" t="n"/>
      <c r="O163" s="670" t="n"/>
      <c r="P163" s="670" t="n"/>
      <c r="Q163" s="636" t="n"/>
      <c r="R163" s="40" t="inlineStr"/>
      <c r="S163" s="40" t="inlineStr"/>
      <c r="T163" s="41" t="inlineStr">
        <is>
          <t>кг</t>
        </is>
      </c>
      <c r="U163" s="671" t="n">
        <v>0</v>
      </c>
      <c r="V163" s="672">
        <f>IFERROR(IF(U163="",0,CEILING((U163/$H163),1)*$H163),"")</f>
        <v/>
      </c>
      <c r="W163" s="42">
        <f>IFERROR(IF(V163=0,"",ROUNDUP(V163/H163,0)*0.01196),"")</f>
        <v/>
      </c>
      <c r="X163" s="69" t="inlineStr"/>
      <c r="Y163" s="70" t="inlineStr"/>
      <c r="AC163" s="71" t="n"/>
      <c r="AZ163" s="154" t="inlineStr">
        <is>
          <t>КИ</t>
        </is>
      </c>
    </row>
    <row r="164" ht="16.5" customHeight="1">
      <c r="A164" s="64" t="inlineStr">
        <is>
          <t>SU002725</t>
        </is>
      </c>
      <c r="B164" s="64" t="inlineStr">
        <is>
          <t>P003404</t>
        </is>
      </c>
      <c r="C164" s="37" t="n">
        <v>4301051470</v>
      </c>
      <c r="D164" s="315" t="n">
        <v>4680115880573</v>
      </c>
      <c r="E164" s="636" t="n"/>
      <c r="F164" s="668" t="n">
        <v>1.3</v>
      </c>
      <c r="G164" s="38" t="n">
        <v>6</v>
      </c>
      <c r="H164" s="668" t="n">
        <v>7.8</v>
      </c>
      <c r="I164" s="668" t="n">
        <v>8.364000000000001</v>
      </c>
      <c r="J164" s="38" t="n">
        <v>56</v>
      </c>
      <c r="K164" s="39" t="inlineStr">
        <is>
          <t>СК3</t>
        </is>
      </c>
      <c r="L164" s="38" t="n">
        <v>45</v>
      </c>
      <c r="M164" s="758">
        <f>HYPERLINK("https://abi.ru/products/Охлажденные/Стародворье/Сочинка/Сосиски/P003404/","Сосиски «Сочинки» Весовой п/а ТМ «Стародворье»")</f>
        <v/>
      </c>
      <c r="N164" s="670" t="n"/>
      <c r="O164" s="670" t="n"/>
      <c r="P164" s="670" t="n"/>
      <c r="Q164" s="636" t="n"/>
      <c r="R164" s="40" t="inlineStr"/>
      <c r="S164" s="40" t="inlineStr"/>
      <c r="T164" s="41" t="inlineStr">
        <is>
          <t>кг</t>
        </is>
      </c>
      <c r="U164" s="671" t="n">
        <v>0</v>
      </c>
      <c r="V164" s="672">
        <f>IFERROR(IF(U164="",0,CEILING((U164/$H164),1)*$H164),"")</f>
        <v/>
      </c>
      <c r="W164" s="42">
        <f>IFERROR(IF(V164=0,"",ROUNDUP(V164/H164,0)*0.02175),"")</f>
        <v/>
      </c>
      <c r="X164" s="69" t="inlineStr"/>
      <c r="Y164" s="70" t="inlineStr"/>
      <c r="AC164" s="71" t="n"/>
      <c r="AZ164" s="155" t="inlineStr">
        <is>
          <t>КИ</t>
        </is>
      </c>
    </row>
    <row r="165" ht="27" customHeight="1">
      <c r="A165" s="64" t="inlineStr">
        <is>
          <t>SU002843</t>
        </is>
      </c>
      <c r="B165" s="64" t="inlineStr">
        <is>
          <t>P003263</t>
        </is>
      </c>
      <c r="C165" s="37" t="n">
        <v>4301051408</v>
      </c>
      <c r="D165" s="315" t="n">
        <v>4680115881594</v>
      </c>
      <c r="E165" s="636" t="n"/>
      <c r="F165" s="668" t="n">
        <v>1.35</v>
      </c>
      <c r="G165" s="38" t="n">
        <v>6</v>
      </c>
      <c r="H165" s="668" t="n">
        <v>8.1</v>
      </c>
      <c r="I165" s="668" t="n">
        <v>8.664</v>
      </c>
      <c r="J165" s="38" t="n">
        <v>56</v>
      </c>
      <c r="K165" s="39" t="inlineStr">
        <is>
          <t>СК3</t>
        </is>
      </c>
      <c r="L165" s="38" t="n">
        <v>40</v>
      </c>
      <c r="M165" s="759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65" s="670" t="n"/>
      <c r="O165" s="670" t="n"/>
      <c r="P165" s="670" t="n"/>
      <c r="Q165" s="636" t="n"/>
      <c r="R165" s="40" t="inlineStr"/>
      <c r="S165" s="40" t="inlineStr"/>
      <c r="T165" s="41" t="inlineStr">
        <is>
          <t>кг</t>
        </is>
      </c>
      <c r="U165" s="671" t="n">
        <v>0</v>
      </c>
      <c r="V165" s="672">
        <f>IFERROR(IF(U165="",0,CEILING((U165/$H165),1)*$H165),"")</f>
        <v/>
      </c>
      <c r="W165" s="42">
        <f>IFERROR(IF(V165=0,"",ROUNDUP(V165/H165,0)*0.02175),"")</f>
        <v/>
      </c>
      <c r="X165" s="69" t="inlineStr"/>
      <c r="Y165" s="70" t="inlineStr"/>
      <c r="AC165" s="71" t="n"/>
      <c r="AZ165" s="156" t="inlineStr">
        <is>
          <t>КИ</t>
        </is>
      </c>
    </row>
    <row r="166" ht="27" customHeight="1">
      <c r="A166" s="64" t="inlineStr">
        <is>
          <t>SU002858</t>
        </is>
      </c>
      <c r="B166" s="64" t="inlineStr">
        <is>
          <t>P003322</t>
        </is>
      </c>
      <c r="C166" s="37" t="n">
        <v>4301051433</v>
      </c>
      <c r="D166" s="315" t="n">
        <v>4680115881587</v>
      </c>
      <c r="E166" s="636" t="n"/>
      <c r="F166" s="668" t="n">
        <v>1</v>
      </c>
      <c r="G166" s="38" t="n">
        <v>4</v>
      </c>
      <c r="H166" s="668" t="n">
        <v>4</v>
      </c>
      <c r="I166" s="668" t="n">
        <v>4.408</v>
      </c>
      <c r="J166" s="38" t="n">
        <v>104</v>
      </c>
      <c r="K166" s="39" t="inlineStr">
        <is>
          <t>СК2</t>
        </is>
      </c>
      <c r="L166" s="38" t="n">
        <v>35</v>
      </c>
      <c r="M166" s="760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66" s="670" t="n"/>
      <c r="O166" s="670" t="n"/>
      <c r="P166" s="670" t="n"/>
      <c r="Q166" s="636" t="n"/>
      <c r="R166" s="40" t="inlineStr"/>
      <c r="S166" s="40" t="inlineStr"/>
      <c r="T166" s="41" t="inlineStr">
        <is>
          <t>кг</t>
        </is>
      </c>
      <c r="U166" s="671" t="n">
        <v>0</v>
      </c>
      <c r="V166" s="672">
        <f>IFERROR(IF(U166="",0,CEILING((U166/$H166),1)*$H166),"")</f>
        <v/>
      </c>
      <c r="W166" s="42">
        <f>IFERROR(IF(V166=0,"",ROUNDUP(V166/H166,0)*0.01196),"")</f>
        <v/>
      </c>
      <c r="X166" s="69" t="inlineStr"/>
      <c r="Y166" s="70" t="inlineStr"/>
      <c r="AC166" s="71" t="n"/>
      <c r="AZ166" s="157" t="inlineStr">
        <is>
          <t>КИ</t>
        </is>
      </c>
    </row>
    <row r="167" ht="16.5" customHeight="1">
      <c r="A167" s="64" t="inlineStr">
        <is>
          <t>SU002795</t>
        </is>
      </c>
      <c r="B167" s="64" t="inlineStr">
        <is>
          <t>P003203</t>
        </is>
      </c>
      <c r="C167" s="37" t="n">
        <v>4301051380</v>
      </c>
      <c r="D167" s="315" t="n">
        <v>4680115880962</v>
      </c>
      <c r="E167" s="636" t="n"/>
      <c r="F167" s="668" t="n">
        <v>1.3</v>
      </c>
      <c r="G167" s="38" t="n">
        <v>6</v>
      </c>
      <c r="H167" s="668" t="n">
        <v>7.8</v>
      </c>
      <c r="I167" s="668" t="n">
        <v>8.364000000000001</v>
      </c>
      <c r="J167" s="38" t="n">
        <v>56</v>
      </c>
      <c r="K167" s="39" t="inlineStr">
        <is>
          <t>СК2</t>
        </is>
      </c>
      <c r="L167" s="38" t="n">
        <v>40</v>
      </c>
      <c r="M167" s="761">
        <f>HYPERLINK("https://abi.ru/products/Охлажденные/Стародворье/Сочинка/Сосиски/P003203/","Сосиски Сочинки с сыром Бордо Весовой п/а Стародворье")</f>
        <v/>
      </c>
      <c r="N167" s="670" t="n"/>
      <c r="O167" s="670" t="n"/>
      <c r="P167" s="670" t="n"/>
      <c r="Q167" s="636" t="n"/>
      <c r="R167" s="40" t="inlineStr"/>
      <c r="S167" s="40" t="inlineStr"/>
      <c r="T167" s="41" t="inlineStr">
        <is>
          <t>кг</t>
        </is>
      </c>
      <c r="U167" s="671" t="n">
        <v>0</v>
      </c>
      <c r="V167" s="672">
        <f>IFERROR(IF(U167="",0,CEILING((U167/$H167),1)*$H167),"")</f>
        <v/>
      </c>
      <c r="W167" s="42">
        <f>IFERROR(IF(V167=0,"",ROUNDUP(V167/H167,0)*0.02175),"")</f>
        <v/>
      </c>
      <c r="X167" s="69" t="inlineStr"/>
      <c r="Y167" s="70" t="inlineStr"/>
      <c r="AC167" s="71" t="n"/>
      <c r="AZ167" s="158" t="inlineStr">
        <is>
          <t>КИ</t>
        </is>
      </c>
    </row>
    <row r="168" ht="27" customHeight="1">
      <c r="A168" s="64" t="inlineStr">
        <is>
          <t>SU002845</t>
        </is>
      </c>
      <c r="B168" s="64" t="inlineStr">
        <is>
          <t>P003266</t>
        </is>
      </c>
      <c r="C168" s="37" t="n">
        <v>4301051411</v>
      </c>
      <c r="D168" s="315" t="n">
        <v>4680115881617</v>
      </c>
      <c r="E168" s="636" t="n"/>
      <c r="F168" s="668" t="n">
        <v>1.35</v>
      </c>
      <c r="G168" s="38" t="n">
        <v>6</v>
      </c>
      <c r="H168" s="668" t="n">
        <v>8.1</v>
      </c>
      <c r="I168" s="668" t="n">
        <v>8.646000000000001</v>
      </c>
      <c r="J168" s="38" t="n">
        <v>56</v>
      </c>
      <c r="K168" s="39" t="inlineStr">
        <is>
          <t>СК3</t>
        </is>
      </c>
      <c r="L168" s="38" t="n">
        <v>40</v>
      </c>
      <c r="M168" s="762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68" s="670" t="n"/>
      <c r="O168" s="670" t="n"/>
      <c r="P168" s="670" t="n"/>
      <c r="Q168" s="636" t="n"/>
      <c r="R168" s="40" t="inlineStr"/>
      <c r="S168" s="40" t="inlineStr"/>
      <c r="T168" s="41" t="inlineStr">
        <is>
          <t>кг</t>
        </is>
      </c>
      <c r="U168" s="671" t="n">
        <v>0</v>
      </c>
      <c r="V168" s="672">
        <f>IFERROR(IF(U168="",0,CEILING((U168/$H168),1)*$H168),"")</f>
        <v/>
      </c>
      <c r="W168" s="42">
        <f>IFERROR(IF(V168=0,"",ROUNDUP(V168/H168,0)*0.02175),"")</f>
        <v/>
      </c>
      <c r="X168" s="69" t="inlineStr"/>
      <c r="Y168" s="70" t="inlineStr"/>
      <c r="AC168" s="71" t="n"/>
      <c r="AZ168" s="159" t="inlineStr">
        <is>
          <t>КИ</t>
        </is>
      </c>
    </row>
    <row r="169" ht="27" customHeight="1">
      <c r="A169" s="64" t="inlineStr">
        <is>
          <t>SU002801</t>
        </is>
      </c>
      <c r="B169" s="64" t="inlineStr">
        <is>
          <t>P003200</t>
        </is>
      </c>
      <c r="C169" s="37" t="n">
        <v>4301051377</v>
      </c>
      <c r="D169" s="315" t="n">
        <v>4680115881228</v>
      </c>
      <c r="E169" s="636" t="n"/>
      <c r="F169" s="668" t="n">
        <v>0.4</v>
      </c>
      <c r="G169" s="38" t="n">
        <v>6</v>
      </c>
      <c r="H169" s="668" t="n">
        <v>2.4</v>
      </c>
      <c r="I169" s="668" t="n">
        <v>2.6</v>
      </c>
      <c r="J169" s="38" t="n">
        <v>156</v>
      </c>
      <c r="K169" s="39" t="inlineStr">
        <is>
          <t>СК2</t>
        </is>
      </c>
      <c r="L169" s="38" t="n">
        <v>35</v>
      </c>
      <c r="M169" s="763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/>
      </c>
      <c r="N169" s="670" t="n"/>
      <c r="O169" s="670" t="n"/>
      <c r="P169" s="670" t="n"/>
      <c r="Q169" s="636" t="n"/>
      <c r="R169" s="40" t="inlineStr"/>
      <c r="S169" s="40" t="inlineStr"/>
      <c r="T169" s="41" t="inlineStr">
        <is>
          <t>кг</t>
        </is>
      </c>
      <c r="U169" s="671" t="n">
        <v>0</v>
      </c>
      <c r="V169" s="672">
        <f>IFERROR(IF(U169="",0,CEILING((U169/$H169),1)*$H169),"")</f>
        <v/>
      </c>
      <c r="W169" s="42">
        <f>IFERROR(IF(V169=0,"",ROUNDUP(V169/H169,0)*0.00753),"")</f>
        <v/>
      </c>
      <c r="X169" s="69" t="inlineStr"/>
      <c r="Y169" s="70" t="inlineStr"/>
      <c r="AC169" s="71" t="n"/>
      <c r="AZ169" s="160" t="inlineStr">
        <is>
          <t>КИ</t>
        </is>
      </c>
    </row>
    <row r="170" ht="27" customHeight="1">
      <c r="A170" s="64" t="inlineStr">
        <is>
          <t>SU002802</t>
        </is>
      </c>
      <c r="B170" s="64" t="inlineStr">
        <is>
          <t>P003321</t>
        </is>
      </c>
      <c r="C170" s="37" t="n">
        <v>4301051432</v>
      </c>
      <c r="D170" s="315" t="n">
        <v>4680115881037</v>
      </c>
      <c r="E170" s="636" t="n"/>
      <c r="F170" s="668" t="n">
        <v>0.84</v>
      </c>
      <c r="G170" s="38" t="n">
        <v>4</v>
      </c>
      <c r="H170" s="668" t="n">
        <v>3.36</v>
      </c>
      <c r="I170" s="668" t="n">
        <v>3.618</v>
      </c>
      <c r="J170" s="38" t="n">
        <v>120</v>
      </c>
      <c r="K170" s="39" t="inlineStr">
        <is>
          <t>СК2</t>
        </is>
      </c>
      <c r="L170" s="38" t="n">
        <v>35</v>
      </c>
      <c r="M170" s="764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0" s="670" t="n"/>
      <c r="O170" s="670" t="n"/>
      <c r="P170" s="670" t="n"/>
      <c r="Q170" s="636" t="n"/>
      <c r="R170" s="40" t="inlineStr"/>
      <c r="S170" s="40" t="inlineStr"/>
      <c r="T170" s="41" t="inlineStr">
        <is>
          <t>кг</t>
        </is>
      </c>
      <c r="U170" s="671" t="n">
        <v>0</v>
      </c>
      <c r="V170" s="672">
        <f>IFERROR(IF(U170="",0,CEILING((U170/$H170),1)*$H170),"")</f>
        <v/>
      </c>
      <c r="W170" s="42">
        <f>IFERROR(IF(V170=0,"",ROUNDUP(V170/H170,0)*0.00937),"")</f>
        <v/>
      </c>
      <c r="X170" s="69" t="inlineStr"/>
      <c r="Y170" s="70" t="inlineStr"/>
      <c r="AC170" s="71" t="n"/>
      <c r="AZ170" s="161" t="inlineStr">
        <is>
          <t>КИ</t>
        </is>
      </c>
    </row>
    <row r="171" ht="27" customHeight="1">
      <c r="A171" s="64" t="inlineStr">
        <is>
          <t>SU002799</t>
        </is>
      </c>
      <c r="B171" s="64" t="inlineStr">
        <is>
          <t>P003217</t>
        </is>
      </c>
      <c r="C171" s="37" t="n">
        <v>4301051384</v>
      </c>
      <c r="D171" s="315" t="n">
        <v>4680115881211</v>
      </c>
      <c r="E171" s="636" t="n"/>
      <c r="F171" s="668" t="n">
        <v>0.4</v>
      </c>
      <c r="G171" s="38" t="n">
        <v>6</v>
      </c>
      <c r="H171" s="668" t="n">
        <v>2.4</v>
      </c>
      <c r="I171" s="668" t="n">
        <v>2.6</v>
      </c>
      <c r="J171" s="38" t="n">
        <v>156</v>
      </c>
      <c r="K171" s="39" t="inlineStr">
        <is>
          <t>СК2</t>
        </is>
      </c>
      <c r="L171" s="38" t="n">
        <v>45</v>
      </c>
      <c r="M171" s="765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71" s="670" t="n"/>
      <c r="O171" s="670" t="n"/>
      <c r="P171" s="670" t="n"/>
      <c r="Q171" s="636" t="n"/>
      <c r="R171" s="40" t="inlineStr"/>
      <c r="S171" s="40" t="inlineStr"/>
      <c r="T171" s="41" t="inlineStr">
        <is>
          <t>кг</t>
        </is>
      </c>
      <c r="U171" s="671" t="n">
        <v>0</v>
      </c>
      <c r="V171" s="672">
        <f>IFERROR(IF(U171="",0,CEILING((U171/$H171),1)*$H171),"")</f>
        <v/>
      </c>
      <c r="W171" s="42">
        <f>IFERROR(IF(V171=0,"",ROUNDUP(V171/H171,0)*0.00753),"")</f>
        <v/>
      </c>
      <c r="X171" s="69" t="inlineStr"/>
      <c r="Y171" s="70" t="inlineStr"/>
      <c r="AC171" s="71" t="n"/>
      <c r="AZ171" s="162" t="inlineStr">
        <is>
          <t>КИ</t>
        </is>
      </c>
    </row>
    <row r="172" ht="27" customHeight="1">
      <c r="A172" s="64" t="inlineStr">
        <is>
          <t>SU002800</t>
        </is>
      </c>
      <c r="B172" s="64" t="inlineStr">
        <is>
          <t>P003201</t>
        </is>
      </c>
      <c r="C172" s="37" t="n">
        <v>4301051378</v>
      </c>
      <c r="D172" s="315" t="n">
        <v>4680115881020</v>
      </c>
      <c r="E172" s="636" t="n"/>
      <c r="F172" s="668" t="n">
        <v>0.84</v>
      </c>
      <c r="G172" s="38" t="n">
        <v>4</v>
      </c>
      <c r="H172" s="668" t="n">
        <v>3.36</v>
      </c>
      <c r="I172" s="668" t="n">
        <v>3.57</v>
      </c>
      <c r="J172" s="38" t="n">
        <v>120</v>
      </c>
      <c r="K172" s="39" t="inlineStr">
        <is>
          <t>СК2</t>
        </is>
      </c>
      <c r="L172" s="38" t="n">
        <v>45</v>
      </c>
      <c r="M172" s="766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72" s="670" t="n"/>
      <c r="O172" s="670" t="n"/>
      <c r="P172" s="670" t="n"/>
      <c r="Q172" s="636" t="n"/>
      <c r="R172" s="40" t="inlineStr"/>
      <c r="S172" s="40" t="inlineStr"/>
      <c r="T172" s="41" t="inlineStr">
        <is>
          <t>кг</t>
        </is>
      </c>
      <c r="U172" s="671" t="n">
        <v>0</v>
      </c>
      <c r="V172" s="672">
        <f>IFERROR(IF(U172="",0,CEILING((U172/$H172),1)*$H172),"")</f>
        <v/>
      </c>
      <c r="W172" s="42">
        <f>IFERROR(IF(V172=0,"",ROUNDUP(V172/H172,0)*0.00937),"")</f>
        <v/>
      </c>
      <c r="X172" s="69" t="inlineStr"/>
      <c r="Y172" s="70" t="inlineStr"/>
      <c r="AC172" s="71" t="n"/>
      <c r="AZ172" s="163" t="inlineStr">
        <is>
          <t>КИ</t>
        </is>
      </c>
    </row>
    <row r="173" ht="27" customHeight="1">
      <c r="A173" s="64" t="inlineStr">
        <is>
          <t>SU002842</t>
        </is>
      </c>
      <c r="B173" s="64" t="inlineStr">
        <is>
          <t>P003262</t>
        </is>
      </c>
      <c r="C173" s="37" t="n">
        <v>4301051407</v>
      </c>
      <c r="D173" s="315" t="n">
        <v>4680115882195</v>
      </c>
      <c r="E173" s="636" t="n"/>
      <c r="F173" s="668" t="n">
        <v>0.4</v>
      </c>
      <c r="G173" s="38" t="n">
        <v>6</v>
      </c>
      <c r="H173" s="668" t="n">
        <v>2.4</v>
      </c>
      <c r="I173" s="668" t="n">
        <v>2.69</v>
      </c>
      <c r="J173" s="38" t="n">
        <v>156</v>
      </c>
      <c r="K173" s="39" t="inlineStr">
        <is>
          <t>СК3</t>
        </is>
      </c>
      <c r="L173" s="38" t="n">
        <v>40</v>
      </c>
      <c r="M173" s="767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73" s="670" t="n"/>
      <c r="O173" s="670" t="n"/>
      <c r="P173" s="670" t="n"/>
      <c r="Q173" s="636" t="n"/>
      <c r="R173" s="40" t="inlineStr"/>
      <c r="S173" s="40" t="inlineStr"/>
      <c r="T173" s="41" t="inlineStr">
        <is>
          <t>кг</t>
        </is>
      </c>
      <c r="U173" s="671" t="n">
        <v>0</v>
      </c>
      <c r="V173" s="672">
        <f>IFERROR(IF(U173="",0,CEILING((U173/$H173),1)*$H173),"")</f>
        <v/>
      </c>
      <c r="W173" s="42">
        <f>IFERROR(IF(V173=0,"",ROUNDUP(V173/H173,0)*0.00753),"")</f>
        <v/>
      </c>
      <c r="X173" s="69" t="inlineStr"/>
      <c r="Y173" s="70" t="inlineStr"/>
      <c r="AC173" s="71" t="n"/>
      <c r="AZ173" s="164" t="inlineStr">
        <is>
          <t>КИ</t>
        </is>
      </c>
    </row>
    <row r="174" ht="27" customHeight="1">
      <c r="A174" s="64" t="inlineStr">
        <is>
          <t>SU002992</t>
        </is>
      </c>
      <c r="B174" s="64" t="inlineStr">
        <is>
          <t>P003443</t>
        </is>
      </c>
      <c r="C174" s="37" t="n">
        <v>4301051479</v>
      </c>
      <c r="D174" s="315" t="n">
        <v>4680115882607</v>
      </c>
      <c r="E174" s="636" t="n"/>
      <c r="F174" s="668" t="n">
        <v>0.3</v>
      </c>
      <c r="G174" s="38" t="n">
        <v>6</v>
      </c>
      <c r="H174" s="668" t="n">
        <v>1.8</v>
      </c>
      <c r="I174" s="668" t="n">
        <v>2.072</v>
      </c>
      <c r="J174" s="38" t="n">
        <v>156</v>
      </c>
      <c r="K174" s="39" t="inlineStr">
        <is>
          <t>СК3</t>
        </is>
      </c>
      <c r="L174" s="38" t="n">
        <v>45</v>
      </c>
      <c r="M174" s="768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N174" s="670" t="n"/>
      <c r="O174" s="670" t="n"/>
      <c r="P174" s="670" t="n"/>
      <c r="Q174" s="636" t="n"/>
      <c r="R174" s="40" t="inlineStr"/>
      <c r="S174" s="40" t="inlineStr"/>
      <c r="T174" s="41" t="inlineStr">
        <is>
          <t>кг</t>
        </is>
      </c>
      <c r="U174" s="671" t="n">
        <v>0</v>
      </c>
      <c r="V174" s="672">
        <f>IFERROR(IF(U174="",0,CEILING((U174/$H174),1)*$H174),"")</f>
        <v/>
      </c>
      <c r="W174" s="42">
        <f>IFERROR(IF(V174=0,"",ROUNDUP(V174/H174,0)*0.00753),"")</f>
        <v/>
      </c>
      <c r="X174" s="69" t="inlineStr"/>
      <c r="Y174" s="70" t="inlineStr"/>
      <c r="AC174" s="71" t="n"/>
      <c r="AZ174" s="165" t="inlineStr">
        <is>
          <t>КИ</t>
        </is>
      </c>
    </row>
    <row r="175" ht="27" customHeight="1">
      <c r="A175" s="64" t="inlineStr">
        <is>
          <t>SU002618</t>
        </is>
      </c>
      <c r="B175" s="64" t="inlineStr">
        <is>
          <t>P003398</t>
        </is>
      </c>
      <c r="C175" s="37" t="n">
        <v>4301051468</v>
      </c>
      <c r="D175" s="315" t="n">
        <v>4680115880092</v>
      </c>
      <c r="E175" s="636" t="n"/>
      <c r="F175" s="668" t="n">
        <v>0.4</v>
      </c>
      <c r="G175" s="38" t="n">
        <v>6</v>
      </c>
      <c r="H175" s="668" t="n">
        <v>2.4</v>
      </c>
      <c r="I175" s="668" t="n">
        <v>2.672</v>
      </c>
      <c r="J175" s="38" t="n">
        <v>156</v>
      </c>
      <c r="K175" s="39" t="inlineStr">
        <is>
          <t>СК3</t>
        </is>
      </c>
      <c r="L175" s="38" t="n">
        <v>45</v>
      </c>
      <c r="M175" s="769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75" s="670" t="n"/>
      <c r="O175" s="670" t="n"/>
      <c r="P175" s="670" t="n"/>
      <c r="Q175" s="636" t="n"/>
      <c r="R175" s="40" t="inlineStr"/>
      <c r="S175" s="40" t="inlineStr"/>
      <c r="T175" s="41" t="inlineStr">
        <is>
          <t>кг</t>
        </is>
      </c>
      <c r="U175" s="671" t="n">
        <v>0</v>
      </c>
      <c r="V175" s="672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71" t="n"/>
      <c r="AZ175" s="166" t="inlineStr">
        <is>
          <t>КИ</t>
        </is>
      </c>
    </row>
    <row r="176" ht="27" customHeight="1">
      <c r="A176" s="64" t="inlineStr">
        <is>
          <t>SU002621</t>
        </is>
      </c>
      <c r="B176" s="64" t="inlineStr">
        <is>
          <t>P003399</t>
        </is>
      </c>
      <c r="C176" s="37" t="n">
        <v>4301051469</v>
      </c>
      <c r="D176" s="315" t="n">
        <v>4680115880221</v>
      </c>
      <c r="E176" s="636" t="n"/>
      <c r="F176" s="668" t="n">
        <v>0.4</v>
      </c>
      <c r="G176" s="38" t="n">
        <v>6</v>
      </c>
      <c r="H176" s="668" t="n">
        <v>2.4</v>
      </c>
      <c r="I176" s="668" t="n">
        <v>2.672</v>
      </c>
      <c r="J176" s="38" t="n">
        <v>156</v>
      </c>
      <c r="K176" s="39" t="inlineStr">
        <is>
          <t>СК3</t>
        </is>
      </c>
      <c r="L176" s="38" t="n">
        <v>45</v>
      </c>
      <c r="M176" s="770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76" s="670" t="n"/>
      <c r="O176" s="670" t="n"/>
      <c r="P176" s="670" t="n"/>
      <c r="Q176" s="636" t="n"/>
      <c r="R176" s="40" t="inlineStr"/>
      <c r="S176" s="40" t="inlineStr"/>
      <c r="T176" s="41" t="inlineStr">
        <is>
          <t>кг</t>
        </is>
      </c>
      <c r="U176" s="671" t="n">
        <v>0</v>
      </c>
      <c r="V176" s="672">
        <f>IFERROR(IF(U176="",0,CEILING((U176/$H176),1)*$H176),"")</f>
        <v/>
      </c>
      <c r="W176" s="42">
        <f>IFERROR(IF(V176=0,"",ROUNDUP(V176/H176,0)*0.00753),"")</f>
        <v/>
      </c>
      <c r="X176" s="69" t="inlineStr"/>
      <c r="Y176" s="70" t="inlineStr"/>
      <c r="AC176" s="71" t="n"/>
      <c r="AZ176" s="167" t="inlineStr">
        <is>
          <t>КИ</t>
        </is>
      </c>
    </row>
    <row r="177" ht="16.5" customHeight="1">
      <c r="A177" s="64" t="inlineStr">
        <is>
          <t>SU003073</t>
        </is>
      </c>
      <c r="B177" s="64" t="inlineStr">
        <is>
          <t>P003613</t>
        </is>
      </c>
      <c r="C177" s="37" t="n">
        <v>4301051523</v>
      </c>
      <c r="D177" s="315" t="n">
        <v>4680115882942</v>
      </c>
      <c r="E177" s="636" t="n"/>
      <c r="F177" s="668" t="n">
        <v>0.3</v>
      </c>
      <c r="G177" s="38" t="n">
        <v>6</v>
      </c>
      <c r="H177" s="668" t="n">
        <v>1.8</v>
      </c>
      <c r="I177" s="668" t="n">
        <v>2.072</v>
      </c>
      <c r="J177" s="38" t="n">
        <v>156</v>
      </c>
      <c r="K177" s="39" t="inlineStr">
        <is>
          <t>СК2</t>
        </is>
      </c>
      <c r="L177" s="38" t="n">
        <v>40</v>
      </c>
      <c r="M177" s="771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77" s="670" t="n"/>
      <c r="O177" s="670" t="n"/>
      <c r="P177" s="670" t="n"/>
      <c r="Q177" s="636" t="n"/>
      <c r="R177" s="40" t="inlineStr"/>
      <c r="S177" s="40" t="inlineStr"/>
      <c r="T177" s="41" t="inlineStr">
        <is>
          <t>кг</t>
        </is>
      </c>
      <c r="U177" s="671" t="n">
        <v>0</v>
      </c>
      <c r="V177" s="672">
        <f>IFERROR(IF(U177="",0,CEILING((U177/$H177),1)*$H177),"")</f>
        <v/>
      </c>
      <c r="W177" s="42">
        <f>IFERROR(IF(V177=0,"",ROUNDUP(V177/H177,0)*0.00753),"")</f>
        <v/>
      </c>
      <c r="X177" s="69" t="inlineStr"/>
      <c r="Y177" s="70" t="inlineStr"/>
      <c r="AC177" s="71" t="n"/>
      <c r="AZ177" s="168" t="inlineStr">
        <is>
          <t>КИ</t>
        </is>
      </c>
    </row>
    <row r="178" ht="16.5" customHeight="1">
      <c r="A178" s="64" t="inlineStr">
        <is>
          <t>SU002686</t>
        </is>
      </c>
      <c r="B178" s="64" t="inlineStr">
        <is>
          <t>P003071</t>
        </is>
      </c>
      <c r="C178" s="37" t="n">
        <v>4301051326</v>
      </c>
      <c r="D178" s="315" t="n">
        <v>4680115880504</v>
      </c>
      <c r="E178" s="636" t="n"/>
      <c r="F178" s="668" t="n">
        <v>0.4</v>
      </c>
      <c r="G178" s="38" t="n">
        <v>6</v>
      </c>
      <c r="H178" s="668" t="n">
        <v>2.4</v>
      </c>
      <c r="I178" s="668" t="n">
        <v>2.672</v>
      </c>
      <c r="J178" s="38" t="n">
        <v>156</v>
      </c>
      <c r="K178" s="39" t="inlineStr">
        <is>
          <t>СК2</t>
        </is>
      </c>
      <c r="L178" s="38" t="n">
        <v>40</v>
      </c>
      <c r="M178" s="772">
        <f>HYPERLINK("https://abi.ru/products/Охлажденные/Стародворье/Сочинка/Сосиски/P003071/","Сосиски Сочинки с сыром Бордо ф/в 0,4 кг п/а Стародворье")</f>
        <v/>
      </c>
      <c r="N178" s="670" t="n"/>
      <c r="O178" s="670" t="n"/>
      <c r="P178" s="670" t="n"/>
      <c r="Q178" s="636" t="n"/>
      <c r="R178" s="40" t="inlineStr"/>
      <c r="S178" s="40" t="inlineStr"/>
      <c r="T178" s="41" t="inlineStr">
        <is>
          <t>кг</t>
        </is>
      </c>
      <c r="U178" s="671" t="n">
        <v>0</v>
      </c>
      <c r="V178" s="672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71" t="n"/>
      <c r="AZ178" s="169" t="inlineStr">
        <is>
          <t>КИ</t>
        </is>
      </c>
    </row>
    <row r="179" ht="27" customHeight="1">
      <c r="A179" s="64" t="inlineStr">
        <is>
          <t>SU002844</t>
        </is>
      </c>
      <c r="B179" s="64" t="inlineStr">
        <is>
          <t>P003265</t>
        </is>
      </c>
      <c r="C179" s="37" t="n">
        <v>4301051410</v>
      </c>
      <c r="D179" s="315" t="n">
        <v>4680115882164</v>
      </c>
      <c r="E179" s="636" t="n"/>
      <c r="F179" s="668" t="n">
        <v>0.4</v>
      </c>
      <c r="G179" s="38" t="n">
        <v>6</v>
      </c>
      <c r="H179" s="668" t="n">
        <v>2.4</v>
      </c>
      <c r="I179" s="668" t="n">
        <v>2.678</v>
      </c>
      <c r="J179" s="38" t="n">
        <v>156</v>
      </c>
      <c r="K179" s="39" t="inlineStr">
        <is>
          <t>СК3</t>
        </is>
      </c>
      <c r="L179" s="38" t="n">
        <v>40</v>
      </c>
      <c r="M179" s="773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79" s="670" t="n"/>
      <c r="O179" s="670" t="n"/>
      <c r="P179" s="670" t="n"/>
      <c r="Q179" s="636" t="n"/>
      <c r="R179" s="40" t="inlineStr"/>
      <c r="S179" s="40" t="inlineStr"/>
      <c r="T179" s="41" t="inlineStr">
        <is>
          <t>кг</t>
        </is>
      </c>
      <c r="U179" s="671" t="n">
        <v>0</v>
      </c>
      <c r="V179" s="672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71" t="n"/>
      <c r="AZ179" s="170" t="inlineStr">
        <is>
          <t>КИ</t>
        </is>
      </c>
    </row>
    <row r="180">
      <c r="A180" s="323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673" t="n"/>
      <c r="M180" s="674" t="inlineStr">
        <is>
          <t>Итого</t>
        </is>
      </c>
      <c r="N180" s="644" t="n"/>
      <c r="O180" s="644" t="n"/>
      <c r="P180" s="644" t="n"/>
      <c r="Q180" s="644" t="n"/>
      <c r="R180" s="644" t="n"/>
      <c r="S180" s="645" t="n"/>
      <c r="T180" s="43" t="inlineStr">
        <is>
          <t>кор</t>
        </is>
      </c>
      <c r="U180" s="675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/>
      </c>
      <c r="V180" s="675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/>
      </c>
      <c r="W180" s="675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/>
      </c>
      <c r="X180" s="676" t="n"/>
      <c r="Y180" s="676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673" t="n"/>
      <c r="M181" s="674" t="inlineStr">
        <is>
          <t>Итого</t>
        </is>
      </c>
      <c r="N181" s="644" t="n"/>
      <c r="O181" s="644" t="n"/>
      <c r="P181" s="644" t="n"/>
      <c r="Q181" s="644" t="n"/>
      <c r="R181" s="644" t="n"/>
      <c r="S181" s="645" t="n"/>
      <c r="T181" s="43" t="inlineStr">
        <is>
          <t>кг</t>
        </is>
      </c>
      <c r="U181" s="675">
        <f>IFERROR(SUM(U163:U179),"0")</f>
        <v/>
      </c>
      <c r="V181" s="675">
        <f>IFERROR(SUM(V163:V179),"0")</f>
        <v/>
      </c>
      <c r="W181" s="43" t="n"/>
      <c r="X181" s="676" t="n"/>
      <c r="Y181" s="676" t="n"/>
    </row>
    <row r="182" ht="14.25" customHeight="1">
      <c r="A182" s="331" t="inlineStr">
        <is>
          <t>Сардельки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331" t="n"/>
      <c r="Y182" s="331" t="n"/>
    </row>
    <row r="183" ht="16.5" customHeight="1">
      <c r="A183" s="64" t="inlineStr">
        <is>
          <t>SU002758</t>
        </is>
      </c>
      <c r="B183" s="64" t="inlineStr">
        <is>
          <t>P003129</t>
        </is>
      </c>
      <c r="C183" s="37" t="n">
        <v>4301060338</v>
      </c>
      <c r="D183" s="315" t="n">
        <v>4680115880801</v>
      </c>
      <c r="E183" s="636" t="n"/>
      <c r="F183" s="668" t="n">
        <v>0.4</v>
      </c>
      <c r="G183" s="38" t="n">
        <v>6</v>
      </c>
      <c r="H183" s="668" t="n">
        <v>2.4</v>
      </c>
      <c r="I183" s="668" t="n">
        <v>2.672</v>
      </c>
      <c r="J183" s="38" t="n">
        <v>156</v>
      </c>
      <c r="K183" s="39" t="inlineStr">
        <is>
          <t>СК2</t>
        </is>
      </c>
      <c r="L183" s="38" t="n">
        <v>40</v>
      </c>
      <c r="M183" s="774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3" s="670" t="n"/>
      <c r="O183" s="670" t="n"/>
      <c r="P183" s="670" t="n"/>
      <c r="Q183" s="636" t="n"/>
      <c r="R183" s="40" t="inlineStr"/>
      <c r="S183" s="40" t="inlineStr"/>
      <c r="T183" s="41" t="inlineStr">
        <is>
          <t>кг</t>
        </is>
      </c>
      <c r="U183" s="671" t="n">
        <v>0</v>
      </c>
      <c r="V183" s="672">
        <f>IFERROR(IF(U183="",0,CEILING((U183/$H183),1)*$H183),"")</f>
        <v/>
      </c>
      <c r="W183" s="42">
        <f>IFERROR(IF(V183=0,"",ROUNDUP(V183/H183,0)*0.00753),"")</f>
        <v/>
      </c>
      <c r="X183" s="69" t="inlineStr"/>
      <c r="Y183" s="70" t="inlineStr"/>
      <c r="AC183" s="71" t="n"/>
      <c r="AZ183" s="171" t="inlineStr">
        <is>
          <t>КИ</t>
        </is>
      </c>
    </row>
    <row r="184" ht="27" customHeight="1">
      <c r="A184" s="64" t="inlineStr">
        <is>
          <t>SU002759</t>
        </is>
      </c>
      <c r="B184" s="64" t="inlineStr">
        <is>
          <t>P003130</t>
        </is>
      </c>
      <c r="C184" s="37" t="n">
        <v>4301060339</v>
      </c>
      <c r="D184" s="315" t="n">
        <v>4680115880818</v>
      </c>
      <c r="E184" s="636" t="n"/>
      <c r="F184" s="668" t="n">
        <v>0.4</v>
      </c>
      <c r="G184" s="38" t="n">
        <v>6</v>
      </c>
      <c r="H184" s="668" t="n">
        <v>2.4</v>
      </c>
      <c r="I184" s="668" t="n">
        <v>2.672</v>
      </c>
      <c r="J184" s="38" t="n">
        <v>156</v>
      </c>
      <c r="K184" s="39" t="inlineStr">
        <is>
          <t>СК2</t>
        </is>
      </c>
      <c r="L184" s="38" t="n">
        <v>40</v>
      </c>
      <c r="M184" s="775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84" s="670" t="n"/>
      <c r="O184" s="670" t="n"/>
      <c r="P184" s="670" t="n"/>
      <c r="Q184" s="636" t="n"/>
      <c r="R184" s="40" t="inlineStr"/>
      <c r="S184" s="40" t="inlineStr"/>
      <c r="T184" s="41" t="inlineStr">
        <is>
          <t>кг</t>
        </is>
      </c>
      <c r="U184" s="671" t="n">
        <v>0</v>
      </c>
      <c r="V184" s="672">
        <f>IFERROR(IF(U184="",0,CEILING((U184/$H184),1)*$H184),"")</f>
        <v/>
      </c>
      <c r="W184" s="42">
        <f>IFERROR(IF(V184=0,"",ROUNDUP(V184/H184,0)*0.00753),"")</f>
        <v/>
      </c>
      <c r="X184" s="69" t="inlineStr"/>
      <c r="Y184" s="70" t="inlineStr"/>
      <c r="AC184" s="71" t="n"/>
      <c r="AZ184" s="172" t="inlineStr">
        <is>
          <t>КИ</t>
        </is>
      </c>
    </row>
    <row r="185">
      <c r="A185" s="323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673" t="n"/>
      <c r="M185" s="674" t="inlineStr">
        <is>
          <t>Итого</t>
        </is>
      </c>
      <c r="N185" s="644" t="n"/>
      <c r="O185" s="644" t="n"/>
      <c r="P185" s="644" t="n"/>
      <c r="Q185" s="644" t="n"/>
      <c r="R185" s="644" t="n"/>
      <c r="S185" s="645" t="n"/>
      <c r="T185" s="43" t="inlineStr">
        <is>
          <t>кор</t>
        </is>
      </c>
      <c r="U185" s="675">
        <f>IFERROR(U183/H183,"0")+IFERROR(U184/H184,"0")</f>
        <v/>
      </c>
      <c r="V185" s="675">
        <f>IFERROR(V183/H183,"0")+IFERROR(V184/H184,"0")</f>
        <v/>
      </c>
      <c r="W185" s="675">
        <f>IFERROR(IF(W183="",0,W183),"0")+IFERROR(IF(W184="",0,W184),"0")</f>
        <v/>
      </c>
      <c r="X185" s="676" t="n"/>
      <c r="Y185" s="676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673" t="n"/>
      <c r="M186" s="674" t="inlineStr">
        <is>
          <t>Итого</t>
        </is>
      </c>
      <c r="N186" s="644" t="n"/>
      <c r="O186" s="644" t="n"/>
      <c r="P186" s="644" t="n"/>
      <c r="Q186" s="644" t="n"/>
      <c r="R186" s="644" t="n"/>
      <c r="S186" s="645" t="n"/>
      <c r="T186" s="43" t="inlineStr">
        <is>
          <t>кг</t>
        </is>
      </c>
      <c r="U186" s="675">
        <f>IFERROR(SUM(U183:U184),"0")</f>
        <v/>
      </c>
      <c r="V186" s="675">
        <f>IFERROR(SUM(V183:V184),"0")</f>
        <v/>
      </c>
      <c r="W186" s="43" t="n"/>
      <c r="X186" s="676" t="n"/>
      <c r="Y186" s="676" t="n"/>
    </row>
    <row r="187" ht="16.5" customHeight="1">
      <c r="A187" s="330" t="inlineStr">
        <is>
          <t>Бордо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330" t="n"/>
      <c r="Y187" s="330" t="n"/>
    </row>
    <row r="188" ht="14.25" customHeight="1">
      <c r="A188" s="331" t="inlineStr">
        <is>
          <t>Вареные колбасы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331" t="n"/>
      <c r="Y188" s="331" t="n"/>
    </row>
    <row r="189" ht="27" customHeight="1">
      <c r="A189" s="64" t="inlineStr">
        <is>
          <t>SU000057</t>
        </is>
      </c>
      <c r="B189" s="64" t="inlineStr">
        <is>
          <t>P002047</t>
        </is>
      </c>
      <c r="C189" s="37" t="n">
        <v>4301011346</v>
      </c>
      <c r="D189" s="315" t="n">
        <v>4607091387445</v>
      </c>
      <c r="E189" s="636" t="n"/>
      <c r="F189" s="668" t="n">
        <v>0.9</v>
      </c>
      <c r="G189" s="38" t="n">
        <v>10</v>
      </c>
      <c r="H189" s="668" t="n">
        <v>9</v>
      </c>
      <c r="I189" s="668" t="n">
        <v>9.630000000000001</v>
      </c>
      <c r="J189" s="38" t="n">
        <v>56</v>
      </c>
      <c r="K189" s="39" t="inlineStr">
        <is>
          <t>СК1</t>
        </is>
      </c>
      <c r="L189" s="38" t="n">
        <v>31</v>
      </c>
      <c r="M189" s="776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89" s="670" t="n"/>
      <c r="O189" s="670" t="n"/>
      <c r="P189" s="670" t="n"/>
      <c r="Q189" s="636" t="n"/>
      <c r="R189" s="40" t="inlineStr"/>
      <c r="S189" s="40" t="inlineStr"/>
      <c r="T189" s="41" t="inlineStr">
        <is>
          <t>кг</t>
        </is>
      </c>
      <c r="U189" s="671" t="n">
        <v>0</v>
      </c>
      <c r="V189" s="672">
        <f>IFERROR(IF(U189="",0,CEILING((U189/$H189),1)*$H189),"")</f>
        <v/>
      </c>
      <c r="W189" s="42">
        <f>IFERROR(IF(V189=0,"",ROUNDUP(V189/H189,0)*0.02175),"")</f>
        <v/>
      </c>
      <c r="X189" s="69" t="inlineStr"/>
      <c r="Y189" s="70" t="inlineStr"/>
      <c r="AC189" s="71" t="n"/>
      <c r="AZ189" s="173" t="inlineStr">
        <is>
          <t>КИ</t>
        </is>
      </c>
    </row>
    <row r="190" ht="27" customHeight="1">
      <c r="A190" s="64" t="inlineStr">
        <is>
          <t>SU001777</t>
        </is>
      </c>
      <c r="B190" s="64" t="inlineStr">
        <is>
          <t>P002226</t>
        </is>
      </c>
      <c r="C190" s="37" t="n">
        <v>4301011362</v>
      </c>
      <c r="D190" s="315" t="n">
        <v>4607091386004</v>
      </c>
      <c r="E190" s="636" t="n"/>
      <c r="F190" s="668" t="n">
        <v>1.35</v>
      </c>
      <c r="G190" s="38" t="n">
        <v>8</v>
      </c>
      <c r="H190" s="668" t="n">
        <v>10.8</v>
      </c>
      <c r="I190" s="668" t="n">
        <v>11.28</v>
      </c>
      <c r="J190" s="38" t="n">
        <v>48</v>
      </c>
      <c r="K190" s="39" t="inlineStr">
        <is>
          <t>ВЗ</t>
        </is>
      </c>
      <c r="L190" s="38" t="n">
        <v>55</v>
      </c>
      <c r="M190" s="777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0" s="670" t="n"/>
      <c r="O190" s="670" t="n"/>
      <c r="P190" s="670" t="n"/>
      <c r="Q190" s="636" t="n"/>
      <c r="R190" s="40" t="inlineStr"/>
      <c r="S190" s="40" t="inlineStr"/>
      <c r="T190" s="41" t="inlineStr">
        <is>
          <t>кг</t>
        </is>
      </c>
      <c r="U190" s="671" t="n">
        <v>0</v>
      </c>
      <c r="V190" s="672">
        <f>IFERROR(IF(U190="",0,CEILING((U190/$H190),1)*$H190),"")</f>
        <v/>
      </c>
      <c r="W190" s="42">
        <f>IFERROR(IF(V190=0,"",ROUNDUP(V190/H190,0)*0.02039),"")</f>
        <v/>
      </c>
      <c r="X190" s="69" t="inlineStr"/>
      <c r="Y190" s="70" t="inlineStr"/>
      <c r="AC190" s="71" t="n"/>
      <c r="AZ190" s="174" t="inlineStr">
        <is>
          <t>КИ</t>
        </is>
      </c>
    </row>
    <row r="191" ht="27" customHeight="1">
      <c r="A191" s="64" t="inlineStr">
        <is>
          <t>SU001777</t>
        </is>
      </c>
      <c r="B191" s="64" t="inlineStr">
        <is>
          <t>P001777</t>
        </is>
      </c>
      <c r="C191" s="37" t="n">
        <v>4301011308</v>
      </c>
      <c r="D191" s="315" t="n">
        <v>4607091386004</v>
      </c>
      <c r="E191" s="636" t="n"/>
      <c r="F191" s="668" t="n">
        <v>1.35</v>
      </c>
      <c r="G191" s="38" t="n">
        <v>8</v>
      </c>
      <c r="H191" s="668" t="n">
        <v>10.8</v>
      </c>
      <c r="I191" s="668" t="n">
        <v>11.28</v>
      </c>
      <c r="J191" s="38" t="n">
        <v>56</v>
      </c>
      <c r="K191" s="39" t="inlineStr">
        <is>
          <t>СК1</t>
        </is>
      </c>
      <c r="L191" s="38" t="n">
        <v>55</v>
      </c>
      <c r="M191" s="778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1" s="670" t="n"/>
      <c r="O191" s="670" t="n"/>
      <c r="P191" s="670" t="n"/>
      <c r="Q191" s="636" t="n"/>
      <c r="R191" s="40" t="inlineStr"/>
      <c r="S191" s="40" t="inlineStr"/>
      <c r="T191" s="41" t="inlineStr">
        <is>
          <t>кг</t>
        </is>
      </c>
      <c r="U191" s="671" t="n">
        <v>0</v>
      </c>
      <c r="V191" s="672">
        <f>IFERROR(IF(U191="",0,CEILING((U191/$H191),1)*$H191),"")</f>
        <v/>
      </c>
      <c r="W191" s="42">
        <f>IFERROR(IF(V191=0,"",ROUNDUP(V191/H191,0)*0.02175),"")</f>
        <v/>
      </c>
      <c r="X191" s="69" t="inlineStr"/>
      <c r="Y191" s="70" t="inlineStr"/>
      <c r="AC191" s="71" t="n"/>
      <c r="AZ191" s="175" t="inlineStr">
        <is>
          <t>КИ</t>
        </is>
      </c>
    </row>
    <row r="192" ht="27" customHeight="1">
      <c r="A192" s="64" t="inlineStr">
        <is>
          <t>SU000058</t>
        </is>
      </c>
      <c r="B192" s="64" t="inlineStr">
        <is>
          <t>P002048</t>
        </is>
      </c>
      <c r="C192" s="37" t="n">
        <v>4301011347</v>
      </c>
      <c r="D192" s="315" t="n">
        <v>4607091386073</v>
      </c>
      <c r="E192" s="636" t="n"/>
      <c r="F192" s="668" t="n">
        <v>0.9</v>
      </c>
      <c r="G192" s="38" t="n">
        <v>10</v>
      </c>
      <c r="H192" s="668" t="n">
        <v>9</v>
      </c>
      <c r="I192" s="668" t="n">
        <v>9.630000000000001</v>
      </c>
      <c r="J192" s="38" t="n">
        <v>56</v>
      </c>
      <c r="K192" s="39" t="inlineStr">
        <is>
          <t>СК1</t>
        </is>
      </c>
      <c r="L192" s="38" t="n">
        <v>31</v>
      </c>
      <c r="M192" s="779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2" s="670" t="n"/>
      <c r="O192" s="670" t="n"/>
      <c r="P192" s="670" t="n"/>
      <c r="Q192" s="636" t="n"/>
      <c r="R192" s="40" t="inlineStr"/>
      <c r="S192" s="40" t="inlineStr"/>
      <c r="T192" s="41" t="inlineStr">
        <is>
          <t>кг</t>
        </is>
      </c>
      <c r="U192" s="671" t="n">
        <v>0</v>
      </c>
      <c r="V192" s="672">
        <f>IFERROR(IF(U192="",0,CEILING((U192/$H192),1)*$H192),"")</f>
        <v/>
      </c>
      <c r="W192" s="42">
        <f>IFERROR(IF(V192=0,"",ROUNDUP(V192/H192,0)*0.02175),"")</f>
        <v/>
      </c>
      <c r="X192" s="69" t="inlineStr"/>
      <c r="Y192" s="70" t="inlineStr"/>
      <c r="AC192" s="71" t="n"/>
      <c r="AZ192" s="176" t="inlineStr">
        <is>
          <t>КИ</t>
        </is>
      </c>
    </row>
    <row r="193" ht="27" customHeight="1">
      <c r="A193" s="64" t="inlineStr">
        <is>
          <t>SU001780</t>
        </is>
      </c>
      <c r="B193" s="64" t="inlineStr">
        <is>
          <t>P003075</t>
        </is>
      </c>
      <c r="C193" s="37" t="n">
        <v>4301011395</v>
      </c>
      <c r="D193" s="315" t="n">
        <v>4607091387322</v>
      </c>
      <c r="E193" s="636" t="n"/>
      <c r="F193" s="668" t="n">
        <v>1.35</v>
      </c>
      <c r="G193" s="38" t="n">
        <v>8</v>
      </c>
      <c r="H193" s="668" t="n">
        <v>10.8</v>
      </c>
      <c r="I193" s="668" t="n">
        <v>11.28</v>
      </c>
      <c r="J193" s="38" t="n">
        <v>48</v>
      </c>
      <c r="K193" s="39" t="inlineStr">
        <is>
          <t>ВЗ</t>
        </is>
      </c>
      <c r="L193" s="38" t="n">
        <v>55</v>
      </c>
      <c r="M193" s="780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3" s="670" t="n"/>
      <c r="O193" s="670" t="n"/>
      <c r="P193" s="670" t="n"/>
      <c r="Q193" s="636" t="n"/>
      <c r="R193" s="40" t="inlineStr"/>
      <c r="S193" s="40" t="inlineStr"/>
      <c r="T193" s="41" t="inlineStr">
        <is>
          <t>кг</t>
        </is>
      </c>
      <c r="U193" s="671" t="n">
        <v>0</v>
      </c>
      <c r="V193" s="672">
        <f>IFERROR(IF(U193="",0,CEILING((U193/$H193),1)*$H193),"")</f>
        <v/>
      </c>
      <c r="W193" s="42">
        <f>IFERROR(IF(V193=0,"",ROUNDUP(V193/H193,0)*0.02039),"")</f>
        <v/>
      </c>
      <c r="X193" s="69" t="inlineStr"/>
      <c r="Y193" s="70" t="inlineStr"/>
      <c r="AC193" s="71" t="n"/>
      <c r="AZ193" s="177" t="inlineStr">
        <is>
          <t>КИ</t>
        </is>
      </c>
    </row>
    <row r="194" ht="27" customHeight="1">
      <c r="A194" s="64" t="inlineStr">
        <is>
          <t>SU001780</t>
        </is>
      </c>
      <c r="B194" s="64" t="inlineStr">
        <is>
          <t>P001780</t>
        </is>
      </c>
      <c r="C194" s="37" t="n">
        <v>4301010928</v>
      </c>
      <c r="D194" s="315" t="n">
        <v>4607091387322</v>
      </c>
      <c r="E194" s="636" t="n"/>
      <c r="F194" s="668" t="n">
        <v>1.35</v>
      </c>
      <c r="G194" s="38" t="n">
        <v>8</v>
      </c>
      <c r="H194" s="668" t="n">
        <v>10.8</v>
      </c>
      <c r="I194" s="668" t="n">
        <v>11.28</v>
      </c>
      <c r="J194" s="38" t="n">
        <v>56</v>
      </c>
      <c r="K194" s="39" t="inlineStr">
        <is>
          <t>СК1</t>
        </is>
      </c>
      <c r="L194" s="38" t="n">
        <v>55</v>
      </c>
      <c r="M194" s="781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4" s="670" t="n"/>
      <c r="O194" s="670" t="n"/>
      <c r="P194" s="670" t="n"/>
      <c r="Q194" s="636" t="n"/>
      <c r="R194" s="40" t="inlineStr"/>
      <c r="S194" s="40" t="inlineStr"/>
      <c r="T194" s="41" t="inlineStr">
        <is>
          <t>кг</t>
        </is>
      </c>
      <c r="U194" s="671" t="n">
        <v>0</v>
      </c>
      <c r="V194" s="672">
        <f>IFERROR(IF(U194="",0,CEILING((U194/$H194),1)*$H194),"")</f>
        <v/>
      </c>
      <c r="W194" s="42">
        <f>IFERROR(IF(V194=0,"",ROUNDUP(V194/H194,0)*0.02175),"")</f>
        <v/>
      </c>
      <c r="X194" s="69" t="inlineStr"/>
      <c r="Y194" s="70" t="inlineStr"/>
      <c r="AC194" s="71" t="n"/>
      <c r="AZ194" s="178" t="inlineStr">
        <is>
          <t>КИ</t>
        </is>
      </c>
    </row>
    <row r="195" ht="27" customHeight="1">
      <c r="A195" s="64" t="inlineStr">
        <is>
          <t>SU001778</t>
        </is>
      </c>
      <c r="B195" s="64" t="inlineStr">
        <is>
          <t>P001778</t>
        </is>
      </c>
      <c r="C195" s="37" t="n">
        <v>4301011311</v>
      </c>
      <c r="D195" s="315" t="n">
        <v>4607091387377</v>
      </c>
      <c r="E195" s="636" t="n"/>
      <c r="F195" s="668" t="n">
        <v>1.35</v>
      </c>
      <c r="G195" s="38" t="n">
        <v>8</v>
      </c>
      <c r="H195" s="668" t="n">
        <v>10.8</v>
      </c>
      <c r="I195" s="668" t="n">
        <v>11.28</v>
      </c>
      <c r="J195" s="38" t="n">
        <v>56</v>
      </c>
      <c r="K195" s="39" t="inlineStr">
        <is>
          <t>СК1</t>
        </is>
      </c>
      <c r="L195" s="38" t="n">
        <v>55</v>
      </c>
      <c r="M195" s="782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5" s="670" t="n"/>
      <c r="O195" s="670" t="n"/>
      <c r="P195" s="670" t="n"/>
      <c r="Q195" s="636" t="n"/>
      <c r="R195" s="40" t="inlineStr"/>
      <c r="S195" s="40" t="inlineStr"/>
      <c r="T195" s="41" t="inlineStr">
        <is>
          <t>кг</t>
        </is>
      </c>
      <c r="U195" s="671" t="n">
        <v>0</v>
      </c>
      <c r="V195" s="672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71" t="n"/>
      <c r="AZ195" s="179" t="inlineStr">
        <is>
          <t>КИ</t>
        </is>
      </c>
    </row>
    <row r="196" ht="27" customHeight="1">
      <c r="A196" s="64" t="inlineStr">
        <is>
          <t>SU000043</t>
        </is>
      </c>
      <c r="B196" s="64" t="inlineStr">
        <is>
          <t>P001807</t>
        </is>
      </c>
      <c r="C196" s="37" t="n">
        <v>4301010945</v>
      </c>
      <c r="D196" s="315" t="n">
        <v>4607091387353</v>
      </c>
      <c r="E196" s="636" t="n"/>
      <c r="F196" s="668" t="n">
        <v>1.35</v>
      </c>
      <c r="G196" s="38" t="n">
        <v>8</v>
      </c>
      <c r="H196" s="668" t="n">
        <v>10.8</v>
      </c>
      <c r="I196" s="668" t="n">
        <v>11.28</v>
      </c>
      <c r="J196" s="38" t="n">
        <v>56</v>
      </c>
      <c r="K196" s="39" t="inlineStr">
        <is>
          <t>СК1</t>
        </is>
      </c>
      <c r="L196" s="38" t="n">
        <v>55</v>
      </c>
      <c r="M196" s="783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96" s="670" t="n"/>
      <c r="O196" s="670" t="n"/>
      <c r="P196" s="670" t="n"/>
      <c r="Q196" s="636" t="n"/>
      <c r="R196" s="40" t="inlineStr"/>
      <c r="S196" s="40" t="inlineStr"/>
      <c r="T196" s="41" t="inlineStr">
        <is>
          <t>кг</t>
        </is>
      </c>
      <c r="U196" s="671" t="n">
        <v>0</v>
      </c>
      <c r="V196" s="672">
        <f>IFERROR(IF(U196="",0,CEILING((U196/$H196),1)*$H196),"")</f>
        <v/>
      </c>
      <c r="W196" s="42">
        <f>IFERROR(IF(V196=0,"",ROUNDUP(V196/H196,0)*0.02175),"")</f>
        <v/>
      </c>
      <c r="X196" s="69" t="inlineStr"/>
      <c r="Y196" s="70" t="inlineStr"/>
      <c r="AC196" s="71" t="n"/>
      <c r="AZ196" s="180" t="inlineStr">
        <is>
          <t>КИ</t>
        </is>
      </c>
    </row>
    <row r="197" ht="27" customHeight="1">
      <c r="A197" s="64" t="inlineStr">
        <is>
          <t>SU001800</t>
        </is>
      </c>
      <c r="B197" s="64" t="inlineStr">
        <is>
          <t>P001800</t>
        </is>
      </c>
      <c r="C197" s="37" t="n">
        <v>4301011328</v>
      </c>
      <c r="D197" s="315" t="n">
        <v>4607091386011</v>
      </c>
      <c r="E197" s="636" t="n"/>
      <c r="F197" s="668" t="n">
        <v>0.5</v>
      </c>
      <c r="G197" s="38" t="n">
        <v>10</v>
      </c>
      <c r="H197" s="668" t="n">
        <v>5</v>
      </c>
      <c r="I197" s="668" t="n">
        <v>5.21</v>
      </c>
      <c r="J197" s="38" t="n">
        <v>120</v>
      </c>
      <c r="K197" s="39" t="inlineStr">
        <is>
          <t>СК2</t>
        </is>
      </c>
      <c r="L197" s="38" t="n">
        <v>55</v>
      </c>
      <c r="M197" s="784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97" s="670" t="n"/>
      <c r="O197" s="670" t="n"/>
      <c r="P197" s="670" t="n"/>
      <c r="Q197" s="636" t="n"/>
      <c r="R197" s="40" t="inlineStr"/>
      <c r="S197" s="40" t="inlineStr"/>
      <c r="T197" s="41" t="inlineStr">
        <is>
          <t>кг</t>
        </is>
      </c>
      <c r="U197" s="671" t="n">
        <v>0</v>
      </c>
      <c r="V197" s="672">
        <f>IFERROR(IF(U197="",0,CEILING((U197/$H197),1)*$H197),"")</f>
        <v/>
      </c>
      <c r="W197" s="42">
        <f>IFERROR(IF(V197=0,"",ROUNDUP(V197/H197,0)*0.00937),"")</f>
        <v/>
      </c>
      <c r="X197" s="69" t="inlineStr"/>
      <c r="Y197" s="70" t="inlineStr"/>
      <c r="AC197" s="71" t="n"/>
      <c r="AZ197" s="181" t="inlineStr">
        <is>
          <t>КИ</t>
        </is>
      </c>
    </row>
    <row r="198" ht="27" customHeight="1">
      <c r="A198" s="64" t="inlineStr">
        <is>
          <t>SU001805</t>
        </is>
      </c>
      <c r="B198" s="64" t="inlineStr">
        <is>
          <t>P001805</t>
        </is>
      </c>
      <c r="C198" s="37" t="n">
        <v>4301011329</v>
      </c>
      <c r="D198" s="315" t="n">
        <v>4607091387308</v>
      </c>
      <c r="E198" s="636" t="n"/>
      <c r="F198" s="668" t="n">
        <v>0.5</v>
      </c>
      <c r="G198" s="38" t="n">
        <v>10</v>
      </c>
      <c r="H198" s="668" t="n">
        <v>5</v>
      </c>
      <c r="I198" s="668" t="n">
        <v>5.21</v>
      </c>
      <c r="J198" s="38" t="n">
        <v>120</v>
      </c>
      <c r="K198" s="39" t="inlineStr">
        <is>
          <t>СК2</t>
        </is>
      </c>
      <c r="L198" s="38" t="n">
        <v>55</v>
      </c>
      <c r="M198" s="785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98" s="670" t="n"/>
      <c r="O198" s="670" t="n"/>
      <c r="P198" s="670" t="n"/>
      <c r="Q198" s="636" t="n"/>
      <c r="R198" s="40" t="inlineStr"/>
      <c r="S198" s="40" t="inlineStr"/>
      <c r="T198" s="41" t="inlineStr">
        <is>
          <t>кг</t>
        </is>
      </c>
      <c r="U198" s="671" t="n">
        <v>0</v>
      </c>
      <c r="V198" s="672">
        <f>IFERROR(IF(U198="",0,CEILING((U198/$H198),1)*$H198),"")</f>
        <v/>
      </c>
      <c r="W198" s="42">
        <f>IFERROR(IF(V198=0,"",ROUNDUP(V198/H198,0)*0.00937),"")</f>
        <v/>
      </c>
      <c r="X198" s="69" t="inlineStr"/>
      <c r="Y198" s="70" t="inlineStr"/>
      <c r="AC198" s="71" t="n"/>
      <c r="AZ198" s="182" t="inlineStr">
        <is>
          <t>КИ</t>
        </is>
      </c>
    </row>
    <row r="199" ht="27" customHeight="1">
      <c r="A199" s="64" t="inlineStr">
        <is>
          <t>SU001829</t>
        </is>
      </c>
      <c r="B199" s="64" t="inlineStr">
        <is>
          <t>P001829</t>
        </is>
      </c>
      <c r="C199" s="37" t="n">
        <v>4301011049</v>
      </c>
      <c r="D199" s="315" t="n">
        <v>4607091387339</v>
      </c>
      <c r="E199" s="636" t="n"/>
      <c r="F199" s="668" t="n">
        <v>0.5</v>
      </c>
      <c r="G199" s="38" t="n">
        <v>10</v>
      </c>
      <c r="H199" s="668" t="n">
        <v>5</v>
      </c>
      <c r="I199" s="668" t="n">
        <v>5.24</v>
      </c>
      <c r="J199" s="38" t="n">
        <v>120</v>
      </c>
      <c r="K199" s="39" t="inlineStr">
        <is>
          <t>СК1</t>
        </is>
      </c>
      <c r="L199" s="38" t="n">
        <v>55</v>
      </c>
      <c r="M199" s="786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99" s="670" t="n"/>
      <c r="O199" s="670" t="n"/>
      <c r="P199" s="670" t="n"/>
      <c r="Q199" s="636" t="n"/>
      <c r="R199" s="40" t="inlineStr"/>
      <c r="S199" s="40" t="inlineStr"/>
      <c r="T199" s="41" t="inlineStr">
        <is>
          <t>кг</t>
        </is>
      </c>
      <c r="U199" s="671" t="n">
        <v>0</v>
      </c>
      <c r="V199" s="672">
        <f>IFERROR(IF(U199="",0,CEILING((U199/$H199),1)*$H199),"")</f>
        <v/>
      </c>
      <c r="W199" s="42">
        <f>IFERROR(IF(V199=0,"",ROUNDUP(V199/H199,0)*0.00937),"")</f>
        <v/>
      </c>
      <c r="X199" s="69" t="inlineStr"/>
      <c r="Y199" s="70" t="inlineStr"/>
      <c r="AC199" s="71" t="n"/>
      <c r="AZ199" s="183" t="inlineStr">
        <is>
          <t>КИ</t>
        </is>
      </c>
    </row>
    <row r="200" ht="27" customHeight="1">
      <c r="A200" s="64" t="inlineStr">
        <is>
          <t>SU002787</t>
        </is>
      </c>
      <c r="B200" s="64" t="inlineStr">
        <is>
          <t>P003189</t>
        </is>
      </c>
      <c r="C200" s="37" t="n">
        <v>4301011433</v>
      </c>
      <c r="D200" s="315" t="n">
        <v>4680115882638</v>
      </c>
      <c r="E200" s="636" t="n"/>
      <c r="F200" s="668" t="n">
        <v>0.4</v>
      </c>
      <c r="G200" s="38" t="n">
        <v>10</v>
      </c>
      <c r="H200" s="668" t="n">
        <v>4</v>
      </c>
      <c r="I200" s="668" t="n">
        <v>4.24</v>
      </c>
      <c r="J200" s="38" t="n">
        <v>120</v>
      </c>
      <c r="K200" s="39" t="inlineStr">
        <is>
          <t>СК1</t>
        </is>
      </c>
      <c r="L200" s="38" t="n">
        <v>90</v>
      </c>
      <c r="M200" s="787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0" s="670" t="n"/>
      <c r="O200" s="670" t="n"/>
      <c r="P200" s="670" t="n"/>
      <c r="Q200" s="636" t="n"/>
      <c r="R200" s="40" t="inlineStr"/>
      <c r="S200" s="40" t="inlineStr"/>
      <c r="T200" s="41" t="inlineStr">
        <is>
          <t>кг</t>
        </is>
      </c>
      <c r="U200" s="671" t="n">
        <v>0</v>
      </c>
      <c r="V200" s="672">
        <f>IFERROR(IF(U200="",0,CEILING((U200/$H200),1)*$H200),"")</f>
        <v/>
      </c>
      <c r="W200" s="42">
        <f>IFERROR(IF(V200=0,"",ROUNDUP(V200/H200,0)*0.00937),"")</f>
        <v/>
      </c>
      <c r="X200" s="69" t="inlineStr"/>
      <c r="Y200" s="70" t="inlineStr"/>
      <c r="AC200" s="71" t="n"/>
      <c r="AZ200" s="184" t="inlineStr">
        <is>
          <t>КИ</t>
        </is>
      </c>
    </row>
    <row r="201" ht="27" customHeight="1">
      <c r="A201" s="64" t="inlineStr">
        <is>
          <t>SU002894</t>
        </is>
      </c>
      <c r="B201" s="64" t="inlineStr">
        <is>
          <t>P003314</t>
        </is>
      </c>
      <c r="C201" s="37" t="n">
        <v>4301011573</v>
      </c>
      <c r="D201" s="315" t="n">
        <v>4680115881938</v>
      </c>
      <c r="E201" s="636" t="n"/>
      <c r="F201" s="668" t="n">
        <v>0.4</v>
      </c>
      <c r="G201" s="38" t="n">
        <v>10</v>
      </c>
      <c r="H201" s="668" t="n">
        <v>4</v>
      </c>
      <c r="I201" s="668" t="n">
        <v>4.24</v>
      </c>
      <c r="J201" s="38" t="n">
        <v>120</v>
      </c>
      <c r="K201" s="39" t="inlineStr">
        <is>
          <t>СК1</t>
        </is>
      </c>
      <c r="L201" s="38" t="n">
        <v>90</v>
      </c>
      <c r="M201" s="788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1" s="670" t="n"/>
      <c r="O201" s="670" t="n"/>
      <c r="P201" s="670" t="n"/>
      <c r="Q201" s="636" t="n"/>
      <c r="R201" s="40" t="inlineStr"/>
      <c r="S201" s="40" t="inlineStr"/>
      <c r="T201" s="41" t="inlineStr">
        <is>
          <t>кг</t>
        </is>
      </c>
      <c r="U201" s="671" t="n">
        <v>0</v>
      </c>
      <c r="V201" s="672">
        <f>IFERROR(IF(U201="",0,CEILING((U201/$H201),1)*$H201),"")</f>
        <v/>
      </c>
      <c r="W201" s="42">
        <f>IFERROR(IF(V201=0,"",ROUNDUP(V201/H201,0)*0.00937),"")</f>
        <v/>
      </c>
      <c r="X201" s="69" t="inlineStr"/>
      <c r="Y201" s="70" t="inlineStr"/>
      <c r="AC201" s="71" t="n"/>
      <c r="AZ201" s="185" t="inlineStr">
        <is>
          <t>КИ</t>
        </is>
      </c>
    </row>
    <row r="202" ht="27" customHeight="1">
      <c r="A202" s="64" t="inlineStr">
        <is>
          <t>SU000078</t>
        </is>
      </c>
      <c r="B202" s="64" t="inlineStr">
        <is>
          <t>P001806</t>
        </is>
      </c>
      <c r="C202" s="37" t="n">
        <v>4301010944</v>
      </c>
      <c r="D202" s="315" t="n">
        <v>4607091387346</v>
      </c>
      <c r="E202" s="636" t="n"/>
      <c r="F202" s="668" t="n">
        <v>0.4</v>
      </c>
      <c r="G202" s="38" t="n">
        <v>10</v>
      </c>
      <c r="H202" s="668" t="n">
        <v>4</v>
      </c>
      <c r="I202" s="668" t="n">
        <v>4.24</v>
      </c>
      <c r="J202" s="38" t="n">
        <v>120</v>
      </c>
      <c r="K202" s="39" t="inlineStr">
        <is>
          <t>СК1</t>
        </is>
      </c>
      <c r="L202" s="38" t="n">
        <v>55</v>
      </c>
      <c r="M202" s="789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2" s="670" t="n"/>
      <c r="O202" s="670" t="n"/>
      <c r="P202" s="670" t="n"/>
      <c r="Q202" s="636" t="n"/>
      <c r="R202" s="40" t="inlineStr"/>
      <c r="S202" s="40" t="inlineStr"/>
      <c r="T202" s="41" t="inlineStr">
        <is>
          <t>кг</t>
        </is>
      </c>
      <c r="U202" s="671" t="n">
        <v>0</v>
      </c>
      <c r="V202" s="672">
        <f>IFERROR(IF(U202="",0,CEILING((U202/$H202),1)*$H202),"")</f>
        <v/>
      </c>
      <c r="W202" s="42">
        <f>IFERROR(IF(V202=0,"",ROUNDUP(V202/H202,0)*0.00937),"")</f>
        <v/>
      </c>
      <c r="X202" s="69" t="inlineStr"/>
      <c r="Y202" s="70" t="inlineStr"/>
      <c r="AC202" s="71" t="n"/>
      <c r="AZ202" s="186" t="inlineStr">
        <is>
          <t>КИ</t>
        </is>
      </c>
    </row>
    <row r="203" ht="27" customHeight="1">
      <c r="A203" s="64" t="inlineStr">
        <is>
          <t>SU002616</t>
        </is>
      </c>
      <c r="B203" s="64" t="inlineStr">
        <is>
          <t>P002950</t>
        </is>
      </c>
      <c r="C203" s="37" t="n">
        <v>4301011353</v>
      </c>
      <c r="D203" s="315" t="n">
        <v>4607091389807</v>
      </c>
      <c r="E203" s="636" t="n"/>
      <c r="F203" s="668" t="n">
        <v>0.4</v>
      </c>
      <c r="G203" s="38" t="n">
        <v>10</v>
      </c>
      <c r="H203" s="668" t="n">
        <v>4</v>
      </c>
      <c r="I203" s="668" t="n">
        <v>4.24</v>
      </c>
      <c r="J203" s="38" t="n">
        <v>120</v>
      </c>
      <c r="K203" s="39" t="inlineStr">
        <is>
          <t>СК1</t>
        </is>
      </c>
      <c r="L203" s="38" t="n">
        <v>55</v>
      </c>
      <c r="M203" s="790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3" s="670" t="n"/>
      <c r="O203" s="670" t="n"/>
      <c r="P203" s="670" t="n"/>
      <c r="Q203" s="636" t="n"/>
      <c r="R203" s="40" t="inlineStr"/>
      <c r="S203" s="40" t="inlineStr"/>
      <c r="T203" s="41" t="inlineStr">
        <is>
          <t>кг</t>
        </is>
      </c>
      <c r="U203" s="671" t="n">
        <v>0</v>
      </c>
      <c r="V203" s="672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71" t="n"/>
      <c r="AZ203" s="187" t="inlineStr">
        <is>
          <t>КИ</t>
        </is>
      </c>
    </row>
    <row r="204">
      <c r="A204" s="323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673" t="n"/>
      <c r="M204" s="674" t="inlineStr">
        <is>
          <t>Итого</t>
        </is>
      </c>
      <c r="N204" s="644" t="n"/>
      <c r="O204" s="644" t="n"/>
      <c r="P204" s="644" t="n"/>
      <c r="Q204" s="644" t="n"/>
      <c r="R204" s="644" t="n"/>
      <c r="S204" s="645" t="n"/>
      <c r="T204" s="43" t="inlineStr">
        <is>
          <t>кор</t>
        </is>
      </c>
      <c r="U204" s="675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/>
      </c>
      <c r="V204" s="675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/>
      </c>
      <c r="W204" s="675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/>
      </c>
      <c r="X204" s="676" t="n"/>
      <c r="Y204" s="676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673" t="n"/>
      <c r="M205" s="674" t="inlineStr">
        <is>
          <t>Итого</t>
        </is>
      </c>
      <c r="N205" s="644" t="n"/>
      <c r="O205" s="644" t="n"/>
      <c r="P205" s="644" t="n"/>
      <c r="Q205" s="644" t="n"/>
      <c r="R205" s="644" t="n"/>
      <c r="S205" s="645" t="n"/>
      <c r="T205" s="43" t="inlineStr">
        <is>
          <t>кг</t>
        </is>
      </c>
      <c r="U205" s="675">
        <f>IFERROR(SUM(U189:U203),"0")</f>
        <v/>
      </c>
      <c r="V205" s="675">
        <f>IFERROR(SUM(V189:V203),"0")</f>
        <v/>
      </c>
      <c r="W205" s="43" t="n"/>
      <c r="X205" s="676" t="n"/>
      <c r="Y205" s="676" t="n"/>
    </row>
    <row r="206" ht="14.25" customHeight="1">
      <c r="A206" s="331" t="inlineStr">
        <is>
          <t>Ветчины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331" t="n"/>
      <c r="Y206" s="331" t="n"/>
    </row>
    <row r="207" ht="27" customHeight="1">
      <c r="A207" s="64" t="inlineStr">
        <is>
          <t>SU002788</t>
        </is>
      </c>
      <c r="B207" s="64" t="inlineStr">
        <is>
          <t>P003190</t>
        </is>
      </c>
      <c r="C207" s="37" t="n">
        <v>4301020254</v>
      </c>
      <c r="D207" s="315" t="n">
        <v>4680115881914</v>
      </c>
      <c r="E207" s="636" t="n"/>
      <c r="F207" s="668" t="n">
        <v>0.4</v>
      </c>
      <c r="G207" s="38" t="n">
        <v>10</v>
      </c>
      <c r="H207" s="668" t="n">
        <v>4</v>
      </c>
      <c r="I207" s="668" t="n">
        <v>4.24</v>
      </c>
      <c r="J207" s="38" t="n">
        <v>120</v>
      </c>
      <c r="K207" s="39" t="inlineStr">
        <is>
          <t>СК1</t>
        </is>
      </c>
      <c r="L207" s="38" t="n">
        <v>90</v>
      </c>
      <c r="M207" s="791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07" s="670" t="n"/>
      <c r="O207" s="670" t="n"/>
      <c r="P207" s="670" t="n"/>
      <c r="Q207" s="636" t="n"/>
      <c r="R207" s="40" t="inlineStr"/>
      <c r="S207" s="40" t="inlineStr"/>
      <c r="T207" s="41" t="inlineStr">
        <is>
          <t>кг</t>
        </is>
      </c>
      <c r="U207" s="671" t="n">
        <v>0</v>
      </c>
      <c r="V207" s="672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71" t="n"/>
      <c r="AZ207" s="188" t="inlineStr">
        <is>
          <t>КИ</t>
        </is>
      </c>
    </row>
    <row r="208">
      <c r="A208" s="323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673" t="n"/>
      <c r="M208" s="674" t="inlineStr">
        <is>
          <t>Итого</t>
        </is>
      </c>
      <c r="N208" s="644" t="n"/>
      <c r="O208" s="644" t="n"/>
      <c r="P208" s="644" t="n"/>
      <c r="Q208" s="644" t="n"/>
      <c r="R208" s="644" t="n"/>
      <c r="S208" s="645" t="n"/>
      <c r="T208" s="43" t="inlineStr">
        <is>
          <t>кор</t>
        </is>
      </c>
      <c r="U208" s="675">
        <f>IFERROR(U207/H207,"0")</f>
        <v/>
      </c>
      <c r="V208" s="675">
        <f>IFERROR(V207/H207,"0")</f>
        <v/>
      </c>
      <c r="W208" s="675">
        <f>IFERROR(IF(W207="",0,W207),"0")</f>
        <v/>
      </c>
      <c r="X208" s="676" t="n"/>
      <c r="Y208" s="676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673" t="n"/>
      <c r="M209" s="674" t="inlineStr">
        <is>
          <t>Итого</t>
        </is>
      </c>
      <c r="N209" s="644" t="n"/>
      <c r="O209" s="644" t="n"/>
      <c r="P209" s="644" t="n"/>
      <c r="Q209" s="644" t="n"/>
      <c r="R209" s="644" t="n"/>
      <c r="S209" s="645" t="n"/>
      <c r="T209" s="43" t="inlineStr">
        <is>
          <t>кг</t>
        </is>
      </c>
      <c r="U209" s="675">
        <f>IFERROR(SUM(U207:U207),"0")</f>
        <v/>
      </c>
      <c r="V209" s="675">
        <f>IFERROR(SUM(V207:V207),"0")</f>
        <v/>
      </c>
      <c r="W209" s="43" t="n"/>
      <c r="X209" s="676" t="n"/>
      <c r="Y209" s="676" t="n"/>
    </row>
    <row r="210" ht="14.25" customHeight="1">
      <c r="A210" s="331" t="inlineStr">
        <is>
          <t>Копченые колбасы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331" t="n"/>
      <c r="Y210" s="331" t="n"/>
    </row>
    <row r="211" ht="27" customHeight="1">
      <c r="A211" s="64" t="inlineStr">
        <is>
          <t>SU001820</t>
        </is>
      </c>
      <c r="B211" s="64" t="inlineStr">
        <is>
          <t>P001820</t>
        </is>
      </c>
      <c r="C211" s="37" t="n">
        <v>4301030878</v>
      </c>
      <c r="D211" s="315" t="n">
        <v>4607091387193</v>
      </c>
      <c r="E211" s="636" t="n"/>
      <c r="F211" s="668" t="n">
        <v>0.7</v>
      </c>
      <c r="G211" s="38" t="n">
        <v>6</v>
      </c>
      <c r="H211" s="668" t="n">
        <v>4.2</v>
      </c>
      <c r="I211" s="668" t="n">
        <v>4.46</v>
      </c>
      <c r="J211" s="38" t="n">
        <v>156</v>
      </c>
      <c r="K211" s="39" t="inlineStr">
        <is>
          <t>СК2</t>
        </is>
      </c>
      <c r="L211" s="38" t="n">
        <v>35</v>
      </c>
      <c r="M211" s="792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1" s="670" t="n"/>
      <c r="O211" s="670" t="n"/>
      <c r="P211" s="670" t="n"/>
      <c r="Q211" s="636" t="n"/>
      <c r="R211" s="40" t="inlineStr"/>
      <c r="S211" s="40" t="inlineStr"/>
      <c r="T211" s="41" t="inlineStr">
        <is>
          <t>кг</t>
        </is>
      </c>
      <c r="U211" s="671" t="n">
        <v>0</v>
      </c>
      <c r="V211" s="672">
        <f>IFERROR(IF(U211="",0,CEILING((U211/$H211),1)*$H211),"")</f>
        <v/>
      </c>
      <c r="W211" s="42">
        <f>IFERROR(IF(V211=0,"",ROUNDUP(V211/H211,0)*0.00753),"")</f>
        <v/>
      </c>
      <c r="X211" s="69" t="inlineStr"/>
      <c r="Y211" s="70" t="inlineStr"/>
      <c r="AC211" s="71" t="n"/>
      <c r="AZ211" s="189" t="inlineStr">
        <is>
          <t>КИ</t>
        </is>
      </c>
    </row>
    <row r="212" ht="27" customHeight="1">
      <c r="A212" s="64" t="inlineStr">
        <is>
          <t>SU001822</t>
        </is>
      </c>
      <c r="B212" s="64" t="inlineStr">
        <is>
          <t>P003013</t>
        </is>
      </c>
      <c r="C212" s="37" t="n">
        <v>4301031153</v>
      </c>
      <c r="D212" s="315" t="n">
        <v>4607091387230</v>
      </c>
      <c r="E212" s="636" t="n"/>
      <c r="F212" s="668" t="n">
        <v>0.7</v>
      </c>
      <c r="G212" s="38" t="n">
        <v>6</v>
      </c>
      <c r="H212" s="668" t="n">
        <v>4.2</v>
      </c>
      <c r="I212" s="668" t="n">
        <v>4.46</v>
      </c>
      <c r="J212" s="38" t="n">
        <v>156</v>
      </c>
      <c r="K212" s="39" t="inlineStr">
        <is>
          <t>СК2</t>
        </is>
      </c>
      <c r="L212" s="38" t="n">
        <v>40</v>
      </c>
      <c r="M212" s="793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2" s="670" t="n"/>
      <c r="O212" s="670" t="n"/>
      <c r="P212" s="670" t="n"/>
      <c r="Q212" s="636" t="n"/>
      <c r="R212" s="40" t="inlineStr"/>
      <c r="S212" s="40" t="inlineStr"/>
      <c r="T212" s="41" t="inlineStr">
        <is>
          <t>кг</t>
        </is>
      </c>
      <c r="U212" s="671" t="n">
        <v>0</v>
      </c>
      <c r="V212" s="672">
        <f>IFERROR(IF(U212="",0,CEILING((U212/$H212),1)*$H212),"")</f>
        <v/>
      </c>
      <c r="W212" s="42">
        <f>IFERROR(IF(V212=0,"",ROUNDUP(V212/H212,0)*0.00753),"")</f>
        <v/>
      </c>
      <c r="X212" s="69" t="inlineStr"/>
      <c r="Y212" s="70" t="inlineStr"/>
      <c r="AC212" s="71" t="n"/>
      <c r="AZ212" s="190" t="inlineStr">
        <is>
          <t>КИ</t>
        </is>
      </c>
    </row>
    <row r="213" ht="27" customHeight="1">
      <c r="A213" s="64" t="inlineStr">
        <is>
          <t>SU002579</t>
        </is>
      </c>
      <c r="B213" s="64" t="inlineStr">
        <is>
          <t>P003012</t>
        </is>
      </c>
      <c r="C213" s="37" t="n">
        <v>4301031152</v>
      </c>
      <c r="D213" s="315" t="n">
        <v>4607091387285</v>
      </c>
      <c r="E213" s="636" t="n"/>
      <c r="F213" s="668" t="n">
        <v>0.35</v>
      </c>
      <c r="G213" s="38" t="n">
        <v>6</v>
      </c>
      <c r="H213" s="668" t="n">
        <v>2.1</v>
      </c>
      <c r="I213" s="668" t="n">
        <v>2.23</v>
      </c>
      <c r="J213" s="38" t="n">
        <v>234</v>
      </c>
      <c r="K213" s="39" t="inlineStr">
        <is>
          <t>СК2</t>
        </is>
      </c>
      <c r="L213" s="38" t="n">
        <v>40</v>
      </c>
      <c r="M213" s="794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3" s="670" t="n"/>
      <c r="O213" s="670" t="n"/>
      <c r="P213" s="670" t="n"/>
      <c r="Q213" s="636" t="n"/>
      <c r="R213" s="40" t="inlineStr"/>
      <c r="S213" s="40" t="inlineStr"/>
      <c r="T213" s="41" t="inlineStr">
        <is>
          <t>кг</t>
        </is>
      </c>
      <c r="U213" s="671" t="n">
        <v>0</v>
      </c>
      <c r="V213" s="672">
        <f>IFERROR(IF(U213="",0,CEILING((U213/$H213),1)*$H213),"")</f>
        <v/>
      </c>
      <c r="W213" s="42">
        <f>IFERROR(IF(V213=0,"",ROUNDUP(V213/H213,0)*0.00502),"")</f>
        <v/>
      </c>
      <c r="X213" s="69" t="inlineStr"/>
      <c r="Y213" s="70" t="inlineStr"/>
      <c r="AC213" s="71" t="n"/>
      <c r="AZ213" s="191" t="inlineStr">
        <is>
          <t>КИ</t>
        </is>
      </c>
    </row>
    <row r="214" ht="27" customHeight="1">
      <c r="A214" s="64" t="inlineStr">
        <is>
          <t>SU002617</t>
        </is>
      </c>
      <c r="B214" s="64" t="inlineStr">
        <is>
          <t>P002951</t>
        </is>
      </c>
      <c r="C214" s="37" t="n">
        <v>4301031151</v>
      </c>
      <c r="D214" s="315" t="n">
        <v>4607091389845</v>
      </c>
      <c r="E214" s="636" t="n"/>
      <c r="F214" s="668" t="n">
        <v>0.35</v>
      </c>
      <c r="G214" s="38" t="n">
        <v>6</v>
      </c>
      <c r="H214" s="668" t="n">
        <v>2.1</v>
      </c>
      <c r="I214" s="668" t="n">
        <v>2.2</v>
      </c>
      <c r="J214" s="38" t="n">
        <v>234</v>
      </c>
      <c r="K214" s="39" t="inlineStr">
        <is>
          <t>СК2</t>
        </is>
      </c>
      <c r="L214" s="38" t="n">
        <v>40</v>
      </c>
      <c r="M214" s="795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4" s="670" t="n"/>
      <c r="O214" s="670" t="n"/>
      <c r="P214" s="670" t="n"/>
      <c r="Q214" s="636" t="n"/>
      <c r="R214" s="40" t="inlineStr"/>
      <c r="S214" s="40" t="inlineStr"/>
      <c r="T214" s="41" t="inlineStr">
        <is>
          <t>кг</t>
        </is>
      </c>
      <c r="U214" s="671" t="n">
        <v>0</v>
      </c>
      <c r="V214" s="672">
        <f>IFERROR(IF(U214="",0,CEILING((U214/$H214),1)*$H214),"")</f>
        <v/>
      </c>
      <c r="W214" s="42">
        <f>IFERROR(IF(V214=0,"",ROUNDUP(V214/H214,0)*0.00502),"")</f>
        <v/>
      </c>
      <c r="X214" s="69" t="inlineStr"/>
      <c r="Y214" s="70" t="inlineStr"/>
      <c r="AC214" s="71" t="n"/>
      <c r="AZ214" s="192" t="inlineStr">
        <is>
          <t>КИ</t>
        </is>
      </c>
    </row>
    <row r="215">
      <c r="A215" s="323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673" t="n"/>
      <c r="M215" s="674" t="inlineStr">
        <is>
          <t>Итого</t>
        </is>
      </c>
      <c r="N215" s="644" t="n"/>
      <c r="O215" s="644" t="n"/>
      <c r="P215" s="644" t="n"/>
      <c r="Q215" s="644" t="n"/>
      <c r="R215" s="644" t="n"/>
      <c r="S215" s="645" t="n"/>
      <c r="T215" s="43" t="inlineStr">
        <is>
          <t>кор</t>
        </is>
      </c>
      <c r="U215" s="675">
        <f>IFERROR(U211/H211,"0")+IFERROR(U212/H212,"0")+IFERROR(U213/H213,"0")+IFERROR(U214/H214,"0")</f>
        <v/>
      </c>
      <c r="V215" s="675">
        <f>IFERROR(V211/H211,"0")+IFERROR(V212/H212,"0")+IFERROR(V213/H213,"0")+IFERROR(V214/H214,"0")</f>
        <v/>
      </c>
      <c r="W215" s="675">
        <f>IFERROR(IF(W211="",0,W211),"0")+IFERROR(IF(W212="",0,W212),"0")+IFERROR(IF(W213="",0,W213),"0")+IFERROR(IF(W214="",0,W214),"0")</f>
        <v/>
      </c>
      <c r="X215" s="676" t="n"/>
      <c r="Y215" s="676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73" t="n"/>
      <c r="M216" s="674" t="inlineStr">
        <is>
          <t>Итого</t>
        </is>
      </c>
      <c r="N216" s="644" t="n"/>
      <c r="O216" s="644" t="n"/>
      <c r="P216" s="644" t="n"/>
      <c r="Q216" s="644" t="n"/>
      <c r="R216" s="644" t="n"/>
      <c r="S216" s="645" t="n"/>
      <c r="T216" s="43" t="inlineStr">
        <is>
          <t>кг</t>
        </is>
      </c>
      <c r="U216" s="675">
        <f>IFERROR(SUM(U211:U214),"0")</f>
        <v/>
      </c>
      <c r="V216" s="675">
        <f>IFERROR(SUM(V211:V214),"0")</f>
        <v/>
      </c>
      <c r="W216" s="43" t="n"/>
      <c r="X216" s="676" t="n"/>
      <c r="Y216" s="676" t="n"/>
    </row>
    <row r="217" ht="14.25" customHeight="1">
      <c r="A217" s="331" t="inlineStr">
        <is>
          <t>Сосиски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331" t="n"/>
      <c r="Y217" s="331" t="n"/>
    </row>
    <row r="218" ht="16.5" customHeight="1">
      <c r="A218" s="64" t="inlineStr">
        <is>
          <t>SU001340</t>
        </is>
      </c>
      <c r="B218" s="64" t="inlineStr">
        <is>
          <t>P002209</t>
        </is>
      </c>
      <c r="C218" s="37" t="n">
        <v>4301051101</v>
      </c>
      <c r="D218" s="315" t="n">
        <v>4607091387766</v>
      </c>
      <c r="E218" s="636" t="n"/>
      <c r="F218" s="668" t="n">
        <v>1.35</v>
      </c>
      <c r="G218" s="38" t="n">
        <v>6</v>
      </c>
      <c r="H218" s="668" t="n">
        <v>8.1</v>
      </c>
      <c r="I218" s="668" t="n">
        <v>8.657999999999999</v>
      </c>
      <c r="J218" s="38" t="n">
        <v>56</v>
      </c>
      <c r="K218" s="39" t="inlineStr">
        <is>
          <t>СК2</t>
        </is>
      </c>
      <c r="L218" s="38" t="n">
        <v>40</v>
      </c>
      <c r="M218" s="796">
        <f>HYPERLINK("https://abi.ru/products/Охлажденные/Стародворье/Бордо/Сосиски/P002209/","Сосиски Ганноверские Бордо Весовые П/а мгс Баварушка")</f>
        <v/>
      </c>
      <c r="N218" s="670" t="n"/>
      <c r="O218" s="670" t="n"/>
      <c r="P218" s="670" t="n"/>
      <c r="Q218" s="636" t="n"/>
      <c r="R218" s="40" t="inlineStr"/>
      <c r="S218" s="40" t="inlineStr"/>
      <c r="T218" s="41" t="inlineStr">
        <is>
          <t>кг</t>
        </is>
      </c>
      <c r="U218" s="671" t="n">
        <v>0</v>
      </c>
      <c r="V218" s="672">
        <f>IFERROR(IF(U218="",0,CEILING((U218/$H218),1)*$H218),"")</f>
        <v/>
      </c>
      <c r="W218" s="42">
        <f>IFERROR(IF(V218=0,"",ROUNDUP(V218/H218,0)*0.02175),"")</f>
        <v/>
      </c>
      <c r="X218" s="69" t="inlineStr"/>
      <c r="Y218" s="70" t="inlineStr"/>
      <c r="AC218" s="71" t="n"/>
      <c r="AZ218" s="193" t="inlineStr">
        <is>
          <t>КИ</t>
        </is>
      </c>
    </row>
    <row r="219" ht="27" customHeight="1">
      <c r="A219" s="64" t="inlineStr">
        <is>
          <t>SU001727</t>
        </is>
      </c>
      <c r="B219" s="64" t="inlineStr">
        <is>
          <t>P002205</t>
        </is>
      </c>
      <c r="C219" s="37" t="n">
        <v>4301051116</v>
      </c>
      <c r="D219" s="315" t="n">
        <v>4607091387957</v>
      </c>
      <c r="E219" s="636" t="n"/>
      <c r="F219" s="668" t="n">
        <v>1.3</v>
      </c>
      <c r="G219" s="38" t="n">
        <v>6</v>
      </c>
      <c r="H219" s="668" t="n">
        <v>7.8</v>
      </c>
      <c r="I219" s="668" t="n">
        <v>8.364000000000001</v>
      </c>
      <c r="J219" s="38" t="n">
        <v>56</v>
      </c>
      <c r="K219" s="39" t="inlineStr">
        <is>
          <t>СК2</t>
        </is>
      </c>
      <c r="L219" s="38" t="n">
        <v>40</v>
      </c>
      <c r="M219" s="797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19" s="670" t="n"/>
      <c r="O219" s="670" t="n"/>
      <c r="P219" s="670" t="n"/>
      <c r="Q219" s="636" t="n"/>
      <c r="R219" s="40" t="inlineStr"/>
      <c r="S219" s="40" t="inlineStr"/>
      <c r="T219" s="41" t="inlineStr">
        <is>
          <t>кг</t>
        </is>
      </c>
      <c r="U219" s="671" t="n">
        <v>0</v>
      </c>
      <c r="V219" s="672">
        <f>IFERROR(IF(U219="",0,CEILING((U219/$H219),1)*$H219),"")</f>
        <v/>
      </c>
      <c r="W219" s="42">
        <f>IFERROR(IF(V219=0,"",ROUNDUP(V219/H219,0)*0.02175),"")</f>
        <v/>
      </c>
      <c r="X219" s="69" t="inlineStr"/>
      <c r="Y219" s="70" t="inlineStr"/>
      <c r="AC219" s="71" t="n"/>
      <c r="AZ219" s="194" t="inlineStr">
        <is>
          <t>КИ</t>
        </is>
      </c>
    </row>
    <row r="220" ht="27" customHeight="1">
      <c r="A220" s="64" t="inlineStr">
        <is>
          <t>SU001728</t>
        </is>
      </c>
      <c r="B220" s="64" t="inlineStr">
        <is>
          <t>P002207</t>
        </is>
      </c>
      <c r="C220" s="37" t="n">
        <v>4301051115</v>
      </c>
      <c r="D220" s="315" t="n">
        <v>4607091387964</v>
      </c>
      <c r="E220" s="636" t="n"/>
      <c r="F220" s="668" t="n">
        <v>1.35</v>
      </c>
      <c r="G220" s="38" t="n">
        <v>6</v>
      </c>
      <c r="H220" s="668" t="n">
        <v>8.1</v>
      </c>
      <c r="I220" s="668" t="n">
        <v>8.646000000000001</v>
      </c>
      <c r="J220" s="38" t="n">
        <v>56</v>
      </c>
      <c r="K220" s="39" t="inlineStr">
        <is>
          <t>СК2</t>
        </is>
      </c>
      <c r="L220" s="38" t="n">
        <v>40</v>
      </c>
      <c r="M220" s="798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0" s="670" t="n"/>
      <c r="O220" s="670" t="n"/>
      <c r="P220" s="670" t="n"/>
      <c r="Q220" s="636" t="n"/>
      <c r="R220" s="40" t="inlineStr"/>
      <c r="S220" s="40" t="inlineStr"/>
      <c r="T220" s="41" t="inlineStr">
        <is>
          <t>кг</t>
        </is>
      </c>
      <c r="U220" s="671" t="n">
        <v>0</v>
      </c>
      <c r="V220" s="672">
        <f>IFERROR(IF(U220="",0,CEILING((U220/$H220),1)*$H220),"")</f>
        <v/>
      </c>
      <c r="W220" s="42">
        <f>IFERROR(IF(V220=0,"",ROUNDUP(V220/H220,0)*0.02175),"")</f>
        <v/>
      </c>
      <c r="X220" s="69" t="inlineStr"/>
      <c r="Y220" s="70" t="inlineStr"/>
      <c r="AC220" s="71" t="n"/>
      <c r="AZ220" s="195" t="inlineStr">
        <is>
          <t>КИ</t>
        </is>
      </c>
    </row>
    <row r="221" ht="16.5" customHeight="1">
      <c r="A221" s="64" t="inlineStr">
        <is>
          <t>SU001341</t>
        </is>
      </c>
      <c r="B221" s="64" t="inlineStr">
        <is>
          <t>P002204</t>
        </is>
      </c>
      <c r="C221" s="37" t="n">
        <v>4301051134</v>
      </c>
      <c r="D221" s="315" t="n">
        <v>4607091381672</v>
      </c>
      <c r="E221" s="636" t="n"/>
      <c r="F221" s="668" t="n">
        <v>0.6</v>
      </c>
      <c r="G221" s="38" t="n">
        <v>6</v>
      </c>
      <c r="H221" s="668" t="n">
        <v>3.6</v>
      </c>
      <c r="I221" s="668" t="n">
        <v>3.876</v>
      </c>
      <c r="J221" s="38" t="n">
        <v>120</v>
      </c>
      <c r="K221" s="39" t="inlineStr">
        <is>
          <t>СК2</t>
        </is>
      </c>
      <c r="L221" s="38" t="n">
        <v>40</v>
      </c>
      <c r="M221" s="799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1" s="670" t="n"/>
      <c r="O221" s="670" t="n"/>
      <c r="P221" s="670" t="n"/>
      <c r="Q221" s="636" t="n"/>
      <c r="R221" s="40" t="inlineStr"/>
      <c r="S221" s="40" t="inlineStr"/>
      <c r="T221" s="41" t="inlineStr">
        <is>
          <t>кг</t>
        </is>
      </c>
      <c r="U221" s="671" t="n">
        <v>0</v>
      </c>
      <c r="V221" s="672">
        <f>IFERROR(IF(U221="",0,CEILING((U221/$H221),1)*$H221),"")</f>
        <v/>
      </c>
      <c r="W221" s="42">
        <f>IFERROR(IF(V221=0,"",ROUNDUP(V221/H221,0)*0.00937),"")</f>
        <v/>
      </c>
      <c r="X221" s="69" t="inlineStr"/>
      <c r="Y221" s="70" t="inlineStr"/>
      <c r="AC221" s="71" t="n"/>
      <c r="AZ221" s="196" t="inlineStr">
        <is>
          <t>КИ</t>
        </is>
      </c>
    </row>
    <row r="222" ht="27" customHeight="1">
      <c r="A222" s="64" t="inlineStr">
        <is>
          <t>SU001763</t>
        </is>
      </c>
      <c r="B222" s="64" t="inlineStr">
        <is>
          <t>P002206</t>
        </is>
      </c>
      <c r="C222" s="37" t="n">
        <v>4301051130</v>
      </c>
      <c r="D222" s="315" t="n">
        <v>4607091387537</v>
      </c>
      <c r="E222" s="636" t="n"/>
      <c r="F222" s="668" t="n">
        <v>0.45</v>
      </c>
      <c r="G222" s="38" t="n">
        <v>6</v>
      </c>
      <c r="H222" s="668" t="n">
        <v>2.7</v>
      </c>
      <c r="I222" s="668" t="n">
        <v>2.99</v>
      </c>
      <c r="J222" s="38" t="n">
        <v>156</v>
      </c>
      <c r="K222" s="39" t="inlineStr">
        <is>
          <t>СК2</t>
        </is>
      </c>
      <c r="L222" s="38" t="n">
        <v>40</v>
      </c>
      <c r="M222" s="800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2" s="670" t="n"/>
      <c r="O222" s="670" t="n"/>
      <c r="P222" s="670" t="n"/>
      <c r="Q222" s="636" t="n"/>
      <c r="R222" s="40" t="inlineStr"/>
      <c r="S222" s="40" t="inlineStr"/>
      <c r="T222" s="41" t="inlineStr">
        <is>
          <t>кг</t>
        </is>
      </c>
      <c r="U222" s="671" t="n">
        <v>0</v>
      </c>
      <c r="V222" s="672">
        <f>IFERROR(IF(U222="",0,CEILING((U222/$H222),1)*$H222),"")</f>
        <v/>
      </c>
      <c r="W222" s="42">
        <f>IFERROR(IF(V222=0,"",ROUNDUP(V222/H222,0)*0.00753),"")</f>
        <v/>
      </c>
      <c r="X222" s="69" t="inlineStr"/>
      <c r="Y222" s="70" t="inlineStr"/>
      <c r="AC222" s="71" t="n"/>
      <c r="AZ222" s="197" t="inlineStr">
        <is>
          <t>КИ</t>
        </is>
      </c>
    </row>
    <row r="223" ht="27" customHeight="1">
      <c r="A223" s="64" t="inlineStr">
        <is>
          <t>SU001762</t>
        </is>
      </c>
      <c r="B223" s="64" t="inlineStr">
        <is>
          <t>P002208</t>
        </is>
      </c>
      <c r="C223" s="37" t="n">
        <v>4301051132</v>
      </c>
      <c r="D223" s="315" t="n">
        <v>4607091387513</v>
      </c>
      <c r="E223" s="636" t="n"/>
      <c r="F223" s="668" t="n">
        <v>0.45</v>
      </c>
      <c r="G223" s="38" t="n">
        <v>6</v>
      </c>
      <c r="H223" s="668" t="n">
        <v>2.7</v>
      </c>
      <c r="I223" s="668" t="n">
        <v>2.978</v>
      </c>
      <c r="J223" s="38" t="n">
        <v>156</v>
      </c>
      <c r="K223" s="39" t="inlineStr">
        <is>
          <t>СК2</t>
        </is>
      </c>
      <c r="L223" s="38" t="n">
        <v>40</v>
      </c>
      <c r="M223" s="801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3" s="670" t="n"/>
      <c r="O223" s="670" t="n"/>
      <c r="P223" s="670" t="n"/>
      <c r="Q223" s="636" t="n"/>
      <c r="R223" s="40" t="inlineStr"/>
      <c r="S223" s="40" t="inlineStr"/>
      <c r="T223" s="41" t="inlineStr">
        <is>
          <t>кг</t>
        </is>
      </c>
      <c r="U223" s="671" t="n">
        <v>0</v>
      </c>
      <c r="V223" s="672">
        <f>IFERROR(IF(U223="",0,CEILING((U223/$H223),1)*$H223),"")</f>
        <v/>
      </c>
      <c r="W223" s="42">
        <f>IFERROR(IF(V223=0,"",ROUNDUP(V223/H223,0)*0.00753),"")</f>
        <v/>
      </c>
      <c r="X223" s="69" t="inlineStr"/>
      <c r="Y223" s="70" t="inlineStr"/>
      <c r="AC223" s="71" t="n"/>
      <c r="AZ223" s="198" t="inlineStr">
        <is>
          <t>КИ</t>
        </is>
      </c>
    </row>
    <row r="224">
      <c r="A224" s="323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673" t="n"/>
      <c r="M224" s="674" t="inlineStr">
        <is>
          <t>Итого</t>
        </is>
      </c>
      <c r="N224" s="644" t="n"/>
      <c r="O224" s="644" t="n"/>
      <c r="P224" s="644" t="n"/>
      <c r="Q224" s="644" t="n"/>
      <c r="R224" s="644" t="n"/>
      <c r="S224" s="645" t="n"/>
      <c r="T224" s="43" t="inlineStr">
        <is>
          <t>кор</t>
        </is>
      </c>
      <c r="U224" s="675">
        <f>IFERROR(U218/H218,"0")+IFERROR(U219/H219,"0")+IFERROR(U220/H220,"0")+IFERROR(U221/H221,"0")+IFERROR(U222/H222,"0")+IFERROR(U223/H223,"0")</f>
        <v/>
      </c>
      <c r="V224" s="675">
        <f>IFERROR(V218/H218,"0")+IFERROR(V219/H219,"0")+IFERROR(V220/H220,"0")+IFERROR(V221/H221,"0")+IFERROR(V222/H222,"0")+IFERROR(V223/H223,"0")</f>
        <v/>
      </c>
      <c r="W224" s="675">
        <f>IFERROR(IF(W218="",0,W218),"0")+IFERROR(IF(W219="",0,W219),"0")+IFERROR(IF(W220="",0,W220),"0")+IFERROR(IF(W221="",0,W221),"0")+IFERROR(IF(W222="",0,W222),"0")+IFERROR(IF(W223="",0,W223),"0")</f>
        <v/>
      </c>
      <c r="X224" s="676" t="n"/>
      <c r="Y224" s="676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673" t="n"/>
      <c r="M225" s="674" t="inlineStr">
        <is>
          <t>Итого</t>
        </is>
      </c>
      <c r="N225" s="644" t="n"/>
      <c r="O225" s="644" t="n"/>
      <c r="P225" s="644" t="n"/>
      <c r="Q225" s="644" t="n"/>
      <c r="R225" s="644" t="n"/>
      <c r="S225" s="645" t="n"/>
      <c r="T225" s="43" t="inlineStr">
        <is>
          <t>кг</t>
        </is>
      </c>
      <c r="U225" s="675">
        <f>IFERROR(SUM(U218:U223),"0")</f>
        <v/>
      </c>
      <c r="V225" s="675">
        <f>IFERROR(SUM(V218:V223),"0")</f>
        <v/>
      </c>
      <c r="W225" s="43" t="n"/>
      <c r="X225" s="676" t="n"/>
      <c r="Y225" s="676" t="n"/>
    </row>
    <row r="226" ht="14.25" customHeight="1">
      <c r="A226" s="331" t="inlineStr">
        <is>
          <t>Сардельки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331" t="n"/>
      <c r="Y226" s="331" t="n"/>
    </row>
    <row r="227" ht="16.5" customHeight="1">
      <c r="A227" s="64" t="inlineStr">
        <is>
          <t>SU001051</t>
        </is>
      </c>
      <c r="B227" s="64" t="inlineStr">
        <is>
          <t>P002061</t>
        </is>
      </c>
      <c r="C227" s="37" t="n">
        <v>4301060326</v>
      </c>
      <c r="D227" s="315" t="n">
        <v>4607091380880</v>
      </c>
      <c r="E227" s="636" t="n"/>
      <c r="F227" s="668" t="n">
        <v>1.4</v>
      </c>
      <c r="G227" s="38" t="n">
        <v>6</v>
      </c>
      <c r="H227" s="668" t="n">
        <v>8.4</v>
      </c>
      <c r="I227" s="668" t="n">
        <v>8.964</v>
      </c>
      <c r="J227" s="38" t="n">
        <v>56</v>
      </c>
      <c r="K227" s="39" t="inlineStr">
        <is>
          <t>СК2</t>
        </is>
      </c>
      <c r="L227" s="38" t="n">
        <v>30</v>
      </c>
      <c r="M227" s="802">
        <f>HYPERLINK("https://abi.ru/products/Охлажденные/Стародворье/Бордо/Сардельки/P002061/","Сардельки Нежные Бордо Весовые н/о мгс Стародворье")</f>
        <v/>
      </c>
      <c r="N227" s="670" t="n"/>
      <c r="O227" s="670" t="n"/>
      <c r="P227" s="670" t="n"/>
      <c r="Q227" s="636" t="n"/>
      <c r="R227" s="40" t="inlineStr"/>
      <c r="S227" s="40" t="inlineStr"/>
      <c r="T227" s="41" t="inlineStr">
        <is>
          <t>кг</t>
        </is>
      </c>
      <c r="U227" s="671" t="n">
        <v>0</v>
      </c>
      <c r="V227" s="672">
        <f>IFERROR(IF(U227="",0,CEILING((U227/$H227),1)*$H227),"")</f>
        <v/>
      </c>
      <c r="W227" s="42">
        <f>IFERROR(IF(V227=0,"",ROUNDUP(V227/H227,0)*0.02175),"")</f>
        <v/>
      </c>
      <c r="X227" s="69" t="inlineStr"/>
      <c r="Y227" s="70" t="inlineStr"/>
      <c r="AC227" s="71" t="n"/>
      <c r="AZ227" s="199" t="inlineStr">
        <is>
          <t>КИ</t>
        </is>
      </c>
    </row>
    <row r="228" ht="27" customHeight="1">
      <c r="A228" s="64" t="inlineStr">
        <is>
          <t>SU000227</t>
        </is>
      </c>
      <c r="B228" s="64" t="inlineStr">
        <is>
          <t>P002536</t>
        </is>
      </c>
      <c r="C228" s="37" t="n">
        <v>4301060308</v>
      </c>
      <c r="D228" s="315" t="n">
        <v>4607091384482</v>
      </c>
      <c r="E228" s="636" t="n"/>
      <c r="F228" s="668" t="n">
        <v>1.3</v>
      </c>
      <c r="G228" s="38" t="n">
        <v>6</v>
      </c>
      <c r="H228" s="668" t="n">
        <v>7.8</v>
      </c>
      <c r="I228" s="668" t="n">
        <v>8.364000000000001</v>
      </c>
      <c r="J228" s="38" t="n">
        <v>56</v>
      </c>
      <c r="K228" s="39" t="inlineStr">
        <is>
          <t>СК2</t>
        </is>
      </c>
      <c r="L228" s="38" t="n">
        <v>30</v>
      </c>
      <c r="M228" s="803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28" s="670" t="n"/>
      <c r="O228" s="670" t="n"/>
      <c r="P228" s="670" t="n"/>
      <c r="Q228" s="636" t="n"/>
      <c r="R228" s="40" t="inlineStr"/>
      <c r="S228" s="40" t="inlineStr"/>
      <c r="T228" s="41" t="inlineStr">
        <is>
          <t>кг</t>
        </is>
      </c>
      <c r="U228" s="671" t="n">
        <v>0</v>
      </c>
      <c r="V228" s="672">
        <f>IFERROR(IF(U228="",0,CEILING((U228/$H228),1)*$H228),"")</f>
        <v/>
      </c>
      <c r="W228" s="42">
        <f>IFERROR(IF(V228=0,"",ROUNDUP(V228/H228,0)*0.02175),"")</f>
        <v/>
      </c>
      <c r="X228" s="69" t="inlineStr"/>
      <c r="Y228" s="70" t="inlineStr"/>
      <c r="AC228" s="71" t="n"/>
      <c r="AZ228" s="200" t="inlineStr">
        <is>
          <t>КИ</t>
        </is>
      </c>
    </row>
    <row r="229" ht="16.5" customHeight="1">
      <c r="A229" s="64" t="inlineStr">
        <is>
          <t>SU001430</t>
        </is>
      </c>
      <c r="B229" s="64" t="inlineStr">
        <is>
          <t>P002036</t>
        </is>
      </c>
      <c r="C229" s="37" t="n">
        <v>4301060325</v>
      </c>
      <c r="D229" s="315" t="n">
        <v>4607091380897</v>
      </c>
      <c r="E229" s="636" t="n"/>
      <c r="F229" s="668" t="n">
        <v>1.4</v>
      </c>
      <c r="G229" s="38" t="n">
        <v>6</v>
      </c>
      <c r="H229" s="668" t="n">
        <v>8.4</v>
      </c>
      <c r="I229" s="668" t="n">
        <v>8.964</v>
      </c>
      <c r="J229" s="38" t="n">
        <v>56</v>
      </c>
      <c r="K229" s="39" t="inlineStr">
        <is>
          <t>СК2</t>
        </is>
      </c>
      <c r="L229" s="38" t="n">
        <v>30</v>
      </c>
      <c r="M229" s="804">
        <f>HYPERLINK("https://abi.ru/products/Охлажденные/Стародворье/Бордо/Сардельки/P002036/","Сардельки Шпикачки Бордо Весовые NDX мгс Стародворье")</f>
        <v/>
      </c>
      <c r="N229" s="670" t="n"/>
      <c r="O229" s="670" t="n"/>
      <c r="P229" s="670" t="n"/>
      <c r="Q229" s="636" t="n"/>
      <c r="R229" s="40" t="inlineStr"/>
      <c r="S229" s="40" t="inlineStr"/>
      <c r="T229" s="41" t="inlineStr">
        <is>
          <t>кг</t>
        </is>
      </c>
      <c r="U229" s="671" t="n">
        <v>0</v>
      </c>
      <c r="V229" s="672">
        <f>IFERROR(IF(U229="",0,CEILING((U229/$H229),1)*$H229),"")</f>
        <v/>
      </c>
      <c r="W229" s="42">
        <f>IFERROR(IF(V229=0,"",ROUNDUP(V229/H229,0)*0.02175),"")</f>
        <v/>
      </c>
      <c r="X229" s="69" t="inlineStr"/>
      <c r="Y229" s="70" t="inlineStr"/>
      <c r="AC229" s="71" t="n"/>
      <c r="AZ229" s="201" t="inlineStr">
        <is>
          <t>КИ</t>
        </is>
      </c>
    </row>
    <row r="230" ht="16.5" customHeight="1">
      <c r="A230" s="64" t="inlineStr">
        <is>
          <t>SU002691</t>
        </is>
      </c>
      <c r="B230" s="64" t="inlineStr">
        <is>
          <t>P003055</t>
        </is>
      </c>
      <c r="C230" s="37" t="n">
        <v>4301060337</v>
      </c>
      <c r="D230" s="315" t="n">
        <v>4680115880368</v>
      </c>
      <c r="E230" s="636" t="n"/>
      <c r="F230" s="668" t="n">
        <v>1</v>
      </c>
      <c r="G230" s="38" t="n">
        <v>4</v>
      </c>
      <c r="H230" s="668" t="n">
        <v>4</v>
      </c>
      <c r="I230" s="668" t="n">
        <v>4.36</v>
      </c>
      <c r="J230" s="38" t="n">
        <v>104</v>
      </c>
      <c r="K230" s="39" t="inlineStr">
        <is>
          <t>СК3</t>
        </is>
      </c>
      <c r="L230" s="38" t="n">
        <v>40</v>
      </c>
      <c r="M230" s="805">
        <f>HYPERLINK("https://abi.ru/products/Охлажденные/Стародворье/Бордо/Сардельки/P003055/","Сардельки Царедворские Бордо ф/в 1 кг п/а Стародворье")</f>
        <v/>
      </c>
      <c r="N230" s="670" t="n"/>
      <c r="O230" s="670" t="n"/>
      <c r="P230" s="670" t="n"/>
      <c r="Q230" s="636" t="n"/>
      <c r="R230" s="40" t="inlineStr"/>
      <c r="S230" s="40" t="inlineStr"/>
      <c r="T230" s="41" t="inlineStr">
        <is>
          <t>кг</t>
        </is>
      </c>
      <c r="U230" s="671" t="n">
        <v>0</v>
      </c>
      <c r="V230" s="672">
        <f>IFERROR(IF(U230="",0,CEILING((U230/$H230),1)*$H230),"")</f>
        <v/>
      </c>
      <c r="W230" s="42">
        <f>IFERROR(IF(V230=0,"",ROUNDUP(V230/H230,0)*0.01196),"")</f>
        <v/>
      </c>
      <c r="X230" s="69" t="inlineStr"/>
      <c r="Y230" s="70" t="inlineStr"/>
      <c r="AC230" s="71" t="n"/>
      <c r="AZ230" s="202" t="inlineStr">
        <is>
          <t>КИ</t>
        </is>
      </c>
    </row>
    <row r="231">
      <c r="A231" s="323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673" t="n"/>
      <c r="M231" s="674" t="inlineStr">
        <is>
          <t>Итого</t>
        </is>
      </c>
      <c r="N231" s="644" t="n"/>
      <c r="O231" s="644" t="n"/>
      <c r="P231" s="644" t="n"/>
      <c r="Q231" s="644" t="n"/>
      <c r="R231" s="644" t="n"/>
      <c r="S231" s="645" t="n"/>
      <c r="T231" s="43" t="inlineStr">
        <is>
          <t>кор</t>
        </is>
      </c>
      <c r="U231" s="675">
        <f>IFERROR(U227/H227,"0")+IFERROR(U228/H228,"0")+IFERROR(U229/H229,"0")+IFERROR(U230/H230,"0")</f>
        <v/>
      </c>
      <c r="V231" s="675">
        <f>IFERROR(V227/H227,"0")+IFERROR(V228/H228,"0")+IFERROR(V229/H229,"0")+IFERROR(V230/H230,"0")</f>
        <v/>
      </c>
      <c r="W231" s="675">
        <f>IFERROR(IF(W227="",0,W227),"0")+IFERROR(IF(W228="",0,W228),"0")+IFERROR(IF(W229="",0,W229),"0")+IFERROR(IF(W230="",0,W230),"0")</f>
        <v/>
      </c>
      <c r="X231" s="676" t="n"/>
      <c r="Y231" s="676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673" t="n"/>
      <c r="M232" s="674" t="inlineStr">
        <is>
          <t>Итого</t>
        </is>
      </c>
      <c r="N232" s="644" t="n"/>
      <c r="O232" s="644" t="n"/>
      <c r="P232" s="644" t="n"/>
      <c r="Q232" s="644" t="n"/>
      <c r="R232" s="644" t="n"/>
      <c r="S232" s="645" t="n"/>
      <c r="T232" s="43" t="inlineStr">
        <is>
          <t>кг</t>
        </is>
      </c>
      <c r="U232" s="675">
        <f>IFERROR(SUM(U227:U230),"0")</f>
        <v/>
      </c>
      <c r="V232" s="675">
        <f>IFERROR(SUM(V227:V230),"0")</f>
        <v/>
      </c>
      <c r="W232" s="43" t="n"/>
      <c r="X232" s="676" t="n"/>
      <c r="Y232" s="676" t="n"/>
    </row>
    <row r="233" ht="14.25" customHeight="1">
      <c r="A233" s="331" t="inlineStr">
        <is>
          <t>Сырокопченые колбасы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331" t="n"/>
      <c r="Y233" s="331" t="n"/>
    </row>
    <row r="234" ht="16.5" customHeight="1">
      <c r="A234" s="64" t="inlineStr">
        <is>
          <t>SU001920</t>
        </is>
      </c>
      <c r="B234" s="64" t="inlineStr">
        <is>
          <t>P001900</t>
        </is>
      </c>
      <c r="C234" s="37" t="n">
        <v>4301030232</v>
      </c>
      <c r="D234" s="315" t="n">
        <v>4607091388374</v>
      </c>
      <c r="E234" s="636" t="n"/>
      <c r="F234" s="668" t="n">
        <v>0.38</v>
      </c>
      <c r="G234" s="38" t="n">
        <v>8</v>
      </c>
      <c r="H234" s="668" t="n">
        <v>3.04</v>
      </c>
      <c r="I234" s="668" t="n">
        <v>3.28</v>
      </c>
      <c r="J234" s="38" t="n">
        <v>156</v>
      </c>
      <c r="K234" s="39" t="inlineStr">
        <is>
          <t>АК</t>
        </is>
      </c>
      <c r="L234" s="38" t="n">
        <v>180</v>
      </c>
      <c r="M234" s="806" t="inlineStr">
        <is>
          <t>С/к колбасы Княжеская Бордо Весовые б/о терм/п Стародворье</t>
        </is>
      </c>
      <c r="N234" s="670" t="n"/>
      <c r="O234" s="670" t="n"/>
      <c r="P234" s="670" t="n"/>
      <c r="Q234" s="636" t="n"/>
      <c r="R234" s="40" t="inlineStr"/>
      <c r="S234" s="40" t="inlineStr"/>
      <c r="T234" s="41" t="inlineStr">
        <is>
          <t>кг</t>
        </is>
      </c>
      <c r="U234" s="671" t="n">
        <v>0</v>
      </c>
      <c r="V234" s="672">
        <f>IFERROR(IF(U234="",0,CEILING((U234/$H234),1)*$H234),"")</f>
        <v/>
      </c>
      <c r="W234" s="42">
        <f>IFERROR(IF(V234=0,"",ROUNDUP(V234/H234,0)*0.00753),"")</f>
        <v/>
      </c>
      <c r="X234" s="69" t="inlineStr"/>
      <c r="Y234" s="70" t="inlineStr"/>
      <c r="AC234" s="71" t="n"/>
      <c r="AZ234" s="203" t="inlineStr">
        <is>
          <t>КИ</t>
        </is>
      </c>
    </row>
    <row r="235" ht="27" customHeight="1">
      <c r="A235" s="64" t="inlineStr">
        <is>
          <t>SU001921</t>
        </is>
      </c>
      <c r="B235" s="64" t="inlineStr">
        <is>
          <t>P001916</t>
        </is>
      </c>
      <c r="C235" s="37" t="n">
        <v>4301030235</v>
      </c>
      <c r="D235" s="315" t="n">
        <v>4607091388381</v>
      </c>
      <c r="E235" s="636" t="n"/>
      <c r="F235" s="668" t="n">
        <v>0.38</v>
      </c>
      <c r="G235" s="38" t="n">
        <v>8</v>
      </c>
      <c r="H235" s="668" t="n">
        <v>3.04</v>
      </c>
      <c r="I235" s="668" t="n">
        <v>3.32</v>
      </c>
      <c r="J235" s="38" t="n">
        <v>156</v>
      </c>
      <c r="K235" s="39" t="inlineStr">
        <is>
          <t>АК</t>
        </is>
      </c>
      <c r="L235" s="38" t="n">
        <v>180</v>
      </c>
      <c r="M235" s="807" t="inlineStr">
        <is>
          <t>С/к колбасы Салями Охотничья Бордо Весовые б/о терм/п 180 Стародворье</t>
        </is>
      </c>
      <c r="N235" s="670" t="n"/>
      <c r="O235" s="670" t="n"/>
      <c r="P235" s="670" t="n"/>
      <c r="Q235" s="636" t="n"/>
      <c r="R235" s="40" t="inlineStr"/>
      <c r="S235" s="40" t="inlineStr"/>
      <c r="T235" s="41" t="inlineStr">
        <is>
          <t>кг</t>
        </is>
      </c>
      <c r="U235" s="671" t="n">
        <v>0</v>
      </c>
      <c r="V235" s="672">
        <f>IFERROR(IF(U235="",0,CEILING((U235/$H235),1)*$H235),"")</f>
        <v/>
      </c>
      <c r="W235" s="42">
        <f>IFERROR(IF(V235=0,"",ROUNDUP(V235/H235,0)*0.00753),"")</f>
        <v/>
      </c>
      <c r="X235" s="69" t="inlineStr"/>
      <c r="Y235" s="70" t="inlineStr"/>
      <c r="AC235" s="71" t="n"/>
      <c r="AZ235" s="204" t="inlineStr">
        <is>
          <t>КИ</t>
        </is>
      </c>
    </row>
    <row r="236" ht="27" customHeight="1">
      <c r="A236" s="64" t="inlineStr">
        <is>
          <t>SU001869</t>
        </is>
      </c>
      <c r="B236" s="64" t="inlineStr">
        <is>
          <t>P001909</t>
        </is>
      </c>
      <c r="C236" s="37" t="n">
        <v>4301030233</v>
      </c>
      <c r="D236" s="315" t="n">
        <v>4607091388404</v>
      </c>
      <c r="E236" s="636" t="n"/>
      <c r="F236" s="668" t="n">
        <v>0.17</v>
      </c>
      <c r="G236" s="38" t="n">
        <v>15</v>
      </c>
      <c r="H236" s="668" t="n">
        <v>2.55</v>
      </c>
      <c r="I236" s="668" t="n">
        <v>2.9</v>
      </c>
      <c r="J236" s="38" t="n">
        <v>156</v>
      </c>
      <c r="K236" s="39" t="inlineStr">
        <is>
          <t>АК</t>
        </is>
      </c>
      <c r="L236" s="38" t="n">
        <v>180</v>
      </c>
      <c r="M236" s="808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36" s="670" t="n"/>
      <c r="O236" s="670" t="n"/>
      <c r="P236" s="670" t="n"/>
      <c r="Q236" s="636" t="n"/>
      <c r="R236" s="40" t="inlineStr"/>
      <c r="S236" s="40" t="inlineStr"/>
      <c r="T236" s="41" t="inlineStr">
        <is>
          <t>кг</t>
        </is>
      </c>
      <c r="U236" s="671" t="n">
        <v>0</v>
      </c>
      <c r="V236" s="672">
        <f>IFERROR(IF(U236="",0,CEILING((U236/$H236),1)*$H236),"")</f>
        <v/>
      </c>
      <c r="W236" s="42">
        <f>IFERROR(IF(V236=0,"",ROUNDUP(V236/H236,0)*0.00753),"")</f>
        <v/>
      </c>
      <c r="X236" s="69" t="inlineStr"/>
      <c r="Y236" s="70" t="inlineStr"/>
      <c r="AC236" s="71" t="n"/>
      <c r="AZ236" s="205" t="inlineStr">
        <is>
          <t>КИ</t>
        </is>
      </c>
    </row>
    <row r="237">
      <c r="A237" s="323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673" t="n"/>
      <c r="M237" s="674" t="inlineStr">
        <is>
          <t>Итого</t>
        </is>
      </c>
      <c r="N237" s="644" t="n"/>
      <c r="O237" s="644" t="n"/>
      <c r="P237" s="644" t="n"/>
      <c r="Q237" s="644" t="n"/>
      <c r="R237" s="644" t="n"/>
      <c r="S237" s="645" t="n"/>
      <c r="T237" s="43" t="inlineStr">
        <is>
          <t>кор</t>
        </is>
      </c>
      <c r="U237" s="675">
        <f>IFERROR(U234/H234,"0")+IFERROR(U235/H235,"0")+IFERROR(U236/H236,"0")</f>
        <v/>
      </c>
      <c r="V237" s="675">
        <f>IFERROR(V234/H234,"0")+IFERROR(V235/H235,"0")+IFERROR(V236/H236,"0")</f>
        <v/>
      </c>
      <c r="W237" s="675">
        <f>IFERROR(IF(W234="",0,W234),"0")+IFERROR(IF(W235="",0,W235),"0")+IFERROR(IF(W236="",0,W236),"0")</f>
        <v/>
      </c>
      <c r="X237" s="676" t="n"/>
      <c r="Y237" s="676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73" t="n"/>
      <c r="M238" s="674" t="inlineStr">
        <is>
          <t>Итого</t>
        </is>
      </c>
      <c r="N238" s="644" t="n"/>
      <c r="O238" s="644" t="n"/>
      <c r="P238" s="644" t="n"/>
      <c r="Q238" s="644" t="n"/>
      <c r="R238" s="644" t="n"/>
      <c r="S238" s="645" t="n"/>
      <c r="T238" s="43" t="inlineStr">
        <is>
          <t>кг</t>
        </is>
      </c>
      <c r="U238" s="675">
        <f>IFERROR(SUM(U234:U236),"0")</f>
        <v/>
      </c>
      <c r="V238" s="675">
        <f>IFERROR(SUM(V234:V236),"0")</f>
        <v/>
      </c>
      <c r="W238" s="43" t="n"/>
      <c r="X238" s="676" t="n"/>
      <c r="Y238" s="676" t="n"/>
    </row>
    <row r="239" ht="14.25" customHeight="1">
      <c r="A239" s="331" t="inlineStr">
        <is>
          <t>Паштеты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331" t="n"/>
      <c r="Y239" s="331" t="n"/>
    </row>
    <row r="240" ht="16.5" customHeight="1">
      <c r="A240" s="64" t="inlineStr">
        <is>
          <t>SU002841</t>
        </is>
      </c>
      <c r="B240" s="64" t="inlineStr">
        <is>
          <t>P003253</t>
        </is>
      </c>
      <c r="C240" s="37" t="n">
        <v>4301180007</v>
      </c>
      <c r="D240" s="315" t="n">
        <v>4680115881808</v>
      </c>
      <c r="E240" s="636" t="n"/>
      <c r="F240" s="668" t="n">
        <v>0.1</v>
      </c>
      <c r="G240" s="38" t="n">
        <v>20</v>
      </c>
      <c r="H240" s="668" t="n">
        <v>2</v>
      </c>
      <c r="I240" s="668" t="n">
        <v>2.24</v>
      </c>
      <c r="J240" s="38" t="n">
        <v>238</v>
      </c>
      <c r="K240" s="39" t="inlineStr">
        <is>
          <t>РК</t>
        </is>
      </c>
      <c r="L240" s="38" t="n">
        <v>730</v>
      </c>
      <c r="M240" s="809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0" s="670" t="n"/>
      <c r="O240" s="670" t="n"/>
      <c r="P240" s="670" t="n"/>
      <c r="Q240" s="636" t="n"/>
      <c r="R240" s="40" t="inlineStr"/>
      <c r="S240" s="40" t="inlineStr"/>
      <c r="T240" s="41" t="inlineStr">
        <is>
          <t>кг</t>
        </is>
      </c>
      <c r="U240" s="671" t="n">
        <v>10</v>
      </c>
      <c r="V240" s="672">
        <f>IFERROR(IF(U240="",0,CEILING((U240/$H240),1)*$H240),"")</f>
        <v/>
      </c>
      <c r="W240" s="42">
        <f>IFERROR(IF(V240=0,"",ROUNDUP(V240/H240,0)*0.00474),"")</f>
        <v/>
      </c>
      <c r="X240" s="69" t="inlineStr"/>
      <c r="Y240" s="70" t="inlineStr"/>
      <c r="AC240" s="71" t="n"/>
      <c r="AZ240" s="206" t="inlineStr">
        <is>
          <t>КИ</t>
        </is>
      </c>
    </row>
    <row r="241" ht="27" customHeight="1">
      <c r="A241" s="64" t="inlineStr">
        <is>
          <t>SU002840</t>
        </is>
      </c>
      <c r="B241" s="64" t="inlineStr">
        <is>
          <t>P003252</t>
        </is>
      </c>
      <c r="C241" s="37" t="n">
        <v>4301180006</v>
      </c>
      <c r="D241" s="315" t="n">
        <v>4680115881822</v>
      </c>
      <c r="E241" s="636" t="n"/>
      <c r="F241" s="668" t="n">
        <v>0.1</v>
      </c>
      <c r="G241" s="38" t="n">
        <v>20</v>
      </c>
      <c r="H241" s="668" t="n">
        <v>2</v>
      </c>
      <c r="I241" s="668" t="n">
        <v>2.24</v>
      </c>
      <c r="J241" s="38" t="n">
        <v>238</v>
      </c>
      <c r="K241" s="39" t="inlineStr">
        <is>
          <t>РК</t>
        </is>
      </c>
      <c r="L241" s="38" t="n">
        <v>730</v>
      </c>
      <c r="M241" s="810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1" s="670" t="n"/>
      <c r="O241" s="670" t="n"/>
      <c r="P241" s="670" t="n"/>
      <c r="Q241" s="636" t="n"/>
      <c r="R241" s="40" t="inlineStr"/>
      <c r="S241" s="40" t="inlineStr"/>
      <c r="T241" s="41" t="inlineStr">
        <is>
          <t>кг</t>
        </is>
      </c>
      <c r="U241" s="671" t="n">
        <v>0</v>
      </c>
      <c r="V241" s="672">
        <f>IFERROR(IF(U241="",0,CEILING((U241/$H241),1)*$H241),"")</f>
        <v/>
      </c>
      <c r="W241" s="42">
        <f>IFERROR(IF(V241=0,"",ROUNDUP(V241/H241,0)*0.00474),"")</f>
        <v/>
      </c>
      <c r="X241" s="69" t="inlineStr"/>
      <c r="Y241" s="70" t="inlineStr"/>
      <c r="AC241" s="71" t="n"/>
      <c r="AZ241" s="207" t="inlineStr">
        <is>
          <t>КИ</t>
        </is>
      </c>
    </row>
    <row r="242" ht="27" customHeight="1">
      <c r="A242" s="64" t="inlineStr">
        <is>
          <t>SU002368</t>
        </is>
      </c>
      <c r="B242" s="64" t="inlineStr">
        <is>
          <t>P002648</t>
        </is>
      </c>
      <c r="C242" s="37" t="n">
        <v>4301180001</v>
      </c>
      <c r="D242" s="315" t="n">
        <v>4680115880016</v>
      </c>
      <c r="E242" s="636" t="n"/>
      <c r="F242" s="668" t="n">
        <v>0.1</v>
      </c>
      <c r="G242" s="38" t="n">
        <v>20</v>
      </c>
      <c r="H242" s="668" t="n">
        <v>2</v>
      </c>
      <c r="I242" s="668" t="n">
        <v>2.24</v>
      </c>
      <c r="J242" s="38" t="n">
        <v>238</v>
      </c>
      <c r="K242" s="39" t="inlineStr">
        <is>
          <t>РК</t>
        </is>
      </c>
      <c r="L242" s="38" t="n">
        <v>730</v>
      </c>
      <c r="M242" s="811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2" s="670" t="n"/>
      <c r="O242" s="670" t="n"/>
      <c r="P242" s="670" t="n"/>
      <c r="Q242" s="636" t="n"/>
      <c r="R242" s="40" t="inlineStr"/>
      <c r="S242" s="40" t="inlineStr"/>
      <c r="T242" s="41" t="inlineStr">
        <is>
          <t>кг</t>
        </is>
      </c>
      <c r="U242" s="671" t="n">
        <v>20</v>
      </c>
      <c r="V242" s="672">
        <f>IFERROR(IF(U242="",0,CEILING((U242/$H242),1)*$H242),"")</f>
        <v/>
      </c>
      <c r="W242" s="42">
        <f>IFERROR(IF(V242=0,"",ROUNDUP(V242/H242,0)*0.00474),"")</f>
        <v/>
      </c>
      <c r="X242" s="69" t="inlineStr"/>
      <c r="Y242" s="70" t="inlineStr"/>
      <c r="AC242" s="71" t="n"/>
      <c r="AZ242" s="208" t="inlineStr">
        <is>
          <t>КИ</t>
        </is>
      </c>
    </row>
    <row r="243">
      <c r="A243" s="323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673" t="n"/>
      <c r="M243" s="674" t="inlineStr">
        <is>
          <t>Итого</t>
        </is>
      </c>
      <c r="N243" s="644" t="n"/>
      <c r="O243" s="644" t="n"/>
      <c r="P243" s="644" t="n"/>
      <c r="Q243" s="644" t="n"/>
      <c r="R243" s="644" t="n"/>
      <c r="S243" s="645" t="n"/>
      <c r="T243" s="43" t="inlineStr">
        <is>
          <t>кор</t>
        </is>
      </c>
      <c r="U243" s="675">
        <f>IFERROR(U240/H240,"0")+IFERROR(U241/H241,"0")+IFERROR(U242/H242,"0")</f>
        <v/>
      </c>
      <c r="V243" s="675">
        <f>IFERROR(V240/H240,"0")+IFERROR(V241/H241,"0")+IFERROR(V242/H242,"0")</f>
        <v/>
      </c>
      <c r="W243" s="675">
        <f>IFERROR(IF(W240="",0,W240),"0")+IFERROR(IF(W241="",0,W241),"0")+IFERROR(IF(W242="",0,W242),"0")</f>
        <v/>
      </c>
      <c r="X243" s="676" t="n"/>
      <c r="Y243" s="676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673" t="n"/>
      <c r="M244" s="674" t="inlineStr">
        <is>
          <t>Итого</t>
        </is>
      </c>
      <c r="N244" s="644" t="n"/>
      <c r="O244" s="644" t="n"/>
      <c r="P244" s="644" t="n"/>
      <c r="Q244" s="644" t="n"/>
      <c r="R244" s="644" t="n"/>
      <c r="S244" s="645" t="n"/>
      <c r="T244" s="43" t="inlineStr">
        <is>
          <t>кг</t>
        </is>
      </c>
      <c r="U244" s="675">
        <f>IFERROR(SUM(U240:U242),"0")</f>
        <v/>
      </c>
      <c r="V244" s="675">
        <f>IFERROR(SUM(V240:V242),"0")</f>
        <v/>
      </c>
      <c r="W244" s="43" t="n"/>
      <c r="X244" s="676" t="n"/>
      <c r="Y244" s="676" t="n"/>
    </row>
    <row r="245" ht="16.5" customHeight="1">
      <c r="A245" s="330" t="inlineStr">
        <is>
          <t>Фирменная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330" t="n"/>
      <c r="Y245" s="330" t="n"/>
    </row>
    <row r="246" ht="14.25" customHeight="1">
      <c r="A246" s="331" t="inlineStr">
        <is>
          <t>Вареные колбасы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331" t="n"/>
      <c r="Y246" s="331" t="n"/>
    </row>
    <row r="247" ht="27" customHeight="1">
      <c r="A247" s="64" t="inlineStr">
        <is>
          <t>SU001793</t>
        </is>
      </c>
      <c r="B247" s="64" t="inlineStr">
        <is>
          <t>P001793</t>
        </is>
      </c>
      <c r="C247" s="37" t="n">
        <v>4301011315</v>
      </c>
      <c r="D247" s="315" t="n">
        <v>4607091387421</v>
      </c>
      <c r="E247" s="636" t="n"/>
      <c r="F247" s="668" t="n">
        <v>1.35</v>
      </c>
      <c r="G247" s="38" t="n">
        <v>8</v>
      </c>
      <c r="H247" s="668" t="n">
        <v>10.8</v>
      </c>
      <c r="I247" s="668" t="n">
        <v>11.28</v>
      </c>
      <c r="J247" s="38" t="n">
        <v>56</v>
      </c>
      <c r="K247" s="39" t="inlineStr">
        <is>
          <t>СК1</t>
        </is>
      </c>
      <c r="L247" s="38" t="n">
        <v>55</v>
      </c>
      <c r="M247" s="812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47" s="670" t="n"/>
      <c r="O247" s="670" t="n"/>
      <c r="P247" s="670" t="n"/>
      <c r="Q247" s="636" t="n"/>
      <c r="R247" s="40" t="inlineStr"/>
      <c r="S247" s="40" t="inlineStr"/>
      <c r="T247" s="41" t="inlineStr">
        <is>
          <t>кг</t>
        </is>
      </c>
      <c r="U247" s="671" t="n">
        <v>0</v>
      </c>
      <c r="V247" s="672">
        <f>IFERROR(IF(U247="",0,CEILING((U247/$H247),1)*$H247),"")</f>
        <v/>
      </c>
      <c r="W247" s="42">
        <f>IFERROR(IF(V247=0,"",ROUNDUP(V247/H247,0)*0.02175),"")</f>
        <v/>
      </c>
      <c r="X247" s="69" t="inlineStr"/>
      <c r="Y247" s="70" t="inlineStr"/>
      <c r="AC247" s="71" t="n"/>
      <c r="AZ247" s="209" t="inlineStr">
        <is>
          <t>КИ</t>
        </is>
      </c>
    </row>
    <row r="248" ht="27" customHeight="1">
      <c r="A248" s="64" t="inlineStr">
        <is>
          <t>SU001793</t>
        </is>
      </c>
      <c r="B248" s="64" t="inlineStr">
        <is>
          <t>P002227</t>
        </is>
      </c>
      <c r="C248" s="37" t="n">
        <v>4301011121</v>
      </c>
      <c r="D248" s="315" t="n">
        <v>4607091387421</v>
      </c>
      <c r="E248" s="636" t="n"/>
      <c r="F248" s="668" t="n">
        <v>1.35</v>
      </c>
      <c r="G248" s="38" t="n">
        <v>8</v>
      </c>
      <c r="H248" s="668" t="n">
        <v>10.8</v>
      </c>
      <c r="I248" s="668" t="n">
        <v>11.28</v>
      </c>
      <c r="J248" s="38" t="n">
        <v>48</v>
      </c>
      <c r="K248" s="39" t="inlineStr">
        <is>
          <t>ВЗ</t>
        </is>
      </c>
      <c r="L248" s="38" t="n">
        <v>55</v>
      </c>
      <c r="M248" s="813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48" s="670" t="n"/>
      <c r="O248" s="670" t="n"/>
      <c r="P248" s="670" t="n"/>
      <c r="Q248" s="636" t="n"/>
      <c r="R248" s="40" t="inlineStr"/>
      <c r="S248" s="40" t="inlineStr"/>
      <c r="T248" s="41" t="inlineStr">
        <is>
          <t>кг</t>
        </is>
      </c>
      <c r="U248" s="671" t="n">
        <v>0</v>
      </c>
      <c r="V248" s="672">
        <f>IFERROR(IF(U248="",0,CEILING((U248/$H248),1)*$H248),"")</f>
        <v/>
      </c>
      <c r="W248" s="42">
        <f>IFERROR(IF(V248=0,"",ROUNDUP(V248/H248,0)*0.02039),"")</f>
        <v/>
      </c>
      <c r="X248" s="69" t="inlineStr"/>
      <c r="Y248" s="70" t="inlineStr"/>
      <c r="AC248" s="71" t="n"/>
      <c r="AZ248" s="210" t="inlineStr">
        <is>
          <t>КИ</t>
        </is>
      </c>
    </row>
    <row r="249" ht="27" customHeight="1">
      <c r="A249" s="64" t="inlineStr">
        <is>
          <t>SU001799</t>
        </is>
      </c>
      <c r="B249" s="64" t="inlineStr">
        <is>
          <t>P003076</t>
        </is>
      </c>
      <c r="C249" s="37" t="n">
        <v>4301011396</v>
      </c>
      <c r="D249" s="315" t="n">
        <v>4607091387452</v>
      </c>
      <c r="E249" s="636" t="n"/>
      <c r="F249" s="668" t="n">
        <v>1.35</v>
      </c>
      <c r="G249" s="38" t="n">
        <v>8</v>
      </c>
      <c r="H249" s="668" t="n">
        <v>10.8</v>
      </c>
      <c r="I249" s="668" t="n">
        <v>11.28</v>
      </c>
      <c r="J249" s="38" t="n">
        <v>48</v>
      </c>
      <c r="K249" s="39" t="inlineStr">
        <is>
          <t>ВЗ</t>
        </is>
      </c>
      <c r="L249" s="38" t="n">
        <v>55</v>
      </c>
      <c r="M249" s="814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49" s="670" t="n"/>
      <c r="O249" s="670" t="n"/>
      <c r="P249" s="670" t="n"/>
      <c r="Q249" s="636" t="n"/>
      <c r="R249" s="40" t="inlineStr"/>
      <c r="S249" s="40" t="inlineStr"/>
      <c r="T249" s="41" t="inlineStr">
        <is>
          <t>кг</t>
        </is>
      </c>
      <c r="U249" s="671" t="n">
        <v>0</v>
      </c>
      <c r="V249" s="672">
        <f>IFERROR(IF(U249="",0,CEILING((U249/$H249),1)*$H249),"")</f>
        <v/>
      </c>
      <c r="W249" s="42">
        <f>IFERROR(IF(V249=0,"",ROUNDUP(V249/H249,0)*0.02039),"")</f>
        <v/>
      </c>
      <c r="X249" s="69" t="inlineStr"/>
      <c r="Y249" s="70" t="inlineStr"/>
      <c r="AC249" s="71" t="n"/>
      <c r="AZ249" s="211" t="inlineStr">
        <is>
          <t>КИ</t>
        </is>
      </c>
    </row>
    <row r="250" ht="27" customHeight="1">
      <c r="A250" s="64" t="inlineStr">
        <is>
          <t>SU001799</t>
        </is>
      </c>
      <c r="B250" s="64" t="inlineStr">
        <is>
          <t>P001799</t>
        </is>
      </c>
      <c r="C250" s="37" t="n">
        <v>4301011322</v>
      </c>
      <c r="D250" s="315" t="n">
        <v>4607091387452</v>
      </c>
      <c r="E250" s="636" t="n"/>
      <c r="F250" s="668" t="n">
        <v>1.35</v>
      </c>
      <c r="G250" s="38" t="n">
        <v>8</v>
      </c>
      <c r="H250" s="668" t="n">
        <v>10.8</v>
      </c>
      <c r="I250" s="668" t="n">
        <v>11.28</v>
      </c>
      <c r="J250" s="38" t="n">
        <v>56</v>
      </c>
      <c r="K250" s="39" t="inlineStr">
        <is>
          <t>СК3</t>
        </is>
      </c>
      <c r="L250" s="38" t="n">
        <v>55</v>
      </c>
      <c r="M250" s="815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50" s="670" t="n"/>
      <c r="O250" s="670" t="n"/>
      <c r="P250" s="670" t="n"/>
      <c r="Q250" s="636" t="n"/>
      <c r="R250" s="40" t="inlineStr"/>
      <c r="S250" s="40" t="inlineStr"/>
      <c r="T250" s="41" t="inlineStr">
        <is>
          <t>кг</t>
        </is>
      </c>
      <c r="U250" s="671" t="n">
        <v>0</v>
      </c>
      <c r="V250" s="672">
        <f>IFERROR(IF(U250="",0,CEILING((U250/$H250),1)*$H250),"")</f>
        <v/>
      </c>
      <c r="W250" s="42">
        <f>IFERROR(IF(V250=0,"",ROUNDUP(V250/H250,0)*0.02175),"")</f>
        <v/>
      </c>
      <c r="X250" s="69" t="inlineStr"/>
      <c r="Y250" s="70" t="inlineStr"/>
      <c r="AC250" s="71" t="n"/>
      <c r="AZ250" s="212" t="inlineStr">
        <is>
          <t>КИ</t>
        </is>
      </c>
    </row>
    <row r="251" ht="27" customHeight="1">
      <c r="A251" s="64" t="inlineStr">
        <is>
          <t>SU001792</t>
        </is>
      </c>
      <c r="B251" s="64" t="inlineStr">
        <is>
          <t>P001792</t>
        </is>
      </c>
      <c r="C251" s="37" t="n">
        <v>4301011313</v>
      </c>
      <c r="D251" s="315" t="n">
        <v>4607091385984</v>
      </c>
      <c r="E251" s="636" t="n"/>
      <c r="F251" s="668" t="n">
        <v>1.35</v>
      </c>
      <c r="G251" s="38" t="n">
        <v>8</v>
      </c>
      <c r="H251" s="668" t="n">
        <v>10.8</v>
      </c>
      <c r="I251" s="668" t="n">
        <v>11.28</v>
      </c>
      <c r="J251" s="38" t="n">
        <v>56</v>
      </c>
      <c r="K251" s="39" t="inlineStr">
        <is>
          <t>СК1</t>
        </is>
      </c>
      <c r="L251" s="38" t="n">
        <v>55</v>
      </c>
      <c r="M251" s="816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1" s="670" t="n"/>
      <c r="O251" s="670" t="n"/>
      <c r="P251" s="670" t="n"/>
      <c r="Q251" s="636" t="n"/>
      <c r="R251" s="40" t="inlineStr"/>
      <c r="S251" s="40" t="inlineStr"/>
      <c r="T251" s="41" t="inlineStr">
        <is>
          <t>кг</t>
        </is>
      </c>
      <c r="U251" s="671" t="n">
        <v>0</v>
      </c>
      <c r="V251" s="672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71" t="n"/>
      <c r="AZ251" s="213" t="inlineStr">
        <is>
          <t>КИ</t>
        </is>
      </c>
    </row>
    <row r="252" ht="27" customHeight="1">
      <c r="A252" s="64" t="inlineStr">
        <is>
          <t>SU001794</t>
        </is>
      </c>
      <c r="B252" s="64" t="inlineStr">
        <is>
          <t>P001794</t>
        </is>
      </c>
      <c r="C252" s="37" t="n">
        <v>4301011316</v>
      </c>
      <c r="D252" s="315" t="n">
        <v>4607091387438</v>
      </c>
      <c r="E252" s="636" t="n"/>
      <c r="F252" s="668" t="n">
        <v>0.5</v>
      </c>
      <c r="G252" s="38" t="n">
        <v>10</v>
      </c>
      <c r="H252" s="668" t="n">
        <v>5</v>
      </c>
      <c r="I252" s="668" t="n">
        <v>5.24</v>
      </c>
      <c r="J252" s="38" t="n">
        <v>120</v>
      </c>
      <c r="K252" s="39" t="inlineStr">
        <is>
          <t>СК1</t>
        </is>
      </c>
      <c r="L252" s="38" t="n">
        <v>55</v>
      </c>
      <c r="M252" s="817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2" s="670" t="n"/>
      <c r="O252" s="670" t="n"/>
      <c r="P252" s="670" t="n"/>
      <c r="Q252" s="636" t="n"/>
      <c r="R252" s="40" t="inlineStr"/>
      <c r="S252" s="40" t="inlineStr"/>
      <c r="T252" s="41" t="inlineStr">
        <is>
          <t>кг</t>
        </is>
      </c>
      <c r="U252" s="671" t="n">
        <v>0</v>
      </c>
      <c r="V252" s="672">
        <f>IFERROR(IF(U252="",0,CEILING((U252/$H252),1)*$H252),"")</f>
        <v/>
      </c>
      <c r="W252" s="42">
        <f>IFERROR(IF(V252=0,"",ROUNDUP(V252/H252,0)*0.00937),"")</f>
        <v/>
      </c>
      <c r="X252" s="69" t="inlineStr"/>
      <c r="Y252" s="70" t="inlineStr"/>
      <c r="AC252" s="71" t="n"/>
      <c r="AZ252" s="214" t="inlineStr">
        <is>
          <t>КИ</t>
        </is>
      </c>
    </row>
    <row r="253" ht="27" customHeight="1">
      <c r="A253" s="64" t="inlineStr">
        <is>
          <t>SU001795</t>
        </is>
      </c>
      <c r="B253" s="64" t="inlineStr">
        <is>
          <t>P001795</t>
        </is>
      </c>
      <c r="C253" s="37" t="n">
        <v>4301011318</v>
      </c>
      <c r="D253" s="315" t="n">
        <v>4607091387469</v>
      </c>
      <c r="E253" s="636" t="n"/>
      <c r="F253" s="668" t="n">
        <v>0.5</v>
      </c>
      <c r="G253" s="38" t="n">
        <v>10</v>
      </c>
      <c r="H253" s="668" t="n">
        <v>5</v>
      </c>
      <c r="I253" s="668" t="n">
        <v>5.21</v>
      </c>
      <c r="J253" s="38" t="n">
        <v>120</v>
      </c>
      <c r="K253" s="39" t="inlineStr">
        <is>
          <t>СК2</t>
        </is>
      </c>
      <c r="L253" s="38" t="n">
        <v>55</v>
      </c>
      <c r="M253" s="818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3" s="670" t="n"/>
      <c r="O253" s="670" t="n"/>
      <c r="P253" s="670" t="n"/>
      <c r="Q253" s="636" t="n"/>
      <c r="R253" s="40" t="inlineStr"/>
      <c r="S253" s="40" t="inlineStr"/>
      <c r="T253" s="41" t="inlineStr">
        <is>
          <t>кг</t>
        </is>
      </c>
      <c r="U253" s="671" t="n">
        <v>0</v>
      </c>
      <c r="V253" s="672">
        <f>IFERROR(IF(U253="",0,CEILING((U253/$H253),1)*$H253),"")</f>
        <v/>
      </c>
      <c r="W253" s="42">
        <f>IFERROR(IF(V253=0,"",ROUNDUP(V253/H253,0)*0.00937),"")</f>
        <v/>
      </c>
      <c r="X253" s="69" t="inlineStr"/>
      <c r="Y253" s="70" t="inlineStr"/>
      <c r="AC253" s="71" t="n"/>
      <c r="AZ253" s="215" t="inlineStr">
        <is>
          <t>КИ</t>
        </is>
      </c>
    </row>
    <row r="254">
      <c r="A254" s="323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673" t="n"/>
      <c r="M254" s="674" t="inlineStr">
        <is>
          <t>Итого</t>
        </is>
      </c>
      <c r="N254" s="644" t="n"/>
      <c r="O254" s="644" t="n"/>
      <c r="P254" s="644" t="n"/>
      <c r="Q254" s="644" t="n"/>
      <c r="R254" s="644" t="n"/>
      <c r="S254" s="645" t="n"/>
      <c r="T254" s="43" t="inlineStr">
        <is>
          <t>кор</t>
        </is>
      </c>
      <c r="U254" s="675">
        <f>IFERROR(U247/H247,"0")+IFERROR(U248/H248,"0")+IFERROR(U249/H249,"0")+IFERROR(U250/H250,"0")+IFERROR(U251/H251,"0")+IFERROR(U252/H252,"0")+IFERROR(U253/H253,"0")</f>
        <v/>
      </c>
      <c r="V254" s="675">
        <f>IFERROR(V247/H247,"0")+IFERROR(V248/H248,"0")+IFERROR(V249/H249,"0")+IFERROR(V250/H250,"0")+IFERROR(V251/H251,"0")+IFERROR(V252/H252,"0")+IFERROR(V253/H253,"0")</f>
        <v/>
      </c>
      <c r="W254" s="675">
        <f>IFERROR(IF(W247="",0,W247),"0")+IFERROR(IF(W248="",0,W248),"0")+IFERROR(IF(W249="",0,W249),"0")+IFERROR(IF(W250="",0,W250),"0")+IFERROR(IF(W251="",0,W251),"0")+IFERROR(IF(W252="",0,W252),"0")+IFERROR(IF(W253="",0,W253),"0")</f>
        <v/>
      </c>
      <c r="X254" s="676" t="n"/>
      <c r="Y254" s="676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73" t="n"/>
      <c r="M255" s="674" t="inlineStr">
        <is>
          <t>Итого</t>
        </is>
      </c>
      <c r="N255" s="644" t="n"/>
      <c r="O255" s="644" t="n"/>
      <c r="P255" s="644" t="n"/>
      <c r="Q255" s="644" t="n"/>
      <c r="R255" s="644" t="n"/>
      <c r="S255" s="645" t="n"/>
      <c r="T255" s="43" t="inlineStr">
        <is>
          <t>кг</t>
        </is>
      </c>
      <c r="U255" s="675">
        <f>IFERROR(SUM(U247:U253),"0")</f>
        <v/>
      </c>
      <c r="V255" s="675">
        <f>IFERROR(SUM(V247:V253),"0")</f>
        <v/>
      </c>
      <c r="W255" s="43" t="n"/>
      <c r="X255" s="676" t="n"/>
      <c r="Y255" s="676" t="n"/>
    </row>
    <row r="256" ht="14.25" customHeight="1">
      <c r="A256" s="331" t="inlineStr">
        <is>
          <t>Копченые колбасы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331" t="n"/>
      <c r="Y256" s="331" t="n"/>
    </row>
    <row r="257" ht="27" customHeight="1">
      <c r="A257" s="64" t="inlineStr">
        <is>
          <t>SU001801</t>
        </is>
      </c>
      <c r="B257" s="64" t="inlineStr">
        <is>
          <t>P003014</t>
        </is>
      </c>
      <c r="C257" s="37" t="n">
        <v>4301031154</v>
      </c>
      <c r="D257" s="315" t="n">
        <v>4607091387292</v>
      </c>
      <c r="E257" s="636" t="n"/>
      <c r="F257" s="668" t="n">
        <v>0.73</v>
      </c>
      <c r="G257" s="38" t="n">
        <v>6</v>
      </c>
      <c r="H257" s="668" t="n">
        <v>4.38</v>
      </c>
      <c r="I257" s="668" t="n">
        <v>4.64</v>
      </c>
      <c r="J257" s="38" t="n">
        <v>156</v>
      </c>
      <c r="K257" s="39" t="inlineStr">
        <is>
          <t>СК2</t>
        </is>
      </c>
      <c r="L257" s="38" t="n">
        <v>45</v>
      </c>
      <c r="M257" s="819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57" s="670" t="n"/>
      <c r="O257" s="670" t="n"/>
      <c r="P257" s="670" t="n"/>
      <c r="Q257" s="636" t="n"/>
      <c r="R257" s="40" t="inlineStr"/>
      <c r="S257" s="40" t="inlineStr"/>
      <c r="T257" s="41" t="inlineStr">
        <is>
          <t>кг</t>
        </is>
      </c>
      <c r="U257" s="671" t="n">
        <v>0</v>
      </c>
      <c r="V257" s="672">
        <f>IFERROR(IF(U257="",0,CEILING((U257/$H257),1)*$H257),"")</f>
        <v/>
      </c>
      <c r="W257" s="42">
        <f>IFERROR(IF(V257=0,"",ROUNDUP(V257/H257,0)*0.00753),"")</f>
        <v/>
      </c>
      <c r="X257" s="69" t="inlineStr"/>
      <c r="Y257" s="70" t="inlineStr"/>
      <c r="AC257" s="71" t="n"/>
      <c r="AZ257" s="216" t="inlineStr">
        <is>
          <t>КИ</t>
        </is>
      </c>
    </row>
    <row r="258" ht="27" customHeight="1">
      <c r="A258" s="64" t="inlineStr">
        <is>
          <t>SU000231</t>
        </is>
      </c>
      <c r="B258" s="64" t="inlineStr">
        <is>
          <t>P003015</t>
        </is>
      </c>
      <c r="C258" s="37" t="n">
        <v>4301031155</v>
      </c>
      <c r="D258" s="315" t="n">
        <v>4607091387315</v>
      </c>
      <c r="E258" s="636" t="n"/>
      <c r="F258" s="668" t="n">
        <v>0.7</v>
      </c>
      <c r="G258" s="38" t="n">
        <v>4</v>
      </c>
      <c r="H258" s="668" t="n">
        <v>2.8</v>
      </c>
      <c r="I258" s="668" t="n">
        <v>3.048</v>
      </c>
      <c r="J258" s="38" t="n">
        <v>156</v>
      </c>
      <c r="K258" s="39" t="inlineStr">
        <is>
          <t>СК2</t>
        </is>
      </c>
      <c r="L258" s="38" t="n">
        <v>45</v>
      </c>
      <c r="M258" s="820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58" s="670" t="n"/>
      <c r="O258" s="670" t="n"/>
      <c r="P258" s="670" t="n"/>
      <c r="Q258" s="636" t="n"/>
      <c r="R258" s="40" t="inlineStr"/>
      <c r="S258" s="40" t="inlineStr"/>
      <c r="T258" s="41" t="inlineStr">
        <is>
          <t>кг</t>
        </is>
      </c>
      <c r="U258" s="671" t="n">
        <v>0</v>
      </c>
      <c r="V258" s="672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71" t="n"/>
      <c r="AZ258" s="217" t="inlineStr">
        <is>
          <t>КИ</t>
        </is>
      </c>
    </row>
    <row r="259">
      <c r="A259" s="323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73" t="n"/>
      <c r="M259" s="674" t="inlineStr">
        <is>
          <t>Итого</t>
        </is>
      </c>
      <c r="N259" s="644" t="n"/>
      <c r="O259" s="644" t="n"/>
      <c r="P259" s="644" t="n"/>
      <c r="Q259" s="644" t="n"/>
      <c r="R259" s="644" t="n"/>
      <c r="S259" s="645" t="n"/>
      <c r="T259" s="43" t="inlineStr">
        <is>
          <t>кор</t>
        </is>
      </c>
      <c r="U259" s="675">
        <f>IFERROR(U257/H257,"0")+IFERROR(U258/H258,"0")</f>
        <v/>
      </c>
      <c r="V259" s="675">
        <f>IFERROR(V257/H257,"0")+IFERROR(V258/H258,"0")</f>
        <v/>
      </c>
      <c r="W259" s="675">
        <f>IFERROR(IF(W257="",0,W257),"0")+IFERROR(IF(W258="",0,W258),"0")</f>
        <v/>
      </c>
      <c r="X259" s="676" t="n"/>
      <c r="Y259" s="676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73" t="n"/>
      <c r="M260" s="674" t="inlineStr">
        <is>
          <t>Итого</t>
        </is>
      </c>
      <c r="N260" s="644" t="n"/>
      <c r="O260" s="644" t="n"/>
      <c r="P260" s="644" t="n"/>
      <c r="Q260" s="644" t="n"/>
      <c r="R260" s="644" t="n"/>
      <c r="S260" s="645" t="n"/>
      <c r="T260" s="43" t="inlineStr">
        <is>
          <t>кг</t>
        </is>
      </c>
      <c r="U260" s="675">
        <f>IFERROR(SUM(U257:U258),"0")</f>
        <v/>
      </c>
      <c r="V260" s="675">
        <f>IFERROR(SUM(V257:V258),"0")</f>
        <v/>
      </c>
      <c r="W260" s="43" t="n"/>
      <c r="X260" s="676" t="n"/>
      <c r="Y260" s="676" t="n"/>
    </row>
    <row r="261" ht="16.5" customHeight="1">
      <c r="A261" s="330" t="inlineStr">
        <is>
          <t>Бавария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330" t="n"/>
      <c r="Y261" s="330" t="n"/>
    </row>
    <row r="262" ht="14.25" customHeight="1">
      <c r="A262" s="331" t="inlineStr">
        <is>
          <t>Копченые колбасы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331" t="n"/>
      <c r="Y262" s="331" t="n"/>
    </row>
    <row r="263" ht="37.5" customHeight="1">
      <c r="A263" s="64" t="inlineStr">
        <is>
          <t>SU002061</t>
        </is>
      </c>
      <c r="B263" s="64" t="inlineStr">
        <is>
          <t>P002232</t>
        </is>
      </c>
      <c r="C263" s="37" t="n">
        <v>4301030368</v>
      </c>
      <c r="D263" s="315" t="n">
        <v>4607091383232</v>
      </c>
      <c r="E263" s="636" t="n"/>
      <c r="F263" s="668" t="n">
        <v>0.28</v>
      </c>
      <c r="G263" s="38" t="n">
        <v>6</v>
      </c>
      <c r="H263" s="668" t="n">
        <v>1.68</v>
      </c>
      <c r="I263" s="668" t="n">
        <v>2.6</v>
      </c>
      <c r="J263" s="38" t="n">
        <v>156</v>
      </c>
      <c r="K263" s="39" t="inlineStr">
        <is>
          <t>СК2</t>
        </is>
      </c>
      <c r="L263" s="38" t="n">
        <v>35</v>
      </c>
      <c r="M263" s="821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63" s="670" t="n"/>
      <c r="O263" s="670" t="n"/>
      <c r="P263" s="670" t="n"/>
      <c r="Q263" s="636" t="n"/>
      <c r="R263" s="40" t="inlineStr"/>
      <c r="S263" s="40" t="inlineStr"/>
      <c r="T263" s="41" t="inlineStr">
        <is>
          <t>кг</t>
        </is>
      </c>
      <c r="U263" s="671" t="n">
        <v>0</v>
      </c>
      <c r="V263" s="672">
        <f>IFERROR(IF(U263="",0,CEILING((U263/$H263),1)*$H263),"")</f>
        <v/>
      </c>
      <c r="W263" s="42">
        <f>IFERROR(IF(V263=0,"",ROUNDUP(V263/H263,0)*0.00753),"")</f>
        <v/>
      </c>
      <c r="X263" s="69" t="inlineStr"/>
      <c r="Y263" s="70" t="inlineStr"/>
      <c r="AC263" s="71" t="n"/>
      <c r="AZ263" s="218" t="inlineStr">
        <is>
          <t>КИ</t>
        </is>
      </c>
    </row>
    <row r="264" ht="27" customHeight="1">
      <c r="A264" s="64" t="inlineStr">
        <is>
          <t>SU002252</t>
        </is>
      </c>
      <c r="B264" s="64" t="inlineStr">
        <is>
          <t>P002461</t>
        </is>
      </c>
      <c r="C264" s="37" t="n">
        <v>4301031066</v>
      </c>
      <c r="D264" s="315" t="n">
        <v>4607091383836</v>
      </c>
      <c r="E264" s="636" t="n"/>
      <c r="F264" s="668" t="n">
        <v>0.3</v>
      </c>
      <c r="G264" s="38" t="n">
        <v>6</v>
      </c>
      <c r="H264" s="668" t="n">
        <v>1.8</v>
      </c>
      <c r="I264" s="668" t="n">
        <v>2.048</v>
      </c>
      <c r="J264" s="38" t="n">
        <v>156</v>
      </c>
      <c r="K264" s="39" t="inlineStr">
        <is>
          <t>СК2</t>
        </is>
      </c>
      <c r="L264" s="38" t="n">
        <v>40</v>
      </c>
      <c r="M264" s="822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4" s="670" t="n"/>
      <c r="O264" s="670" t="n"/>
      <c r="P264" s="670" t="n"/>
      <c r="Q264" s="636" t="n"/>
      <c r="R264" s="40" t="inlineStr"/>
      <c r="S264" s="40" t="inlineStr"/>
      <c r="T264" s="41" t="inlineStr">
        <is>
          <t>кг</t>
        </is>
      </c>
      <c r="U264" s="671" t="n">
        <v>0</v>
      </c>
      <c r="V264" s="672">
        <f>IFERROR(IF(U264="",0,CEILING((U264/$H264),1)*$H264),"")</f>
        <v/>
      </c>
      <c r="W264" s="42">
        <f>IFERROR(IF(V264=0,"",ROUNDUP(V264/H264,0)*0.00753),"")</f>
        <v/>
      </c>
      <c r="X264" s="69" t="inlineStr"/>
      <c r="Y264" s="70" t="inlineStr"/>
      <c r="AC264" s="71" t="n"/>
      <c r="AZ264" s="219" t="inlineStr">
        <is>
          <t>КИ</t>
        </is>
      </c>
    </row>
    <row r="265">
      <c r="A265" s="323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673" t="n"/>
      <c r="M265" s="674" t="inlineStr">
        <is>
          <t>Итого</t>
        </is>
      </c>
      <c r="N265" s="644" t="n"/>
      <c r="O265" s="644" t="n"/>
      <c r="P265" s="644" t="n"/>
      <c r="Q265" s="644" t="n"/>
      <c r="R265" s="644" t="n"/>
      <c r="S265" s="645" t="n"/>
      <c r="T265" s="43" t="inlineStr">
        <is>
          <t>кор</t>
        </is>
      </c>
      <c r="U265" s="675">
        <f>IFERROR(U263/H263,"0")+IFERROR(U264/H264,"0")</f>
        <v/>
      </c>
      <c r="V265" s="675">
        <f>IFERROR(V263/H263,"0")+IFERROR(V264/H264,"0")</f>
        <v/>
      </c>
      <c r="W265" s="675">
        <f>IFERROR(IF(W263="",0,W263),"0")+IFERROR(IF(W264="",0,W264),"0")</f>
        <v/>
      </c>
      <c r="X265" s="676" t="n"/>
      <c r="Y265" s="676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673" t="n"/>
      <c r="M266" s="674" t="inlineStr">
        <is>
          <t>Итого</t>
        </is>
      </c>
      <c r="N266" s="644" t="n"/>
      <c r="O266" s="644" t="n"/>
      <c r="P266" s="644" t="n"/>
      <c r="Q266" s="644" t="n"/>
      <c r="R266" s="644" t="n"/>
      <c r="S266" s="645" t="n"/>
      <c r="T266" s="43" t="inlineStr">
        <is>
          <t>кг</t>
        </is>
      </c>
      <c r="U266" s="675">
        <f>IFERROR(SUM(U263:U264),"0")</f>
        <v/>
      </c>
      <c r="V266" s="675">
        <f>IFERROR(SUM(V263:V264),"0")</f>
        <v/>
      </c>
      <c r="W266" s="43" t="n"/>
      <c r="X266" s="676" t="n"/>
      <c r="Y266" s="676" t="n"/>
    </row>
    <row r="267" ht="14.25" customHeight="1">
      <c r="A267" s="331" t="inlineStr">
        <is>
          <t>Сосиски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331" t="n"/>
      <c r="Y267" s="331" t="n"/>
    </row>
    <row r="268" ht="27" customHeight="1">
      <c r="A268" s="64" t="inlineStr">
        <is>
          <t>SU001835</t>
        </is>
      </c>
      <c r="B268" s="64" t="inlineStr">
        <is>
          <t>P002202</t>
        </is>
      </c>
      <c r="C268" s="37" t="n">
        <v>4301051142</v>
      </c>
      <c r="D268" s="315" t="n">
        <v>4607091387919</v>
      </c>
      <c r="E268" s="636" t="n"/>
      <c r="F268" s="668" t="n">
        <v>1.35</v>
      </c>
      <c r="G268" s="38" t="n">
        <v>6</v>
      </c>
      <c r="H268" s="668" t="n">
        <v>8.1</v>
      </c>
      <c r="I268" s="668" t="n">
        <v>8.664</v>
      </c>
      <c r="J268" s="38" t="n">
        <v>56</v>
      </c>
      <c r="K268" s="39" t="inlineStr">
        <is>
          <t>СК2</t>
        </is>
      </c>
      <c r="L268" s="38" t="n">
        <v>45</v>
      </c>
      <c r="M268" s="823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68" s="670" t="n"/>
      <c r="O268" s="670" t="n"/>
      <c r="P268" s="670" t="n"/>
      <c r="Q268" s="636" t="n"/>
      <c r="R268" s="40" t="inlineStr"/>
      <c r="S268" s="40" t="inlineStr"/>
      <c r="T268" s="41" t="inlineStr">
        <is>
          <t>кг</t>
        </is>
      </c>
      <c r="U268" s="671" t="n">
        <v>0</v>
      </c>
      <c r="V268" s="672">
        <f>IFERROR(IF(U268="",0,CEILING((U268/$H268),1)*$H268),"")</f>
        <v/>
      </c>
      <c r="W268" s="42">
        <f>IFERROR(IF(V268=0,"",ROUNDUP(V268/H268,0)*0.02175),"")</f>
        <v/>
      </c>
      <c r="X268" s="69" t="inlineStr"/>
      <c r="Y268" s="70" t="inlineStr"/>
      <c r="AC268" s="71" t="n"/>
      <c r="AZ268" s="220" t="inlineStr">
        <is>
          <t>КИ</t>
        </is>
      </c>
    </row>
    <row r="269" ht="27" customHeight="1">
      <c r="A269" s="64" t="inlineStr">
        <is>
          <t>SU001836</t>
        </is>
      </c>
      <c r="B269" s="64" t="inlineStr">
        <is>
          <t>P002201</t>
        </is>
      </c>
      <c r="C269" s="37" t="n">
        <v>4301051109</v>
      </c>
      <c r="D269" s="315" t="n">
        <v>4607091383942</v>
      </c>
      <c r="E269" s="636" t="n"/>
      <c r="F269" s="668" t="n">
        <v>0.42</v>
      </c>
      <c r="G269" s="38" t="n">
        <v>6</v>
      </c>
      <c r="H269" s="668" t="n">
        <v>2.52</v>
      </c>
      <c r="I269" s="668" t="n">
        <v>2.792</v>
      </c>
      <c r="J269" s="38" t="n">
        <v>156</v>
      </c>
      <c r="K269" s="39" t="inlineStr">
        <is>
          <t>СК3</t>
        </is>
      </c>
      <c r="L269" s="38" t="n">
        <v>45</v>
      </c>
      <c r="M269" s="824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69" s="670" t="n"/>
      <c r="O269" s="670" t="n"/>
      <c r="P269" s="670" t="n"/>
      <c r="Q269" s="636" t="n"/>
      <c r="R269" s="40" t="inlineStr"/>
      <c r="S269" s="40" t="inlineStr"/>
      <c r="T269" s="41" t="inlineStr">
        <is>
          <t>кг</t>
        </is>
      </c>
      <c r="U269" s="671" t="n">
        <v>0</v>
      </c>
      <c r="V269" s="672">
        <f>IFERROR(IF(U269="",0,CEILING((U269/$H269),1)*$H269),"")</f>
        <v/>
      </c>
      <c r="W269" s="42">
        <f>IFERROR(IF(V269=0,"",ROUNDUP(V269/H269,0)*0.00753),"")</f>
        <v/>
      </c>
      <c r="X269" s="69" t="inlineStr"/>
      <c r="Y269" s="70" t="inlineStr"/>
      <c r="AC269" s="71" t="n"/>
      <c r="AZ269" s="221" t="inlineStr">
        <is>
          <t>КИ</t>
        </is>
      </c>
    </row>
    <row r="270" ht="27" customHeight="1">
      <c r="A270" s="64" t="inlineStr">
        <is>
          <t>SU001970</t>
        </is>
      </c>
      <c r="B270" s="64" t="inlineStr">
        <is>
          <t>P001837</t>
        </is>
      </c>
      <c r="C270" s="37" t="n">
        <v>4301051300</v>
      </c>
      <c r="D270" s="315" t="n">
        <v>4607091383959</v>
      </c>
      <c r="E270" s="636" t="n"/>
      <c r="F270" s="668" t="n">
        <v>0.42</v>
      </c>
      <c r="G270" s="38" t="n">
        <v>6</v>
      </c>
      <c r="H270" s="668" t="n">
        <v>2.52</v>
      </c>
      <c r="I270" s="668" t="n">
        <v>2.78</v>
      </c>
      <c r="J270" s="38" t="n">
        <v>156</v>
      </c>
      <c r="K270" s="39" t="inlineStr">
        <is>
          <t>СК2</t>
        </is>
      </c>
      <c r="L270" s="38" t="n">
        <v>35</v>
      </c>
      <c r="M270" s="825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0" s="670" t="n"/>
      <c r="O270" s="670" t="n"/>
      <c r="P270" s="670" t="n"/>
      <c r="Q270" s="636" t="n"/>
      <c r="R270" s="40" t="inlineStr"/>
      <c r="S270" s="40" t="inlineStr"/>
      <c r="T270" s="41" t="inlineStr">
        <is>
          <t>кг</t>
        </is>
      </c>
      <c r="U270" s="671" t="n">
        <v>0</v>
      </c>
      <c r="V270" s="672">
        <f>IFERROR(IF(U270="",0,CEILING((U270/$H270),1)*$H270),"")</f>
        <v/>
      </c>
      <c r="W270" s="42">
        <f>IFERROR(IF(V270=0,"",ROUNDUP(V270/H270,0)*0.00753),"")</f>
        <v/>
      </c>
      <c r="X270" s="69" t="inlineStr"/>
      <c r="Y270" s="70" t="inlineStr"/>
      <c r="AC270" s="71" t="n"/>
      <c r="AZ270" s="222" t="inlineStr">
        <is>
          <t>КИ</t>
        </is>
      </c>
    </row>
    <row r="271">
      <c r="A271" s="323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673" t="n"/>
      <c r="M271" s="674" t="inlineStr">
        <is>
          <t>Итого</t>
        </is>
      </c>
      <c r="N271" s="644" t="n"/>
      <c r="O271" s="644" t="n"/>
      <c r="P271" s="644" t="n"/>
      <c r="Q271" s="644" t="n"/>
      <c r="R271" s="644" t="n"/>
      <c r="S271" s="645" t="n"/>
      <c r="T271" s="43" t="inlineStr">
        <is>
          <t>кор</t>
        </is>
      </c>
      <c r="U271" s="675">
        <f>IFERROR(U268/H268,"0")+IFERROR(U269/H269,"0")+IFERROR(U270/H270,"0")</f>
        <v/>
      </c>
      <c r="V271" s="675">
        <f>IFERROR(V268/H268,"0")+IFERROR(V269/H269,"0")+IFERROR(V270/H270,"0")</f>
        <v/>
      </c>
      <c r="W271" s="675">
        <f>IFERROR(IF(W268="",0,W268),"0")+IFERROR(IF(W269="",0,W269),"0")+IFERROR(IF(W270="",0,W270),"0")</f>
        <v/>
      </c>
      <c r="X271" s="676" t="n"/>
      <c r="Y271" s="676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673" t="n"/>
      <c r="M272" s="674" t="inlineStr">
        <is>
          <t>Итого</t>
        </is>
      </c>
      <c r="N272" s="644" t="n"/>
      <c r="O272" s="644" t="n"/>
      <c r="P272" s="644" t="n"/>
      <c r="Q272" s="644" t="n"/>
      <c r="R272" s="644" t="n"/>
      <c r="S272" s="645" t="n"/>
      <c r="T272" s="43" t="inlineStr">
        <is>
          <t>кг</t>
        </is>
      </c>
      <c r="U272" s="675">
        <f>IFERROR(SUM(U268:U270),"0")</f>
        <v/>
      </c>
      <c r="V272" s="675">
        <f>IFERROR(SUM(V268:V270),"0")</f>
        <v/>
      </c>
      <c r="W272" s="43" t="n"/>
      <c r="X272" s="676" t="n"/>
      <c r="Y272" s="676" t="n"/>
    </row>
    <row r="273" ht="14.25" customHeight="1">
      <c r="A273" s="331" t="inlineStr">
        <is>
          <t>Сардельки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331" t="n"/>
      <c r="Y273" s="331" t="n"/>
    </row>
    <row r="274" ht="27" customHeight="1">
      <c r="A274" s="64" t="inlineStr">
        <is>
          <t>SU002173</t>
        </is>
      </c>
      <c r="B274" s="64" t="inlineStr">
        <is>
          <t>P002361</t>
        </is>
      </c>
      <c r="C274" s="37" t="n">
        <v>4301060324</v>
      </c>
      <c r="D274" s="315" t="n">
        <v>4607091388831</v>
      </c>
      <c r="E274" s="636" t="n"/>
      <c r="F274" s="668" t="n">
        <v>0.38</v>
      </c>
      <c r="G274" s="38" t="n">
        <v>6</v>
      </c>
      <c r="H274" s="668" t="n">
        <v>2.28</v>
      </c>
      <c r="I274" s="668" t="n">
        <v>2.552</v>
      </c>
      <c r="J274" s="38" t="n">
        <v>156</v>
      </c>
      <c r="K274" s="39" t="inlineStr">
        <is>
          <t>СК2</t>
        </is>
      </c>
      <c r="L274" s="38" t="n">
        <v>40</v>
      </c>
      <c r="M274" s="826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4" s="670" t="n"/>
      <c r="O274" s="670" t="n"/>
      <c r="P274" s="670" t="n"/>
      <c r="Q274" s="636" t="n"/>
      <c r="R274" s="40" t="inlineStr"/>
      <c r="S274" s="40" t="inlineStr"/>
      <c r="T274" s="41" t="inlineStr">
        <is>
          <t>кг</t>
        </is>
      </c>
      <c r="U274" s="671" t="n">
        <v>0</v>
      </c>
      <c r="V274" s="672">
        <f>IFERROR(IF(U274="",0,CEILING((U274/$H274),1)*$H274),"")</f>
        <v/>
      </c>
      <c r="W274" s="42">
        <f>IFERROR(IF(V274=0,"",ROUNDUP(V274/H274,0)*0.00753),"")</f>
        <v/>
      </c>
      <c r="X274" s="69" t="inlineStr"/>
      <c r="Y274" s="70" t="inlineStr"/>
      <c r="AC274" s="71" t="n"/>
      <c r="AZ274" s="223" t="inlineStr">
        <is>
          <t>КИ</t>
        </is>
      </c>
    </row>
    <row r="275">
      <c r="A275" s="323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673" t="n"/>
      <c r="M275" s="674" t="inlineStr">
        <is>
          <t>Итого</t>
        </is>
      </c>
      <c r="N275" s="644" t="n"/>
      <c r="O275" s="644" t="n"/>
      <c r="P275" s="644" t="n"/>
      <c r="Q275" s="644" t="n"/>
      <c r="R275" s="644" t="n"/>
      <c r="S275" s="645" t="n"/>
      <c r="T275" s="43" t="inlineStr">
        <is>
          <t>кор</t>
        </is>
      </c>
      <c r="U275" s="675">
        <f>IFERROR(U274/H274,"0")</f>
        <v/>
      </c>
      <c r="V275" s="675">
        <f>IFERROR(V274/H274,"0")</f>
        <v/>
      </c>
      <c r="W275" s="675">
        <f>IFERROR(IF(W274="",0,W274),"0")</f>
        <v/>
      </c>
      <c r="X275" s="676" t="n"/>
      <c r="Y275" s="676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3" t="n"/>
      <c r="M276" s="674" t="inlineStr">
        <is>
          <t>Итого</t>
        </is>
      </c>
      <c r="N276" s="644" t="n"/>
      <c r="O276" s="644" t="n"/>
      <c r="P276" s="644" t="n"/>
      <c r="Q276" s="644" t="n"/>
      <c r="R276" s="644" t="n"/>
      <c r="S276" s="645" t="n"/>
      <c r="T276" s="43" t="inlineStr">
        <is>
          <t>кг</t>
        </is>
      </c>
      <c r="U276" s="675">
        <f>IFERROR(SUM(U274:U274),"0")</f>
        <v/>
      </c>
      <c r="V276" s="675">
        <f>IFERROR(SUM(V274:V274),"0")</f>
        <v/>
      </c>
      <c r="W276" s="43" t="n"/>
      <c r="X276" s="676" t="n"/>
      <c r="Y276" s="676" t="n"/>
    </row>
    <row r="277" ht="14.25" customHeight="1">
      <c r="A277" s="331" t="inlineStr">
        <is>
          <t>Сырокопченые колбасы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331" t="n"/>
      <c r="Y277" s="331" t="n"/>
    </row>
    <row r="278" ht="27" customHeight="1">
      <c r="A278" s="64" t="inlineStr">
        <is>
          <t>SU002092</t>
        </is>
      </c>
      <c r="B278" s="64" t="inlineStr">
        <is>
          <t>P002290</t>
        </is>
      </c>
      <c r="C278" s="37" t="n">
        <v>4301032015</v>
      </c>
      <c r="D278" s="315" t="n">
        <v>4607091383102</v>
      </c>
      <c r="E278" s="636" t="n"/>
      <c r="F278" s="668" t="n">
        <v>0.17</v>
      </c>
      <c r="G278" s="38" t="n">
        <v>15</v>
      </c>
      <c r="H278" s="668" t="n">
        <v>2.55</v>
      </c>
      <c r="I278" s="668" t="n">
        <v>2.975</v>
      </c>
      <c r="J278" s="38" t="n">
        <v>156</v>
      </c>
      <c r="K278" s="39" t="inlineStr">
        <is>
          <t>АК</t>
        </is>
      </c>
      <c r="L278" s="38" t="n">
        <v>180</v>
      </c>
      <c r="M278" s="827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78" s="670" t="n"/>
      <c r="O278" s="670" t="n"/>
      <c r="P278" s="670" t="n"/>
      <c r="Q278" s="636" t="n"/>
      <c r="R278" s="40" t="inlineStr"/>
      <c r="S278" s="40" t="inlineStr"/>
      <c r="T278" s="41" t="inlineStr">
        <is>
          <t>кг</t>
        </is>
      </c>
      <c r="U278" s="671" t="n">
        <v>0</v>
      </c>
      <c r="V278" s="672">
        <f>IFERROR(IF(U278="",0,CEILING((U278/$H278),1)*$H278),"")</f>
        <v/>
      </c>
      <c r="W278" s="42">
        <f>IFERROR(IF(V278=0,"",ROUNDUP(V278/H278,0)*0.00753),"")</f>
        <v/>
      </c>
      <c r="X278" s="69" t="inlineStr"/>
      <c r="Y278" s="70" t="inlineStr"/>
      <c r="AC278" s="71" t="n"/>
      <c r="AZ278" s="224" t="inlineStr">
        <is>
          <t>КИ</t>
        </is>
      </c>
    </row>
    <row r="279">
      <c r="A279" s="323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673" t="n"/>
      <c r="M279" s="674" t="inlineStr">
        <is>
          <t>Итого</t>
        </is>
      </c>
      <c r="N279" s="644" t="n"/>
      <c r="O279" s="644" t="n"/>
      <c r="P279" s="644" t="n"/>
      <c r="Q279" s="644" t="n"/>
      <c r="R279" s="644" t="n"/>
      <c r="S279" s="645" t="n"/>
      <c r="T279" s="43" t="inlineStr">
        <is>
          <t>кор</t>
        </is>
      </c>
      <c r="U279" s="675">
        <f>IFERROR(U278/H278,"0")</f>
        <v/>
      </c>
      <c r="V279" s="675">
        <f>IFERROR(V278/H278,"0")</f>
        <v/>
      </c>
      <c r="W279" s="675">
        <f>IFERROR(IF(W278="",0,W278),"0")</f>
        <v/>
      </c>
      <c r="X279" s="676" t="n"/>
      <c r="Y279" s="676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73" t="n"/>
      <c r="M280" s="674" t="inlineStr">
        <is>
          <t>Итого</t>
        </is>
      </c>
      <c r="N280" s="644" t="n"/>
      <c r="O280" s="644" t="n"/>
      <c r="P280" s="644" t="n"/>
      <c r="Q280" s="644" t="n"/>
      <c r="R280" s="644" t="n"/>
      <c r="S280" s="645" t="n"/>
      <c r="T280" s="43" t="inlineStr">
        <is>
          <t>кг</t>
        </is>
      </c>
      <c r="U280" s="675">
        <f>IFERROR(SUM(U278:U278),"0")</f>
        <v/>
      </c>
      <c r="V280" s="675">
        <f>IFERROR(SUM(V278:V278),"0")</f>
        <v/>
      </c>
      <c r="W280" s="43" t="n"/>
      <c r="X280" s="676" t="n"/>
      <c r="Y280" s="676" t="n"/>
    </row>
    <row r="281" ht="27.75" customHeight="1">
      <c r="A281" s="336" t="inlineStr">
        <is>
          <t>Особый рецепт</t>
        </is>
      </c>
      <c r="B281" s="667" t="n"/>
      <c r="C281" s="667" t="n"/>
      <c r="D281" s="667" t="n"/>
      <c r="E281" s="667" t="n"/>
      <c r="F281" s="667" t="n"/>
      <c r="G281" s="667" t="n"/>
      <c r="H281" s="667" t="n"/>
      <c r="I281" s="667" t="n"/>
      <c r="J281" s="667" t="n"/>
      <c r="K281" s="667" t="n"/>
      <c r="L281" s="667" t="n"/>
      <c r="M281" s="667" t="n"/>
      <c r="N281" s="667" t="n"/>
      <c r="O281" s="667" t="n"/>
      <c r="P281" s="667" t="n"/>
      <c r="Q281" s="667" t="n"/>
      <c r="R281" s="667" t="n"/>
      <c r="S281" s="667" t="n"/>
      <c r="T281" s="667" t="n"/>
      <c r="U281" s="667" t="n"/>
      <c r="V281" s="667" t="n"/>
      <c r="W281" s="667" t="n"/>
      <c r="X281" s="55" t="n"/>
      <c r="Y281" s="55" t="n"/>
    </row>
    <row r="282" ht="16.5" customHeight="1">
      <c r="A282" s="330" t="inlineStr">
        <is>
          <t>Особая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330" t="n"/>
      <c r="Y282" s="330" t="n"/>
    </row>
    <row r="283" ht="14.25" customHeight="1">
      <c r="A283" s="331" t="inlineStr">
        <is>
          <t>Вареные колбасы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331" t="n"/>
      <c r="Y283" s="331" t="n"/>
    </row>
    <row r="284" ht="27" customHeight="1">
      <c r="A284" s="64" t="inlineStr">
        <is>
          <t>SU000251</t>
        </is>
      </c>
      <c r="B284" s="64" t="inlineStr">
        <is>
          <t>P002581</t>
        </is>
      </c>
      <c r="C284" s="37" t="n">
        <v>4301011239</v>
      </c>
      <c r="D284" s="315" t="n">
        <v>4607091383997</v>
      </c>
      <c r="E284" s="636" t="n"/>
      <c r="F284" s="668" t="n">
        <v>2.5</v>
      </c>
      <c r="G284" s="38" t="n">
        <v>6</v>
      </c>
      <c r="H284" s="668" t="n">
        <v>15</v>
      </c>
      <c r="I284" s="668" t="n">
        <v>15.48</v>
      </c>
      <c r="J284" s="38" t="n">
        <v>48</v>
      </c>
      <c r="K284" s="39" t="inlineStr">
        <is>
          <t>ВЗ</t>
        </is>
      </c>
      <c r="L284" s="38" t="n">
        <v>60</v>
      </c>
      <c r="M284" s="828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4" s="670" t="n"/>
      <c r="O284" s="670" t="n"/>
      <c r="P284" s="670" t="n"/>
      <c r="Q284" s="636" t="n"/>
      <c r="R284" s="40" t="inlineStr"/>
      <c r="S284" s="40" t="inlineStr"/>
      <c r="T284" s="41" t="inlineStr">
        <is>
          <t>кг</t>
        </is>
      </c>
      <c r="U284" s="671" t="n">
        <v>0</v>
      </c>
      <c r="V284" s="672">
        <f>IFERROR(IF(U284="",0,CEILING((U284/$H284),1)*$H284),"")</f>
        <v/>
      </c>
      <c r="W284" s="42">
        <f>IFERROR(IF(V284=0,"",ROUNDUP(V284/H284,0)*0.02039),"")</f>
        <v/>
      </c>
      <c r="X284" s="69" t="inlineStr"/>
      <c r="Y284" s="70" t="inlineStr"/>
      <c r="AC284" s="71" t="n"/>
      <c r="AZ284" s="225" t="inlineStr">
        <is>
          <t>КИ</t>
        </is>
      </c>
    </row>
    <row r="285" ht="27" customHeight="1">
      <c r="A285" s="64" t="inlineStr">
        <is>
          <t>SU000251</t>
        </is>
      </c>
      <c r="B285" s="64" t="inlineStr">
        <is>
          <t>P002584</t>
        </is>
      </c>
      <c r="C285" s="37" t="n">
        <v>4301011339</v>
      </c>
      <c r="D285" s="315" t="n">
        <v>4607091383997</v>
      </c>
      <c r="E285" s="636" t="n"/>
      <c r="F285" s="668" t="n">
        <v>2.5</v>
      </c>
      <c r="G285" s="38" t="n">
        <v>6</v>
      </c>
      <c r="H285" s="668" t="n">
        <v>15</v>
      </c>
      <c r="I285" s="668" t="n">
        <v>15.48</v>
      </c>
      <c r="J285" s="38" t="n">
        <v>48</v>
      </c>
      <c r="K285" s="39" t="inlineStr">
        <is>
          <t>СК2</t>
        </is>
      </c>
      <c r="L285" s="38" t="n">
        <v>60</v>
      </c>
      <c r="M285" s="829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5" s="670" t="n"/>
      <c r="O285" s="670" t="n"/>
      <c r="P285" s="670" t="n"/>
      <c r="Q285" s="636" t="n"/>
      <c r="R285" s="40" t="inlineStr"/>
      <c r="S285" s="40" t="inlineStr"/>
      <c r="T285" s="41" t="inlineStr">
        <is>
          <t>кг</t>
        </is>
      </c>
      <c r="U285" s="671" t="n">
        <v>0</v>
      </c>
      <c r="V285" s="672">
        <f>IFERROR(IF(U285="",0,CEILING((U285/$H285),1)*$H285),"")</f>
        <v/>
      </c>
      <c r="W285" s="42">
        <f>IFERROR(IF(V285=0,"",ROUNDUP(V285/H285,0)*0.02175),"")</f>
        <v/>
      </c>
      <c r="X285" s="69" t="inlineStr"/>
      <c r="Y285" s="70" t="inlineStr"/>
      <c r="AC285" s="71" t="n"/>
      <c r="AZ285" s="226" t="inlineStr">
        <is>
          <t>КИ</t>
        </is>
      </c>
    </row>
    <row r="286" ht="27" customHeight="1">
      <c r="A286" s="64" t="inlineStr">
        <is>
          <t>SU001578</t>
        </is>
      </c>
      <c r="B286" s="64" t="inlineStr">
        <is>
          <t>P002562</t>
        </is>
      </c>
      <c r="C286" s="37" t="n">
        <v>4301011326</v>
      </c>
      <c r="D286" s="315" t="n">
        <v>4607091384130</v>
      </c>
      <c r="E286" s="636" t="n"/>
      <c r="F286" s="668" t="n">
        <v>2.5</v>
      </c>
      <c r="G286" s="38" t="n">
        <v>6</v>
      </c>
      <c r="H286" s="668" t="n">
        <v>15</v>
      </c>
      <c r="I286" s="668" t="n">
        <v>15.48</v>
      </c>
      <c r="J286" s="38" t="n">
        <v>48</v>
      </c>
      <c r="K286" s="39" t="inlineStr">
        <is>
          <t>СК2</t>
        </is>
      </c>
      <c r="L286" s="38" t="n">
        <v>60</v>
      </c>
      <c r="M286" s="830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86" s="670" t="n"/>
      <c r="O286" s="670" t="n"/>
      <c r="P286" s="670" t="n"/>
      <c r="Q286" s="636" t="n"/>
      <c r="R286" s="40" t="inlineStr"/>
      <c r="S286" s="40" t="inlineStr"/>
      <c r="T286" s="41" t="inlineStr">
        <is>
          <t>кг</t>
        </is>
      </c>
      <c r="U286" s="671" t="n">
        <v>0</v>
      </c>
      <c r="V286" s="672">
        <f>IFERROR(IF(U286="",0,CEILING((U286/$H286),1)*$H286),"")</f>
        <v/>
      </c>
      <c r="W286" s="42">
        <f>IFERROR(IF(V286=0,"",ROUNDUP(V286/H286,0)*0.02175),"")</f>
        <v/>
      </c>
      <c r="X286" s="69" t="inlineStr"/>
      <c r="Y286" s="70" t="inlineStr"/>
      <c r="AC286" s="71" t="n"/>
      <c r="AZ286" s="227" t="inlineStr">
        <is>
          <t>КИ</t>
        </is>
      </c>
    </row>
    <row r="287" ht="27" customHeight="1">
      <c r="A287" s="64" t="inlineStr">
        <is>
          <t>SU001578</t>
        </is>
      </c>
      <c r="B287" s="64" t="inlineStr">
        <is>
          <t>P002582</t>
        </is>
      </c>
      <c r="C287" s="37" t="n">
        <v>4301011240</v>
      </c>
      <c r="D287" s="315" t="n">
        <v>4607091384130</v>
      </c>
      <c r="E287" s="636" t="n"/>
      <c r="F287" s="668" t="n">
        <v>2.5</v>
      </c>
      <c r="G287" s="38" t="n">
        <v>6</v>
      </c>
      <c r="H287" s="668" t="n">
        <v>15</v>
      </c>
      <c r="I287" s="668" t="n">
        <v>15.48</v>
      </c>
      <c r="J287" s="38" t="n">
        <v>48</v>
      </c>
      <c r="K287" s="39" t="inlineStr">
        <is>
          <t>ВЗ</t>
        </is>
      </c>
      <c r="L287" s="38" t="n">
        <v>60</v>
      </c>
      <c r="M287" s="831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87" s="670" t="n"/>
      <c r="O287" s="670" t="n"/>
      <c r="P287" s="670" t="n"/>
      <c r="Q287" s="636" t="n"/>
      <c r="R287" s="40" t="inlineStr"/>
      <c r="S287" s="40" t="inlineStr"/>
      <c r="T287" s="41" t="inlineStr">
        <is>
          <t>кг</t>
        </is>
      </c>
      <c r="U287" s="671" t="n">
        <v>0</v>
      </c>
      <c r="V287" s="672">
        <f>IFERROR(IF(U287="",0,CEILING((U287/$H287),1)*$H287),"")</f>
        <v/>
      </c>
      <c r="W287" s="42">
        <f>IFERROR(IF(V287=0,"",ROUNDUP(V287/H287,0)*0.02039),"")</f>
        <v/>
      </c>
      <c r="X287" s="69" t="inlineStr"/>
      <c r="Y287" s="70" t="inlineStr"/>
      <c r="AC287" s="71" t="n"/>
      <c r="AZ287" s="228" t="inlineStr">
        <is>
          <t>КИ</t>
        </is>
      </c>
    </row>
    <row r="288" ht="16.5" customHeight="1">
      <c r="A288" s="64" t="inlineStr">
        <is>
          <t>SU000102</t>
        </is>
      </c>
      <c r="B288" s="64" t="inlineStr">
        <is>
          <t>P002564</t>
        </is>
      </c>
      <c r="C288" s="37" t="n">
        <v>4301011330</v>
      </c>
      <c r="D288" s="315" t="n">
        <v>4607091384147</v>
      </c>
      <c r="E288" s="636" t="n"/>
      <c r="F288" s="668" t="n">
        <v>2.5</v>
      </c>
      <c r="G288" s="38" t="n">
        <v>6</v>
      </c>
      <c r="H288" s="668" t="n">
        <v>15</v>
      </c>
      <c r="I288" s="668" t="n">
        <v>15.48</v>
      </c>
      <c r="J288" s="38" t="n">
        <v>48</v>
      </c>
      <c r="K288" s="39" t="inlineStr">
        <is>
          <t>СК2</t>
        </is>
      </c>
      <c r="L288" s="38" t="n">
        <v>60</v>
      </c>
      <c r="M288" s="832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88" s="670" t="n"/>
      <c r="O288" s="670" t="n"/>
      <c r="P288" s="670" t="n"/>
      <c r="Q288" s="636" t="n"/>
      <c r="R288" s="40" t="inlineStr"/>
      <c r="S288" s="40" t="inlineStr"/>
      <c r="T288" s="41" t="inlineStr">
        <is>
          <t>кг</t>
        </is>
      </c>
      <c r="U288" s="671" t="n">
        <v>0</v>
      </c>
      <c r="V288" s="672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71" t="n"/>
      <c r="AZ288" s="229" t="inlineStr">
        <is>
          <t>КИ</t>
        </is>
      </c>
    </row>
    <row r="289" ht="16.5" customHeight="1">
      <c r="A289" s="64" t="inlineStr">
        <is>
          <t>SU000102</t>
        </is>
      </c>
      <c r="B289" s="64" t="inlineStr">
        <is>
          <t>P002580</t>
        </is>
      </c>
      <c r="C289" s="37" t="n">
        <v>4301011238</v>
      </c>
      <c r="D289" s="315" t="n">
        <v>4607091384147</v>
      </c>
      <c r="E289" s="636" t="n"/>
      <c r="F289" s="668" t="n">
        <v>2.5</v>
      </c>
      <c r="G289" s="38" t="n">
        <v>6</v>
      </c>
      <c r="H289" s="668" t="n">
        <v>15</v>
      </c>
      <c r="I289" s="668" t="n">
        <v>15.48</v>
      </c>
      <c r="J289" s="38" t="n">
        <v>48</v>
      </c>
      <c r="K289" s="39" t="inlineStr">
        <is>
          <t>ВЗ</t>
        </is>
      </c>
      <c r="L289" s="38" t="n">
        <v>60</v>
      </c>
      <c r="M289" s="833" t="inlineStr">
        <is>
          <t>Вареные колбасы Особая Особая Весовые П/а Особый рецепт</t>
        </is>
      </c>
      <c r="N289" s="670" t="n"/>
      <c r="O289" s="670" t="n"/>
      <c r="P289" s="670" t="n"/>
      <c r="Q289" s="636" t="n"/>
      <c r="R289" s="40" t="inlineStr"/>
      <c r="S289" s="40" t="inlineStr"/>
      <c r="T289" s="41" t="inlineStr">
        <is>
          <t>кг</t>
        </is>
      </c>
      <c r="U289" s="671" t="n">
        <v>0</v>
      </c>
      <c r="V289" s="672">
        <f>IFERROR(IF(U289="",0,CEILING((U289/$H289),1)*$H289),"")</f>
        <v/>
      </c>
      <c r="W289" s="42">
        <f>IFERROR(IF(V289=0,"",ROUNDUP(V289/H289,0)*0.02039),"")</f>
        <v/>
      </c>
      <c r="X289" s="69" t="inlineStr"/>
      <c r="Y289" s="70" t="inlineStr"/>
      <c r="AC289" s="71" t="n"/>
      <c r="AZ289" s="230" t="inlineStr">
        <is>
          <t>КИ</t>
        </is>
      </c>
    </row>
    <row r="290" ht="27" customHeight="1">
      <c r="A290" s="64" t="inlineStr">
        <is>
          <t>SU001989</t>
        </is>
      </c>
      <c r="B290" s="64" t="inlineStr">
        <is>
          <t>P002560</t>
        </is>
      </c>
      <c r="C290" s="37" t="n">
        <v>4301011327</v>
      </c>
      <c r="D290" s="315" t="n">
        <v>4607091384154</v>
      </c>
      <c r="E290" s="636" t="n"/>
      <c r="F290" s="668" t="n">
        <v>0.5</v>
      </c>
      <c r="G290" s="38" t="n">
        <v>10</v>
      </c>
      <c r="H290" s="668" t="n">
        <v>5</v>
      </c>
      <c r="I290" s="668" t="n">
        <v>5.21</v>
      </c>
      <c r="J290" s="38" t="n">
        <v>120</v>
      </c>
      <c r="K290" s="39" t="inlineStr">
        <is>
          <t>СК2</t>
        </is>
      </c>
      <c r="L290" s="38" t="n">
        <v>60</v>
      </c>
      <c r="M290" s="834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0" s="670" t="n"/>
      <c r="O290" s="670" t="n"/>
      <c r="P290" s="670" t="n"/>
      <c r="Q290" s="636" t="n"/>
      <c r="R290" s="40" t="inlineStr"/>
      <c r="S290" s="40" t="inlineStr"/>
      <c r="T290" s="41" t="inlineStr">
        <is>
          <t>кг</t>
        </is>
      </c>
      <c r="U290" s="671" t="n">
        <v>0</v>
      </c>
      <c r="V290" s="672">
        <f>IFERROR(IF(U290="",0,CEILING((U290/$H290),1)*$H290),"")</f>
        <v/>
      </c>
      <c r="W290" s="42">
        <f>IFERROR(IF(V290=0,"",ROUNDUP(V290/H290,0)*0.00937),"")</f>
        <v/>
      </c>
      <c r="X290" s="69" t="inlineStr"/>
      <c r="Y290" s="70" t="inlineStr"/>
      <c r="AC290" s="71" t="n"/>
      <c r="AZ290" s="231" t="inlineStr">
        <is>
          <t>КИ</t>
        </is>
      </c>
    </row>
    <row r="291" ht="27" customHeight="1">
      <c r="A291" s="64" t="inlineStr">
        <is>
          <t>SU000256</t>
        </is>
      </c>
      <c r="B291" s="64" t="inlineStr">
        <is>
          <t>P002565</t>
        </is>
      </c>
      <c r="C291" s="37" t="n">
        <v>4301011332</v>
      </c>
      <c r="D291" s="315" t="n">
        <v>4607091384161</v>
      </c>
      <c r="E291" s="636" t="n"/>
      <c r="F291" s="668" t="n">
        <v>0.5</v>
      </c>
      <c r="G291" s="38" t="n">
        <v>10</v>
      </c>
      <c r="H291" s="668" t="n">
        <v>5</v>
      </c>
      <c r="I291" s="668" t="n">
        <v>5.21</v>
      </c>
      <c r="J291" s="38" t="n">
        <v>120</v>
      </c>
      <c r="K291" s="39" t="inlineStr">
        <is>
          <t>СК2</t>
        </is>
      </c>
      <c r="L291" s="38" t="n">
        <v>60</v>
      </c>
      <c r="M291" s="835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1" s="670" t="n"/>
      <c r="O291" s="670" t="n"/>
      <c r="P291" s="670" t="n"/>
      <c r="Q291" s="636" t="n"/>
      <c r="R291" s="40" t="inlineStr"/>
      <c r="S291" s="40" t="inlineStr"/>
      <c r="T291" s="41" t="inlineStr">
        <is>
          <t>кг</t>
        </is>
      </c>
      <c r="U291" s="671" t="n">
        <v>0</v>
      </c>
      <c r="V291" s="672">
        <f>IFERROR(IF(U291="",0,CEILING((U291/$H291),1)*$H291),"")</f>
        <v/>
      </c>
      <c r="W291" s="42">
        <f>IFERROR(IF(V291=0,"",ROUNDUP(V291/H291,0)*0.00937),"")</f>
        <v/>
      </c>
      <c r="X291" s="69" t="inlineStr"/>
      <c r="Y291" s="70" t="inlineStr"/>
      <c r="AC291" s="71" t="n"/>
      <c r="AZ291" s="232" t="inlineStr">
        <is>
          <t>КИ</t>
        </is>
      </c>
    </row>
    <row r="292">
      <c r="A292" s="323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673" t="n"/>
      <c r="M292" s="674" t="inlineStr">
        <is>
          <t>Итого</t>
        </is>
      </c>
      <c r="N292" s="644" t="n"/>
      <c r="O292" s="644" t="n"/>
      <c r="P292" s="644" t="n"/>
      <c r="Q292" s="644" t="n"/>
      <c r="R292" s="644" t="n"/>
      <c r="S292" s="645" t="n"/>
      <c r="T292" s="43" t="inlineStr">
        <is>
          <t>кор</t>
        </is>
      </c>
      <c r="U292" s="675">
        <f>IFERROR(U284/H284,"0")+IFERROR(U285/H285,"0")+IFERROR(U286/H286,"0")+IFERROR(U287/H287,"0")+IFERROR(U288/H288,"0")+IFERROR(U289/H289,"0")+IFERROR(U290/H290,"0")+IFERROR(U291/H291,"0")</f>
        <v/>
      </c>
      <c r="V292" s="675">
        <f>IFERROR(V284/H284,"0")+IFERROR(V285/H285,"0")+IFERROR(V286/H286,"0")+IFERROR(V287/H287,"0")+IFERROR(V288/H288,"0")+IFERROR(V289/H289,"0")+IFERROR(V290/H290,"0")+IFERROR(V291/H291,"0")</f>
        <v/>
      </c>
      <c r="W292" s="675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/>
      </c>
      <c r="X292" s="676" t="n"/>
      <c r="Y292" s="676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673" t="n"/>
      <c r="M293" s="674" t="inlineStr">
        <is>
          <t>Итого</t>
        </is>
      </c>
      <c r="N293" s="644" t="n"/>
      <c r="O293" s="644" t="n"/>
      <c r="P293" s="644" t="n"/>
      <c r="Q293" s="644" t="n"/>
      <c r="R293" s="644" t="n"/>
      <c r="S293" s="645" t="n"/>
      <c r="T293" s="43" t="inlineStr">
        <is>
          <t>кг</t>
        </is>
      </c>
      <c r="U293" s="675">
        <f>IFERROR(SUM(U284:U291),"0")</f>
        <v/>
      </c>
      <c r="V293" s="675">
        <f>IFERROR(SUM(V284:V291),"0")</f>
        <v/>
      </c>
      <c r="W293" s="43" t="n"/>
      <c r="X293" s="676" t="n"/>
      <c r="Y293" s="676" t="n"/>
    </row>
    <row r="294" ht="14.25" customHeight="1">
      <c r="A294" s="331" t="inlineStr">
        <is>
          <t>Ветчины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331" t="n"/>
      <c r="Y294" s="331" t="n"/>
    </row>
    <row r="295" ht="27" customHeight="1">
      <c r="A295" s="64" t="inlineStr">
        <is>
          <t>SU000126</t>
        </is>
      </c>
      <c r="B295" s="64" t="inlineStr">
        <is>
          <t>P002555</t>
        </is>
      </c>
      <c r="C295" s="37" t="n">
        <v>4301020178</v>
      </c>
      <c r="D295" s="315" t="n">
        <v>4607091383980</v>
      </c>
      <c r="E295" s="636" t="n"/>
      <c r="F295" s="668" t="n">
        <v>2.5</v>
      </c>
      <c r="G295" s="38" t="n">
        <v>6</v>
      </c>
      <c r="H295" s="668" t="n">
        <v>15</v>
      </c>
      <c r="I295" s="668" t="n">
        <v>15.48</v>
      </c>
      <c r="J295" s="38" t="n">
        <v>48</v>
      </c>
      <c r="K295" s="39" t="inlineStr">
        <is>
          <t>СК1</t>
        </is>
      </c>
      <c r="L295" s="38" t="n">
        <v>50</v>
      </c>
      <c r="M295" s="836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5" s="670" t="n"/>
      <c r="O295" s="670" t="n"/>
      <c r="P295" s="670" t="n"/>
      <c r="Q295" s="636" t="n"/>
      <c r="R295" s="40" t="inlineStr"/>
      <c r="S295" s="40" t="inlineStr"/>
      <c r="T295" s="41" t="inlineStr">
        <is>
          <t>кг</t>
        </is>
      </c>
      <c r="U295" s="671" t="n">
        <v>0</v>
      </c>
      <c r="V295" s="672">
        <f>IFERROR(IF(U295="",0,CEILING((U295/$H295),1)*$H295),"")</f>
        <v/>
      </c>
      <c r="W295" s="42">
        <f>IFERROR(IF(V295=0,"",ROUNDUP(V295/H295,0)*0.02175),"")</f>
        <v/>
      </c>
      <c r="X295" s="69" t="inlineStr"/>
      <c r="Y295" s="70" t="inlineStr"/>
      <c r="AC295" s="71" t="n"/>
      <c r="AZ295" s="233" t="inlineStr">
        <is>
          <t>КИ</t>
        </is>
      </c>
    </row>
    <row r="296" ht="27" customHeight="1">
      <c r="A296" s="64" t="inlineStr">
        <is>
          <t>SU002027</t>
        </is>
      </c>
      <c r="B296" s="64" t="inlineStr">
        <is>
          <t>P002556</t>
        </is>
      </c>
      <c r="C296" s="37" t="n">
        <v>4301020179</v>
      </c>
      <c r="D296" s="315" t="n">
        <v>4607091384178</v>
      </c>
      <c r="E296" s="636" t="n"/>
      <c r="F296" s="668" t="n">
        <v>0.4</v>
      </c>
      <c r="G296" s="38" t="n">
        <v>10</v>
      </c>
      <c r="H296" s="668" t="n">
        <v>4</v>
      </c>
      <c r="I296" s="668" t="n">
        <v>4.24</v>
      </c>
      <c r="J296" s="38" t="n">
        <v>120</v>
      </c>
      <c r="K296" s="39" t="inlineStr">
        <is>
          <t>СК1</t>
        </is>
      </c>
      <c r="L296" s="38" t="n">
        <v>50</v>
      </c>
      <c r="M296" s="837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96" s="670" t="n"/>
      <c r="O296" s="670" t="n"/>
      <c r="P296" s="670" t="n"/>
      <c r="Q296" s="636" t="n"/>
      <c r="R296" s="40" t="inlineStr"/>
      <c r="S296" s="40" t="inlineStr"/>
      <c r="T296" s="41" t="inlineStr">
        <is>
          <t>кг</t>
        </is>
      </c>
      <c r="U296" s="671" t="n">
        <v>0</v>
      </c>
      <c r="V296" s="672">
        <f>IFERROR(IF(U296="",0,CEILING((U296/$H296),1)*$H296),"")</f>
        <v/>
      </c>
      <c r="W296" s="42">
        <f>IFERROR(IF(V296=0,"",ROUNDUP(V296/H296,0)*0.00937),"")</f>
        <v/>
      </c>
      <c r="X296" s="69" t="inlineStr"/>
      <c r="Y296" s="70" t="inlineStr"/>
      <c r="AC296" s="71" t="n"/>
      <c r="AZ296" s="234" t="inlineStr">
        <is>
          <t>КИ</t>
        </is>
      </c>
    </row>
    <row r="297">
      <c r="A297" s="323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73" t="n"/>
      <c r="M297" s="674" t="inlineStr">
        <is>
          <t>Итого</t>
        </is>
      </c>
      <c r="N297" s="644" t="n"/>
      <c r="O297" s="644" t="n"/>
      <c r="P297" s="644" t="n"/>
      <c r="Q297" s="644" t="n"/>
      <c r="R297" s="644" t="n"/>
      <c r="S297" s="645" t="n"/>
      <c r="T297" s="43" t="inlineStr">
        <is>
          <t>кор</t>
        </is>
      </c>
      <c r="U297" s="675">
        <f>IFERROR(U295/H295,"0")+IFERROR(U296/H296,"0")</f>
        <v/>
      </c>
      <c r="V297" s="675">
        <f>IFERROR(V295/H295,"0")+IFERROR(V296/H296,"0")</f>
        <v/>
      </c>
      <c r="W297" s="675">
        <f>IFERROR(IF(W295="",0,W295),"0")+IFERROR(IF(W296="",0,W296),"0")</f>
        <v/>
      </c>
      <c r="X297" s="676" t="n"/>
      <c r="Y297" s="676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673" t="n"/>
      <c r="M298" s="674" t="inlineStr">
        <is>
          <t>Итого</t>
        </is>
      </c>
      <c r="N298" s="644" t="n"/>
      <c r="O298" s="644" t="n"/>
      <c r="P298" s="644" t="n"/>
      <c r="Q298" s="644" t="n"/>
      <c r="R298" s="644" t="n"/>
      <c r="S298" s="645" t="n"/>
      <c r="T298" s="43" t="inlineStr">
        <is>
          <t>кг</t>
        </is>
      </c>
      <c r="U298" s="675">
        <f>IFERROR(SUM(U295:U296),"0")</f>
        <v/>
      </c>
      <c r="V298" s="675">
        <f>IFERROR(SUM(V295:V296),"0")</f>
        <v/>
      </c>
      <c r="W298" s="43" t="n"/>
      <c r="X298" s="676" t="n"/>
      <c r="Y298" s="676" t="n"/>
    </row>
    <row r="299" ht="14.25" customHeight="1">
      <c r="A299" s="331" t="inlineStr">
        <is>
          <t>Копченые колбасы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331" t="n"/>
      <c r="Y299" s="331" t="n"/>
    </row>
    <row r="300" ht="27" customHeight="1">
      <c r="A300" s="64" t="inlineStr">
        <is>
          <t>SU002364</t>
        </is>
      </c>
      <c r="B300" s="64" t="inlineStr">
        <is>
          <t>P002633</t>
        </is>
      </c>
      <c r="C300" s="37" t="n">
        <v>4301031137</v>
      </c>
      <c r="D300" s="315" t="n">
        <v>4607091384857</v>
      </c>
      <c r="E300" s="636" t="n"/>
      <c r="F300" s="668" t="n">
        <v>0.73</v>
      </c>
      <c r="G300" s="38" t="n">
        <v>6</v>
      </c>
      <c r="H300" s="668" t="n">
        <v>4.38</v>
      </c>
      <c r="I300" s="668" t="n">
        <v>4.58</v>
      </c>
      <c r="J300" s="38" t="n">
        <v>156</v>
      </c>
      <c r="K300" s="39" t="inlineStr">
        <is>
          <t>СК2</t>
        </is>
      </c>
      <c r="L300" s="38" t="n">
        <v>35</v>
      </c>
      <c r="M300" s="838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300" s="670" t="n"/>
      <c r="O300" s="670" t="n"/>
      <c r="P300" s="670" t="n"/>
      <c r="Q300" s="636" t="n"/>
      <c r="R300" s="40" t="inlineStr"/>
      <c r="S300" s="40" t="inlineStr"/>
      <c r="T300" s="41" t="inlineStr">
        <is>
          <t>кг</t>
        </is>
      </c>
      <c r="U300" s="671" t="n">
        <v>0</v>
      </c>
      <c r="V300" s="672">
        <f>IFERROR(IF(U300="",0,CEILING((U300/$H300),1)*$H300),"")</f>
        <v/>
      </c>
      <c r="W300" s="42">
        <f>IFERROR(IF(V300=0,"",ROUNDUP(V300/H300,0)*0.00753),"")</f>
        <v/>
      </c>
      <c r="X300" s="69" t="inlineStr"/>
      <c r="Y300" s="70" t="inlineStr"/>
      <c r="AC300" s="71" t="n"/>
      <c r="AZ300" s="235" t="inlineStr">
        <is>
          <t>КИ</t>
        </is>
      </c>
    </row>
    <row r="301">
      <c r="A301" s="323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73" t="n"/>
      <c r="M301" s="674" t="inlineStr">
        <is>
          <t>Итого</t>
        </is>
      </c>
      <c r="N301" s="644" t="n"/>
      <c r="O301" s="644" t="n"/>
      <c r="P301" s="644" t="n"/>
      <c r="Q301" s="644" t="n"/>
      <c r="R301" s="644" t="n"/>
      <c r="S301" s="645" t="n"/>
      <c r="T301" s="43" t="inlineStr">
        <is>
          <t>кор</t>
        </is>
      </c>
      <c r="U301" s="675">
        <f>IFERROR(U300/H300,"0")</f>
        <v/>
      </c>
      <c r="V301" s="675">
        <f>IFERROR(V300/H300,"0")</f>
        <v/>
      </c>
      <c r="W301" s="675">
        <f>IFERROR(IF(W300="",0,W300),"0")</f>
        <v/>
      </c>
      <c r="X301" s="676" t="n"/>
      <c r="Y301" s="676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3" t="n"/>
      <c r="M302" s="674" t="inlineStr">
        <is>
          <t>Итого</t>
        </is>
      </c>
      <c r="N302" s="644" t="n"/>
      <c r="O302" s="644" t="n"/>
      <c r="P302" s="644" t="n"/>
      <c r="Q302" s="644" t="n"/>
      <c r="R302" s="644" t="n"/>
      <c r="S302" s="645" t="n"/>
      <c r="T302" s="43" t="inlineStr">
        <is>
          <t>кг</t>
        </is>
      </c>
      <c r="U302" s="675">
        <f>IFERROR(SUM(U300:U300),"0")</f>
        <v/>
      </c>
      <c r="V302" s="675">
        <f>IFERROR(SUM(V300:V300),"0")</f>
        <v/>
      </c>
      <c r="W302" s="43" t="n"/>
      <c r="X302" s="676" t="n"/>
      <c r="Y302" s="676" t="n"/>
    </row>
    <row r="303" ht="14.25" customHeight="1">
      <c r="A303" s="331" t="inlineStr">
        <is>
          <t>Сосиски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331" t="n"/>
      <c r="Y303" s="331" t="n"/>
    </row>
    <row r="304" ht="27" customHeight="1">
      <c r="A304" s="64" t="inlineStr">
        <is>
          <t>SU000246</t>
        </is>
      </c>
      <c r="B304" s="64" t="inlineStr">
        <is>
          <t>P002690</t>
        </is>
      </c>
      <c r="C304" s="37" t="n">
        <v>4301051298</v>
      </c>
      <c r="D304" s="315" t="n">
        <v>4607091384260</v>
      </c>
      <c r="E304" s="636" t="n"/>
      <c r="F304" s="668" t="n">
        <v>1.3</v>
      </c>
      <c r="G304" s="38" t="n">
        <v>6</v>
      </c>
      <c r="H304" s="668" t="n">
        <v>7.8</v>
      </c>
      <c r="I304" s="668" t="n">
        <v>8.364000000000001</v>
      </c>
      <c r="J304" s="38" t="n">
        <v>56</v>
      </c>
      <c r="K304" s="39" t="inlineStr">
        <is>
          <t>СК2</t>
        </is>
      </c>
      <c r="L304" s="38" t="n">
        <v>35</v>
      </c>
      <c r="M304" s="839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4" s="670" t="n"/>
      <c r="O304" s="670" t="n"/>
      <c r="P304" s="670" t="n"/>
      <c r="Q304" s="636" t="n"/>
      <c r="R304" s="40" t="inlineStr"/>
      <c r="S304" s="40" t="inlineStr"/>
      <c r="T304" s="41" t="inlineStr">
        <is>
          <t>кг</t>
        </is>
      </c>
      <c r="U304" s="671" t="n">
        <v>0</v>
      </c>
      <c r="V304" s="672">
        <f>IFERROR(IF(U304="",0,CEILING((U304/$H304),1)*$H304),"")</f>
        <v/>
      </c>
      <c r="W304" s="42">
        <f>IFERROR(IF(V304=0,"",ROUNDUP(V304/H304,0)*0.02175),"")</f>
        <v/>
      </c>
      <c r="X304" s="69" t="inlineStr"/>
      <c r="Y304" s="70" t="inlineStr"/>
      <c r="AC304" s="71" t="n"/>
      <c r="AZ304" s="236" t="inlineStr">
        <is>
          <t>КИ</t>
        </is>
      </c>
    </row>
    <row r="305">
      <c r="A305" s="323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73" t="n"/>
      <c r="M305" s="674" t="inlineStr">
        <is>
          <t>Итого</t>
        </is>
      </c>
      <c r="N305" s="644" t="n"/>
      <c r="O305" s="644" t="n"/>
      <c r="P305" s="644" t="n"/>
      <c r="Q305" s="644" t="n"/>
      <c r="R305" s="644" t="n"/>
      <c r="S305" s="645" t="n"/>
      <c r="T305" s="43" t="inlineStr">
        <is>
          <t>кор</t>
        </is>
      </c>
      <c r="U305" s="675">
        <f>IFERROR(U304/H304,"0")</f>
        <v/>
      </c>
      <c r="V305" s="675">
        <f>IFERROR(V304/H304,"0")</f>
        <v/>
      </c>
      <c r="W305" s="675">
        <f>IFERROR(IF(W304="",0,W304),"0")</f>
        <v/>
      </c>
      <c r="X305" s="676" t="n"/>
      <c r="Y305" s="676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3" t="n"/>
      <c r="M306" s="674" t="inlineStr">
        <is>
          <t>Итого</t>
        </is>
      </c>
      <c r="N306" s="644" t="n"/>
      <c r="O306" s="644" t="n"/>
      <c r="P306" s="644" t="n"/>
      <c r="Q306" s="644" t="n"/>
      <c r="R306" s="644" t="n"/>
      <c r="S306" s="645" t="n"/>
      <c r="T306" s="43" t="inlineStr">
        <is>
          <t>кг</t>
        </is>
      </c>
      <c r="U306" s="675">
        <f>IFERROR(SUM(U304:U304),"0")</f>
        <v/>
      </c>
      <c r="V306" s="675">
        <f>IFERROR(SUM(V304:V304),"0")</f>
        <v/>
      </c>
      <c r="W306" s="43" t="n"/>
      <c r="X306" s="676" t="n"/>
      <c r="Y306" s="676" t="n"/>
    </row>
    <row r="307" ht="14.25" customHeight="1">
      <c r="A307" s="331" t="inlineStr">
        <is>
          <t>Сардельки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31" t="n"/>
      <c r="Y307" s="331" t="n"/>
    </row>
    <row r="308" ht="16.5" customHeight="1">
      <c r="A308" s="64" t="inlineStr">
        <is>
          <t>SU002287</t>
        </is>
      </c>
      <c r="B308" s="64" t="inlineStr">
        <is>
          <t>P002490</t>
        </is>
      </c>
      <c r="C308" s="37" t="n">
        <v>4301060314</v>
      </c>
      <c r="D308" s="315" t="n">
        <v>4607091384673</v>
      </c>
      <c r="E308" s="636" t="n"/>
      <c r="F308" s="668" t="n">
        <v>1.3</v>
      </c>
      <c r="G308" s="38" t="n">
        <v>6</v>
      </c>
      <c r="H308" s="668" t="n">
        <v>7.8</v>
      </c>
      <c r="I308" s="668" t="n">
        <v>8.364000000000001</v>
      </c>
      <c r="J308" s="38" t="n">
        <v>56</v>
      </c>
      <c r="K308" s="39" t="inlineStr">
        <is>
          <t>СК2</t>
        </is>
      </c>
      <c r="L308" s="38" t="n">
        <v>30</v>
      </c>
      <c r="M308" s="840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08" s="670" t="n"/>
      <c r="O308" s="670" t="n"/>
      <c r="P308" s="670" t="n"/>
      <c r="Q308" s="636" t="n"/>
      <c r="R308" s="40" t="inlineStr"/>
      <c r="S308" s="40" t="inlineStr"/>
      <c r="T308" s="41" t="inlineStr">
        <is>
          <t>кг</t>
        </is>
      </c>
      <c r="U308" s="671" t="n">
        <v>0</v>
      </c>
      <c r="V308" s="672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71" t="n"/>
      <c r="AZ308" s="237" t="inlineStr">
        <is>
          <t>КИ</t>
        </is>
      </c>
    </row>
    <row r="309">
      <c r="A309" s="323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73" t="n"/>
      <c r="M309" s="674" t="inlineStr">
        <is>
          <t>Итого</t>
        </is>
      </c>
      <c r="N309" s="644" t="n"/>
      <c r="O309" s="644" t="n"/>
      <c r="P309" s="644" t="n"/>
      <c r="Q309" s="644" t="n"/>
      <c r="R309" s="644" t="n"/>
      <c r="S309" s="645" t="n"/>
      <c r="T309" s="43" t="inlineStr">
        <is>
          <t>кор</t>
        </is>
      </c>
      <c r="U309" s="675">
        <f>IFERROR(U308/H308,"0")</f>
        <v/>
      </c>
      <c r="V309" s="675">
        <f>IFERROR(V308/H308,"0")</f>
        <v/>
      </c>
      <c r="W309" s="675">
        <f>IFERROR(IF(W308="",0,W308),"0")</f>
        <v/>
      </c>
      <c r="X309" s="676" t="n"/>
      <c r="Y309" s="676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73" t="n"/>
      <c r="M310" s="674" t="inlineStr">
        <is>
          <t>Итого</t>
        </is>
      </c>
      <c r="N310" s="644" t="n"/>
      <c r="O310" s="644" t="n"/>
      <c r="P310" s="644" t="n"/>
      <c r="Q310" s="644" t="n"/>
      <c r="R310" s="644" t="n"/>
      <c r="S310" s="645" t="n"/>
      <c r="T310" s="43" t="inlineStr">
        <is>
          <t>кг</t>
        </is>
      </c>
      <c r="U310" s="675">
        <f>IFERROR(SUM(U308:U308),"0")</f>
        <v/>
      </c>
      <c r="V310" s="675">
        <f>IFERROR(SUM(V308:V308),"0")</f>
        <v/>
      </c>
      <c r="W310" s="43" t="n"/>
      <c r="X310" s="676" t="n"/>
      <c r="Y310" s="676" t="n"/>
    </row>
    <row r="311" ht="16.5" customHeight="1">
      <c r="A311" s="330" t="inlineStr">
        <is>
          <t>Особая Без свинины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30" t="n"/>
      <c r="Y311" s="330" t="n"/>
    </row>
    <row r="312" ht="14.25" customHeight="1">
      <c r="A312" s="331" t="inlineStr">
        <is>
          <t>Вареные колбасы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331" t="n"/>
      <c r="Y312" s="331" t="n"/>
    </row>
    <row r="313" ht="27" customHeight="1">
      <c r="A313" s="64" t="inlineStr">
        <is>
          <t>SU002073</t>
        </is>
      </c>
      <c r="B313" s="64" t="inlineStr">
        <is>
          <t>P002563</t>
        </is>
      </c>
      <c r="C313" s="37" t="n">
        <v>4301011324</v>
      </c>
      <c r="D313" s="315" t="n">
        <v>4607091384185</v>
      </c>
      <c r="E313" s="636" t="n"/>
      <c r="F313" s="668" t="n">
        <v>0.8</v>
      </c>
      <c r="G313" s="38" t="n">
        <v>15</v>
      </c>
      <c r="H313" s="668" t="n">
        <v>12</v>
      </c>
      <c r="I313" s="668" t="n">
        <v>12.48</v>
      </c>
      <c r="J313" s="38" t="n">
        <v>56</v>
      </c>
      <c r="K313" s="39" t="inlineStr">
        <is>
          <t>СК2</t>
        </is>
      </c>
      <c r="L313" s="38" t="n">
        <v>60</v>
      </c>
      <c r="M313" s="841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3" s="670" t="n"/>
      <c r="O313" s="670" t="n"/>
      <c r="P313" s="670" t="n"/>
      <c r="Q313" s="636" t="n"/>
      <c r="R313" s="40" t="inlineStr"/>
      <c r="S313" s="40" t="inlineStr"/>
      <c r="T313" s="41" t="inlineStr">
        <is>
          <t>кг</t>
        </is>
      </c>
      <c r="U313" s="671" t="n">
        <v>0</v>
      </c>
      <c r="V313" s="672">
        <f>IFERROR(IF(U313="",0,CEILING((U313/$H313),1)*$H313),"")</f>
        <v/>
      </c>
      <c r="W313" s="42">
        <f>IFERROR(IF(V313=0,"",ROUNDUP(V313/H313,0)*0.02175),"")</f>
        <v/>
      </c>
      <c r="X313" s="69" t="inlineStr"/>
      <c r="Y313" s="70" t="inlineStr"/>
      <c r="AC313" s="71" t="n"/>
      <c r="AZ313" s="238" t="inlineStr">
        <is>
          <t>КИ</t>
        </is>
      </c>
    </row>
    <row r="314" ht="27" customHeight="1">
      <c r="A314" s="64" t="inlineStr">
        <is>
          <t>SU002187</t>
        </is>
      </c>
      <c r="B314" s="64" t="inlineStr">
        <is>
          <t>P002559</t>
        </is>
      </c>
      <c r="C314" s="37" t="n">
        <v>4301011312</v>
      </c>
      <c r="D314" s="315" t="n">
        <v>4607091384192</v>
      </c>
      <c r="E314" s="636" t="n"/>
      <c r="F314" s="668" t="n">
        <v>1.8</v>
      </c>
      <c r="G314" s="38" t="n">
        <v>6</v>
      </c>
      <c r="H314" s="668" t="n">
        <v>10.8</v>
      </c>
      <c r="I314" s="668" t="n">
        <v>11.28</v>
      </c>
      <c r="J314" s="38" t="n">
        <v>56</v>
      </c>
      <c r="K314" s="39" t="inlineStr">
        <is>
          <t>СК1</t>
        </is>
      </c>
      <c r="L314" s="38" t="n">
        <v>60</v>
      </c>
      <c r="M314" s="842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4" s="670" t="n"/>
      <c r="O314" s="670" t="n"/>
      <c r="P314" s="670" t="n"/>
      <c r="Q314" s="636" t="n"/>
      <c r="R314" s="40" t="inlineStr"/>
      <c r="S314" s="40" t="inlineStr"/>
      <c r="T314" s="41" t="inlineStr">
        <is>
          <t>кг</t>
        </is>
      </c>
      <c r="U314" s="671" t="n">
        <v>0</v>
      </c>
      <c r="V314" s="672">
        <f>IFERROR(IF(U314="",0,CEILING((U314/$H314),1)*$H314),"")</f>
        <v/>
      </c>
      <c r="W314" s="42">
        <f>IFERROR(IF(V314=0,"",ROUNDUP(V314/H314,0)*0.02175),"")</f>
        <v/>
      </c>
      <c r="X314" s="69" t="inlineStr"/>
      <c r="Y314" s="70" t="inlineStr"/>
      <c r="AC314" s="71" t="n"/>
      <c r="AZ314" s="239" t="inlineStr">
        <is>
          <t>КИ</t>
        </is>
      </c>
    </row>
    <row r="315" ht="27" customHeight="1">
      <c r="A315" s="64" t="inlineStr">
        <is>
          <t>SU002899</t>
        </is>
      </c>
      <c r="B315" s="64" t="inlineStr">
        <is>
          <t>P003323</t>
        </is>
      </c>
      <c r="C315" s="37" t="n">
        <v>4301011483</v>
      </c>
      <c r="D315" s="315" t="n">
        <v>4680115881907</v>
      </c>
      <c r="E315" s="636" t="n"/>
      <c r="F315" s="668" t="n">
        <v>1.8</v>
      </c>
      <c r="G315" s="38" t="n">
        <v>6</v>
      </c>
      <c r="H315" s="668" t="n">
        <v>10.8</v>
      </c>
      <c r="I315" s="668" t="n">
        <v>11.28</v>
      </c>
      <c r="J315" s="38" t="n">
        <v>56</v>
      </c>
      <c r="K315" s="39" t="inlineStr">
        <is>
          <t>СК2</t>
        </is>
      </c>
      <c r="L315" s="38" t="n">
        <v>60</v>
      </c>
      <c r="M315" s="843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5" s="670" t="n"/>
      <c r="O315" s="670" t="n"/>
      <c r="P315" s="670" t="n"/>
      <c r="Q315" s="636" t="n"/>
      <c r="R315" s="40" t="inlineStr"/>
      <c r="S315" s="40" t="inlineStr"/>
      <c r="T315" s="41" t="inlineStr">
        <is>
          <t>кг</t>
        </is>
      </c>
      <c r="U315" s="671" t="n">
        <v>0</v>
      </c>
      <c r="V315" s="672">
        <f>IFERROR(IF(U315="",0,CEILING((U315/$H315),1)*$H315),"")</f>
        <v/>
      </c>
      <c r="W315" s="42">
        <f>IFERROR(IF(V315=0,"",ROUNDUP(V315/H315,0)*0.02175),"")</f>
        <v/>
      </c>
      <c r="X315" s="69" t="inlineStr"/>
      <c r="Y315" s="70" t="inlineStr"/>
      <c r="AC315" s="71" t="n"/>
      <c r="AZ315" s="240" t="inlineStr">
        <is>
          <t>КИ</t>
        </is>
      </c>
    </row>
    <row r="316" ht="27" customHeight="1">
      <c r="A316" s="64" t="inlineStr">
        <is>
          <t>SU002462</t>
        </is>
      </c>
      <c r="B316" s="64" t="inlineStr">
        <is>
          <t>P002768</t>
        </is>
      </c>
      <c r="C316" s="37" t="n">
        <v>4301011303</v>
      </c>
      <c r="D316" s="315" t="n">
        <v>4607091384680</v>
      </c>
      <c r="E316" s="636" t="n"/>
      <c r="F316" s="668" t="n">
        <v>0.4</v>
      </c>
      <c r="G316" s="38" t="n">
        <v>10</v>
      </c>
      <c r="H316" s="668" t="n">
        <v>4</v>
      </c>
      <c r="I316" s="668" t="n">
        <v>4.21</v>
      </c>
      <c r="J316" s="38" t="n">
        <v>120</v>
      </c>
      <c r="K316" s="39" t="inlineStr">
        <is>
          <t>СК2</t>
        </is>
      </c>
      <c r="L316" s="38" t="n">
        <v>60</v>
      </c>
      <c r="M316" s="844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16" s="670" t="n"/>
      <c r="O316" s="670" t="n"/>
      <c r="P316" s="670" t="n"/>
      <c r="Q316" s="636" t="n"/>
      <c r="R316" s="40" t="inlineStr"/>
      <c r="S316" s="40" t="inlineStr"/>
      <c r="T316" s="41" t="inlineStr">
        <is>
          <t>кг</t>
        </is>
      </c>
      <c r="U316" s="671" t="n">
        <v>0</v>
      </c>
      <c r="V316" s="672">
        <f>IFERROR(IF(U316="",0,CEILING((U316/$H316),1)*$H316),"")</f>
        <v/>
      </c>
      <c r="W316" s="42">
        <f>IFERROR(IF(V316=0,"",ROUNDUP(V316/H316,0)*0.00937),"")</f>
        <v/>
      </c>
      <c r="X316" s="69" t="inlineStr"/>
      <c r="Y316" s="70" t="inlineStr"/>
      <c r="AC316" s="71" t="n"/>
      <c r="AZ316" s="241" t="inlineStr">
        <is>
          <t>КИ</t>
        </is>
      </c>
    </row>
    <row r="317">
      <c r="A317" s="323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673" t="n"/>
      <c r="M317" s="674" t="inlineStr">
        <is>
          <t>Итого</t>
        </is>
      </c>
      <c r="N317" s="644" t="n"/>
      <c r="O317" s="644" t="n"/>
      <c r="P317" s="644" t="n"/>
      <c r="Q317" s="644" t="n"/>
      <c r="R317" s="644" t="n"/>
      <c r="S317" s="645" t="n"/>
      <c r="T317" s="43" t="inlineStr">
        <is>
          <t>кор</t>
        </is>
      </c>
      <c r="U317" s="675">
        <f>IFERROR(U313/H313,"0")+IFERROR(U314/H314,"0")+IFERROR(U315/H315,"0")+IFERROR(U316/H316,"0")</f>
        <v/>
      </c>
      <c r="V317" s="675">
        <f>IFERROR(V313/H313,"0")+IFERROR(V314/H314,"0")+IFERROR(V315/H315,"0")+IFERROR(V316/H316,"0")</f>
        <v/>
      </c>
      <c r="W317" s="675">
        <f>IFERROR(IF(W313="",0,W313),"0")+IFERROR(IF(W314="",0,W314),"0")+IFERROR(IF(W315="",0,W315),"0")+IFERROR(IF(W316="",0,W316),"0")</f>
        <v/>
      </c>
      <c r="X317" s="676" t="n"/>
      <c r="Y317" s="676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673" t="n"/>
      <c r="M318" s="674" t="inlineStr">
        <is>
          <t>Итого</t>
        </is>
      </c>
      <c r="N318" s="644" t="n"/>
      <c r="O318" s="644" t="n"/>
      <c r="P318" s="644" t="n"/>
      <c r="Q318" s="644" t="n"/>
      <c r="R318" s="644" t="n"/>
      <c r="S318" s="645" t="n"/>
      <c r="T318" s="43" t="inlineStr">
        <is>
          <t>кг</t>
        </is>
      </c>
      <c r="U318" s="675">
        <f>IFERROR(SUM(U313:U316),"0")</f>
        <v/>
      </c>
      <c r="V318" s="675">
        <f>IFERROR(SUM(V313:V316),"0")</f>
        <v/>
      </c>
      <c r="W318" s="43" t="n"/>
      <c r="X318" s="676" t="n"/>
      <c r="Y318" s="676" t="n"/>
    </row>
    <row r="319" ht="14.25" customHeight="1">
      <c r="A319" s="331" t="inlineStr">
        <is>
          <t>Копченые колбасы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331" t="n"/>
      <c r="Y319" s="331" t="n"/>
    </row>
    <row r="320" ht="27" customHeight="1">
      <c r="A320" s="64" t="inlineStr">
        <is>
          <t>SU002360</t>
        </is>
      </c>
      <c r="B320" s="64" t="inlineStr">
        <is>
          <t>P002629</t>
        </is>
      </c>
      <c r="C320" s="37" t="n">
        <v>4301031139</v>
      </c>
      <c r="D320" s="315" t="n">
        <v>4607091384802</v>
      </c>
      <c r="E320" s="636" t="n"/>
      <c r="F320" s="668" t="n">
        <v>0.73</v>
      </c>
      <c r="G320" s="38" t="n">
        <v>6</v>
      </c>
      <c r="H320" s="668" t="n">
        <v>4.38</v>
      </c>
      <c r="I320" s="668" t="n">
        <v>4.58</v>
      </c>
      <c r="J320" s="38" t="n">
        <v>156</v>
      </c>
      <c r="K320" s="39" t="inlineStr">
        <is>
          <t>СК2</t>
        </is>
      </c>
      <c r="L320" s="38" t="n">
        <v>35</v>
      </c>
      <c r="M320" s="845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0" s="670" t="n"/>
      <c r="O320" s="670" t="n"/>
      <c r="P320" s="670" t="n"/>
      <c r="Q320" s="636" t="n"/>
      <c r="R320" s="40" t="inlineStr"/>
      <c r="S320" s="40" t="inlineStr"/>
      <c r="T320" s="41" t="inlineStr">
        <is>
          <t>кг</t>
        </is>
      </c>
      <c r="U320" s="671" t="n">
        <v>0</v>
      </c>
      <c r="V320" s="672">
        <f>IFERROR(IF(U320="",0,CEILING((U320/$H320),1)*$H320),"")</f>
        <v/>
      </c>
      <c r="W320" s="42">
        <f>IFERROR(IF(V320=0,"",ROUNDUP(V320/H320,0)*0.00753),"")</f>
        <v/>
      </c>
      <c r="X320" s="69" t="inlineStr"/>
      <c r="Y320" s="70" t="inlineStr"/>
      <c r="AC320" s="71" t="n"/>
      <c r="AZ320" s="242" t="inlineStr">
        <is>
          <t>КИ</t>
        </is>
      </c>
    </row>
    <row r="321" ht="27" customHeight="1">
      <c r="A321" s="64" t="inlineStr">
        <is>
          <t>SU002361</t>
        </is>
      </c>
      <c r="B321" s="64" t="inlineStr">
        <is>
          <t>P002630</t>
        </is>
      </c>
      <c r="C321" s="37" t="n">
        <v>4301031140</v>
      </c>
      <c r="D321" s="315" t="n">
        <v>4607091384826</v>
      </c>
      <c r="E321" s="636" t="n"/>
      <c r="F321" s="668" t="n">
        <v>0.35</v>
      </c>
      <c r="G321" s="38" t="n">
        <v>8</v>
      </c>
      <c r="H321" s="668" t="n">
        <v>2.8</v>
      </c>
      <c r="I321" s="668" t="n">
        <v>2.9</v>
      </c>
      <c r="J321" s="38" t="n">
        <v>234</v>
      </c>
      <c r="K321" s="39" t="inlineStr">
        <is>
          <t>СК2</t>
        </is>
      </c>
      <c r="L321" s="38" t="n">
        <v>35</v>
      </c>
      <c r="M321" s="846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1" s="670" t="n"/>
      <c r="O321" s="670" t="n"/>
      <c r="P321" s="670" t="n"/>
      <c r="Q321" s="636" t="n"/>
      <c r="R321" s="40" t="inlineStr"/>
      <c r="S321" s="40" t="inlineStr"/>
      <c r="T321" s="41" t="inlineStr">
        <is>
          <t>кг</t>
        </is>
      </c>
      <c r="U321" s="671" t="n">
        <v>0</v>
      </c>
      <c r="V321" s="672">
        <f>IFERROR(IF(U321="",0,CEILING((U321/$H321),1)*$H321),"")</f>
        <v/>
      </c>
      <c r="W321" s="42">
        <f>IFERROR(IF(V321=0,"",ROUNDUP(V321/H321,0)*0.00502),"")</f>
        <v/>
      </c>
      <c r="X321" s="69" t="inlineStr"/>
      <c r="Y321" s="70" t="inlineStr"/>
      <c r="AC321" s="71" t="n"/>
      <c r="AZ321" s="243" t="inlineStr">
        <is>
          <t>КИ</t>
        </is>
      </c>
    </row>
    <row r="322">
      <c r="A322" s="323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673" t="n"/>
      <c r="M322" s="674" t="inlineStr">
        <is>
          <t>Итого</t>
        </is>
      </c>
      <c r="N322" s="644" t="n"/>
      <c r="O322" s="644" t="n"/>
      <c r="P322" s="644" t="n"/>
      <c r="Q322" s="644" t="n"/>
      <c r="R322" s="644" t="n"/>
      <c r="S322" s="645" t="n"/>
      <c r="T322" s="43" t="inlineStr">
        <is>
          <t>кор</t>
        </is>
      </c>
      <c r="U322" s="675">
        <f>IFERROR(U320/H320,"0")+IFERROR(U321/H321,"0")</f>
        <v/>
      </c>
      <c r="V322" s="675">
        <f>IFERROR(V320/H320,"0")+IFERROR(V321/H321,"0")</f>
        <v/>
      </c>
      <c r="W322" s="675">
        <f>IFERROR(IF(W320="",0,W320),"0")+IFERROR(IF(W321="",0,W321),"0")</f>
        <v/>
      </c>
      <c r="X322" s="676" t="n"/>
      <c r="Y322" s="676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673" t="n"/>
      <c r="M323" s="674" t="inlineStr">
        <is>
          <t>Итого</t>
        </is>
      </c>
      <c r="N323" s="644" t="n"/>
      <c r="O323" s="644" t="n"/>
      <c r="P323" s="644" t="n"/>
      <c r="Q323" s="644" t="n"/>
      <c r="R323" s="644" t="n"/>
      <c r="S323" s="645" t="n"/>
      <c r="T323" s="43" t="inlineStr">
        <is>
          <t>кг</t>
        </is>
      </c>
      <c r="U323" s="675">
        <f>IFERROR(SUM(U320:U321),"0")</f>
        <v/>
      </c>
      <c r="V323" s="675">
        <f>IFERROR(SUM(V320:V321),"0")</f>
        <v/>
      </c>
      <c r="W323" s="43" t="n"/>
      <c r="X323" s="676" t="n"/>
      <c r="Y323" s="676" t="n"/>
    </row>
    <row r="324" ht="14.25" customHeight="1">
      <c r="A324" s="331" t="inlineStr">
        <is>
          <t>Сосиски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331" t="n"/>
      <c r="Y324" s="331" t="n"/>
    </row>
    <row r="325" ht="27" customHeight="1">
      <c r="A325" s="64" t="inlineStr">
        <is>
          <t>SU002074</t>
        </is>
      </c>
      <c r="B325" s="64" t="inlineStr">
        <is>
          <t>P002693</t>
        </is>
      </c>
      <c r="C325" s="37" t="n">
        <v>4301051303</v>
      </c>
      <c r="D325" s="315" t="n">
        <v>4607091384246</v>
      </c>
      <c r="E325" s="636" t="n"/>
      <c r="F325" s="668" t="n">
        <v>1.3</v>
      </c>
      <c r="G325" s="38" t="n">
        <v>6</v>
      </c>
      <c r="H325" s="668" t="n">
        <v>7.8</v>
      </c>
      <c r="I325" s="668" t="n">
        <v>8.364000000000001</v>
      </c>
      <c r="J325" s="38" t="n">
        <v>56</v>
      </c>
      <c r="K325" s="39" t="inlineStr">
        <is>
          <t>СК2</t>
        </is>
      </c>
      <c r="L325" s="38" t="n">
        <v>40</v>
      </c>
      <c r="M325" s="84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5" s="670" t="n"/>
      <c r="O325" s="670" t="n"/>
      <c r="P325" s="670" t="n"/>
      <c r="Q325" s="636" t="n"/>
      <c r="R325" s="40" t="inlineStr"/>
      <c r="S325" s="40" t="inlineStr"/>
      <c r="T325" s="41" t="inlineStr">
        <is>
          <t>кг</t>
        </is>
      </c>
      <c r="U325" s="671" t="n">
        <v>0</v>
      </c>
      <c r="V325" s="672">
        <f>IFERROR(IF(U325="",0,CEILING((U325/$H325),1)*$H325),"")</f>
        <v/>
      </c>
      <c r="W325" s="42">
        <f>IFERROR(IF(V325=0,"",ROUNDUP(V325/H325,0)*0.02175),"")</f>
        <v/>
      </c>
      <c r="X325" s="69" t="inlineStr"/>
      <c r="Y325" s="70" t="inlineStr"/>
      <c r="AC325" s="71" t="n"/>
      <c r="AZ325" s="244" t="inlineStr">
        <is>
          <t>КИ</t>
        </is>
      </c>
    </row>
    <row r="326" ht="27" customHeight="1">
      <c r="A326" s="64" t="inlineStr">
        <is>
          <t>SU002896</t>
        </is>
      </c>
      <c r="B326" s="64" t="inlineStr">
        <is>
          <t>P003330</t>
        </is>
      </c>
      <c r="C326" s="37" t="n">
        <v>4301051445</v>
      </c>
      <c r="D326" s="315" t="n">
        <v>4680115881976</v>
      </c>
      <c r="E326" s="636" t="n"/>
      <c r="F326" s="668" t="n">
        <v>1.3</v>
      </c>
      <c r="G326" s="38" t="n">
        <v>6</v>
      </c>
      <c r="H326" s="668" t="n">
        <v>7.8</v>
      </c>
      <c r="I326" s="668" t="n">
        <v>8.279999999999999</v>
      </c>
      <c r="J326" s="38" t="n">
        <v>56</v>
      </c>
      <c r="K326" s="39" t="inlineStr">
        <is>
          <t>СК2</t>
        </is>
      </c>
      <c r="L326" s="38" t="n">
        <v>40</v>
      </c>
      <c r="M326" s="848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26" s="670" t="n"/>
      <c r="O326" s="670" t="n"/>
      <c r="P326" s="670" t="n"/>
      <c r="Q326" s="636" t="n"/>
      <c r="R326" s="40" t="inlineStr"/>
      <c r="S326" s="40" t="inlineStr"/>
      <c r="T326" s="41" t="inlineStr">
        <is>
          <t>кг</t>
        </is>
      </c>
      <c r="U326" s="671" t="n">
        <v>0</v>
      </c>
      <c r="V326" s="672">
        <f>IFERROR(IF(U326="",0,CEILING((U326/$H326),1)*$H326),"")</f>
        <v/>
      </c>
      <c r="W326" s="42">
        <f>IFERROR(IF(V326=0,"",ROUNDUP(V326/H326,0)*0.02175),"")</f>
        <v/>
      </c>
      <c r="X326" s="69" t="inlineStr"/>
      <c r="Y326" s="70" t="inlineStr"/>
      <c r="AC326" s="71" t="n"/>
      <c r="AZ326" s="245" t="inlineStr">
        <is>
          <t>КИ</t>
        </is>
      </c>
    </row>
    <row r="327" ht="27" customHeight="1">
      <c r="A327" s="64" t="inlineStr">
        <is>
          <t>SU002205</t>
        </is>
      </c>
      <c r="B327" s="64" t="inlineStr">
        <is>
          <t>P002694</t>
        </is>
      </c>
      <c r="C327" s="37" t="n">
        <v>4301051297</v>
      </c>
      <c r="D327" s="315" t="n">
        <v>4607091384253</v>
      </c>
      <c r="E327" s="636" t="n"/>
      <c r="F327" s="668" t="n">
        <v>0.4</v>
      </c>
      <c r="G327" s="38" t="n">
        <v>6</v>
      </c>
      <c r="H327" s="668" t="n">
        <v>2.4</v>
      </c>
      <c r="I327" s="668" t="n">
        <v>2.684</v>
      </c>
      <c r="J327" s="38" t="n">
        <v>156</v>
      </c>
      <c r="K327" s="39" t="inlineStr">
        <is>
          <t>СК2</t>
        </is>
      </c>
      <c r="L327" s="38" t="n">
        <v>40</v>
      </c>
      <c r="M327" s="84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27" s="670" t="n"/>
      <c r="O327" s="670" t="n"/>
      <c r="P327" s="670" t="n"/>
      <c r="Q327" s="636" t="n"/>
      <c r="R327" s="40" t="inlineStr"/>
      <c r="S327" s="40" t="inlineStr"/>
      <c r="T327" s="41" t="inlineStr">
        <is>
          <t>кг</t>
        </is>
      </c>
      <c r="U327" s="671" t="n">
        <v>0</v>
      </c>
      <c r="V327" s="672">
        <f>IFERROR(IF(U327="",0,CEILING((U327/$H327),1)*$H327),"")</f>
        <v/>
      </c>
      <c r="W327" s="42">
        <f>IFERROR(IF(V327=0,"",ROUNDUP(V327/H327,0)*0.00753),"")</f>
        <v/>
      </c>
      <c r="X327" s="69" t="inlineStr"/>
      <c r="Y327" s="70" t="inlineStr"/>
      <c r="AC327" s="71" t="n"/>
      <c r="AZ327" s="246" t="inlineStr">
        <is>
          <t>КИ</t>
        </is>
      </c>
    </row>
    <row r="328" ht="27" customHeight="1">
      <c r="A328" s="64" t="inlineStr">
        <is>
          <t>SU002895</t>
        </is>
      </c>
      <c r="B328" s="64" t="inlineStr">
        <is>
          <t>P003329</t>
        </is>
      </c>
      <c r="C328" s="37" t="n">
        <v>4301051444</v>
      </c>
      <c r="D328" s="315" t="n">
        <v>4680115881969</v>
      </c>
      <c r="E328" s="636" t="n"/>
      <c r="F328" s="668" t="n">
        <v>0.4</v>
      </c>
      <c r="G328" s="38" t="n">
        <v>6</v>
      </c>
      <c r="H328" s="668" t="n">
        <v>2.4</v>
      </c>
      <c r="I328" s="668" t="n">
        <v>2.6</v>
      </c>
      <c r="J328" s="38" t="n">
        <v>156</v>
      </c>
      <c r="K328" s="39" t="inlineStr">
        <is>
          <t>СК2</t>
        </is>
      </c>
      <c r="L328" s="38" t="n">
        <v>40</v>
      </c>
      <c r="M328" s="850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28" s="670" t="n"/>
      <c r="O328" s="670" t="n"/>
      <c r="P328" s="670" t="n"/>
      <c r="Q328" s="636" t="n"/>
      <c r="R328" s="40" t="inlineStr"/>
      <c r="S328" s="40" t="inlineStr"/>
      <c r="T328" s="41" t="inlineStr">
        <is>
          <t>кг</t>
        </is>
      </c>
      <c r="U328" s="671" t="n">
        <v>0</v>
      </c>
      <c r="V328" s="672">
        <f>IFERROR(IF(U328="",0,CEILING((U328/$H328),1)*$H328),"")</f>
        <v/>
      </c>
      <c r="W328" s="42">
        <f>IFERROR(IF(V328=0,"",ROUNDUP(V328/H328,0)*0.00753),"")</f>
        <v/>
      </c>
      <c r="X328" s="69" t="inlineStr"/>
      <c r="Y328" s="70" t="inlineStr"/>
      <c r="AC328" s="71" t="n"/>
      <c r="AZ328" s="247" t="inlineStr">
        <is>
          <t>КИ</t>
        </is>
      </c>
    </row>
    <row r="329">
      <c r="A329" s="323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673" t="n"/>
      <c r="M329" s="674" t="inlineStr">
        <is>
          <t>Итого</t>
        </is>
      </c>
      <c r="N329" s="644" t="n"/>
      <c r="O329" s="644" t="n"/>
      <c r="P329" s="644" t="n"/>
      <c r="Q329" s="644" t="n"/>
      <c r="R329" s="644" t="n"/>
      <c r="S329" s="645" t="n"/>
      <c r="T329" s="43" t="inlineStr">
        <is>
          <t>кор</t>
        </is>
      </c>
      <c r="U329" s="675">
        <f>IFERROR(U325/H325,"0")+IFERROR(U326/H326,"0")+IFERROR(U327/H327,"0")+IFERROR(U328/H328,"0")</f>
        <v/>
      </c>
      <c r="V329" s="675">
        <f>IFERROR(V325/H325,"0")+IFERROR(V326/H326,"0")+IFERROR(V327/H327,"0")+IFERROR(V328/H328,"0")</f>
        <v/>
      </c>
      <c r="W329" s="675">
        <f>IFERROR(IF(W325="",0,W325),"0")+IFERROR(IF(W326="",0,W326),"0")+IFERROR(IF(W327="",0,W327),"0")+IFERROR(IF(W328="",0,W328),"0")</f>
        <v/>
      </c>
      <c r="X329" s="676" t="n"/>
      <c r="Y329" s="676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673" t="n"/>
      <c r="M330" s="674" t="inlineStr">
        <is>
          <t>Итого</t>
        </is>
      </c>
      <c r="N330" s="644" t="n"/>
      <c r="O330" s="644" t="n"/>
      <c r="P330" s="644" t="n"/>
      <c r="Q330" s="644" t="n"/>
      <c r="R330" s="644" t="n"/>
      <c r="S330" s="645" t="n"/>
      <c r="T330" s="43" t="inlineStr">
        <is>
          <t>кг</t>
        </is>
      </c>
      <c r="U330" s="675">
        <f>IFERROR(SUM(U325:U328),"0")</f>
        <v/>
      </c>
      <c r="V330" s="675">
        <f>IFERROR(SUM(V325:V328),"0")</f>
        <v/>
      </c>
      <c r="W330" s="43" t="n"/>
      <c r="X330" s="676" t="n"/>
      <c r="Y330" s="676" t="n"/>
    </row>
    <row r="331" ht="14.25" customHeight="1">
      <c r="A331" s="331" t="inlineStr">
        <is>
          <t>Сардельки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331" t="n"/>
      <c r="Y331" s="331" t="n"/>
    </row>
    <row r="332" ht="27" customHeight="1">
      <c r="A332" s="64" t="inlineStr">
        <is>
          <t>SU002472</t>
        </is>
      </c>
      <c r="B332" s="64" t="inlineStr">
        <is>
          <t>P002973</t>
        </is>
      </c>
      <c r="C332" s="37" t="n">
        <v>4301060322</v>
      </c>
      <c r="D332" s="315" t="n">
        <v>4607091389357</v>
      </c>
      <c r="E332" s="636" t="n"/>
      <c r="F332" s="668" t="n">
        <v>1.3</v>
      </c>
      <c r="G332" s="38" t="n">
        <v>6</v>
      </c>
      <c r="H332" s="668" t="n">
        <v>7.8</v>
      </c>
      <c r="I332" s="668" t="n">
        <v>8.279999999999999</v>
      </c>
      <c r="J332" s="38" t="n">
        <v>56</v>
      </c>
      <c r="K332" s="39" t="inlineStr">
        <is>
          <t>СК2</t>
        </is>
      </c>
      <c r="L332" s="38" t="n">
        <v>40</v>
      </c>
      <c r="M332" s="851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2" s="670" t="n"/>
      <c r="O332" s="670" t="n"/>
      <c r="P332" s="670" t="n"/>
      <c r="Q332" s="636" t="n"/>
      <c r="R332" s="40" t="inlineStr"/>
      <c r="S332" s="40" t="inlineStr"/>
      <c r="T332" s="41" t="inlineStr">
        <is>
          <t>кг</t>
        </is>
      </c>
      <c r="U332" s="671" t="n">
        <v>0</v>
      </c>
      <c r="V332" s="672">
        <f>IFERROR(IF(U332="",0,CEILING((U332/$H332),1)*$H332),"")</f>
        <v/>
      </c>
      <c r="W332" s="42">
        <f>IFERROR(IF(V332=0,"",ROUNDUP(V332/H332,0)*0.02175),"")</f>
        <v/>
      </c>
      <c r="X332" s="69" t="inlineStr"/>
      <c r="Y332" s="70" t="inlineStr"/>
      <c r="AC332" s="71" t="n"/>
      <c r="AZ332" s="248" t="inlineStr">
        <is>
          <t>КИ</t>
        </is>
      </c>
    </row>
    <row r="333">
      <c r="A333" s="323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673" t="n"/>
      <c r="M333" s="674" t="inlineStr">
        <is>
          <t>Итого</t>
        </is>
      </c>
      <c r="N333" s="644" t="n"/>
      <c r="O333" s="644" t="n"/>
      <c r="P333" s="644" t="n"/>
      <c r="Q333" s="644" t="n"/>
      <c r="R333" s="644" t="n"/>
      <c r="S333" s="645" t="n"/>
      <c r="T333" s="43" t="inlineStr">
        <is>
          <t>кор</t>
        </is>
      </c>
      <c r="U333" s="675">
        <f>IFERROR(U332/H332,"0")</f>
        <v/>
      </c>
      <c r="V333" s="675">
        <f>IFERROR(V332/H332,"0")</f>
        <v/>
      </c>
      <c r="W333" s="675">
        <f>IFERROR(IF(W332="",0,W332),"0")</f>
        <v/>
      </c>
      <c r="X333" s="676" t="n"/>
      <c r="Y333" s="676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673" t="n"/>
      <c r="M334" s="674" t="inlineStr">
        <is>
          <t>Итого</t>
        </is>
      </c>
      <c r="N334" s="644" t="n"/>
      <c r="O334" s="644" t="n"/>
      <c r="P334" s="644" t="n"/>
      <c r="Q334" s="644" t="n"/>
      <c r="R334" s="644" t="n"/>
      <c r="S334" s="645" t="n"/>
      <c r="T334" s="43" t="inlineStr">
        <is>
          <t>кг</t>
        </is>
      </c>
      <c r="U334" s="675">
        <f>IFERROR(SUM(U332:U332),"0")</f>
        <v/>
      </c>
      <c r="V334" s="675">
        <f>IFERROR(SUM(V332:V332),"0")</f>
        <v/>
      </c>
      <c r="W334" s="43" t="n"/>
      <c r="X334" s="676" t="n"/>
      <c r="Y334" s="676" t="n"/>
    </row>
    <row r="335" ht="27.75" customHeight="1">
      <c r="A335" s="336" t="inlineStr">
        <is>
          <t>Баварушка</t>
        </is>
      </c>
      <c r="B335" s="667" t="n"/>
      <c r="C335" s="667" t="n"/>
      <c r="D335" s="667" t="n"/>
      <c r="E335" s="667" t="n"/>
      <c r="F335" s="667" t="n"/>
      <c r="G335" s="667" t="n"/>
      <c r="H335" s="667" t="n"/>
      <c r="I335" s="667" t="n"/>
      <c r="J335" s="667" t="n"/>
      <c r="K335" s="667" t="n"/>
      <c r="L335" s="667" t="n"/>
      <c r="M335" s="667" t="n"/>
      <c r="N335" s="667" t="n"/>
      <c r="O335" s="667" t="n"/>
      <c r="P335" s="667" t="n"/>
      <c r="Q335" s="667" t="n"/>
      <c r="R335" s="667" t="n"/>
      <c r="S335" s="667" t="n"/>
      <c r="T335" s="667" t="n"/>
      <c r="U335" s="667" t="n"/>
      <c r="V335" s="667" t="n"/>
      <c r="W335" s="667" t="n"/>
      <c r="X335" s="55" t="n"/>
      <c r="Y335" s="55" t="n"/>
    </row>
    <row r="336" ht="16.5" customHeight="1">
      <c r="A336" s="330" t="inlineStr">
        <is>
          <t>Филейбургская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330" t="n"/>
      <c r="Y336" s="330" t="n"/>
    </row>
    <row r="337" ht="14.25" customHeight="1">
      <c r="A337" s="331" t="inlineStr">
        <is>
          <t>Вареные колбасы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331" t="n"/>
      <c r="Y337" s="331" t="n"/>
    </row>
    <row r="338" ht="27" customHeight="1">
      <c r="A338" s="64" t="inlineStr">
        <is>
          <t>SU002477</t>
        </is>
      </c>
      <c r="B338" s="64" t="inlineStr">
        <is>
          <t>P003148</t>
        </is>
      </c>
      <c r="C338" s="37" t="n">
        <v>4301011428</v>
      </c>
      <c r="D338" s="315" t="n">
        <v>4607091389708</v>
      </c>
      <c r="E338" s="636" t="n"/>
      <c r="F338" s="668" t="n">
        <v>0.45</v>
      </c>
      <c r="G338" s="38" t="n">
        <v>6</v>
      </c>
      <c r="H338" s="668" t="n">
        <v>2.7</v>
      </c>
      <c r="I338" s="668" t="n">
        <v>2.9</v>
      </c>
      <c r="J338" s="38" t="n">
        <v>156</v>
      </c>
      <c r="K338" s="39" t="inlineStr">
        <is>
          <t>СК1</t>
        </is>
      </c>
      <c r="L338" s="38" t="n">
        <v>50</v>
      </c>
      <c r="M338" s="85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38" s="670" t="n"/>
      <c r="O338" s="670" t="n"/>
      <c r="P338" s="670" t="n"/>
      <c r="Q338" s="636" t="n"/>
      <c r="R338" s="40" t="inlineStr"/>
      <c r="S338" s="40" t="inlineStr"/>
      <c r="T338" s="41" t="inlineStr">
        <is>
          <t>кг</t>
        </is>
      </c>
      <c r="U338" s="671" t="n">
        <v>0</v>
      </c>
      <c r="V338" s="672">
        <f>IFERROR(IF(U338="",0,CEILING((U338/$H338),1)*$H338),"")</f>
        <v/>
      </c>
      <c r="W338" s="42">
        <f>IFERROR(IF(V338=0,"",ROUNDUP(V338/H338,0)*0.00753),"")</f>
        <v/>
      </c>
      <c r="X338" s="69" t="inlineStr"/>
      <c r="Y338" s="70" t="inlineStr"/>
      <c r="AC338" s="71" t="n"/>
      <c r="AZ338" s="249" t="inlineStr">
        <is>
          <t>КИ</t>
        </is>
      </c>
    </row>
    <row r="339" ht="27" customHeight="1">
      <c r="A339" s="64" t="inlineStr">
        <is>
          <t>SU002476</t>
        </is>
      </c>
      <c r="B339" s="64" t="inlineStr">
        <is>
          <t>P003147</t>
        </is>
      </c>
      <c r="C339" s="37" t="n">
        <v>4301011427</v>
      </c>
      <c r="D339" s="315" t="n">
        <v>4607091389692</v>
      </c>
      <c r="E339" s="636" t="n"/>
      <c r="F339" s="668" t="n">
        <v>0.45</v>
      </c>
      <c r="G339" s="38" t="n">
        <v>6</v>
      </c>
      <c r="H339" s="668" t="n">
        <v>2.7</v>
      </c>
      <c r="I339" s="668" t="n">
        <v>2.9</v>
      </c>
      <c r="J339" s="38" t="n">
        <v>156</v>
      </c>
      <c r="K339" s="39" t="inlineStr">
        <is>
          <t>СК1</t>
        </is>
      </c>
      <c r="L339" s="38" t="n">
        <v>50</v>
      </c>
      <c r="M339" s="853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39" s="670" t="n"/>
      <c r="O339" s="670" t="n"/>
      <c r="P339" s="670" t="n"/>
      <c r="Q339" s="636" t="n"/>
      <c r="R339" s="40" t="inlineStr"/>
      <c r="S339" s="40" t="inlineStr"/>
      <c r="T339" s="41" t="inlineStr">
        <is>
          <t>кг</t>
        </is>
      </c>
      <c r="U339" s="671" t="n">
        <v>0</v>
      </c>
      <c r="V339" s="672">
        <f>IFERROR(IF(U339="",0,CEILING((U339/$H339),1)*$H339),"")</f>
        <v/>
      </c>
      <c r="W339" s="42">
        <f>IFERROR(IF(V339=0,"",ROUNDUP(V339/H339,0)*0.00753),"")</f>
        <v/>
      </c>
      <c r="X339" s="69" t="inlineStr"/>
      <c r="Y339" s="70" t="inlineStr"/>
      <c r="AC339" s="71" t="n"/>
      <c r="AZ339" s="250" t="inlineStr">
        <is>
          <t>КИ</t>
        </is>
      </c>
    </row>
    <row r="340">
      <c r="A340" s="323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673" t="n"/>
      <c r="M340" s="674" t="inlineStr">
        <is>
          <t>Итого</t>
        </is>
      </c>
      <c r="N340" s="644" t="n"/>
      <c r="O340" s="644" t="n"/>
      <c r="P340" s="644" t="n"/>
      <c r="Q340" s="644" t="n"/>
      <c r="R340" s="644" t="n"/>
      <c r="S340" s="645" t="n"/>
      <c r="T340" s="43" t="inlineStr">
        <is>
          <t>кор</t>
        </is>
      </c>
      <c r="U340" s="675">
        <f>IFERROR(U338/H338,"0")+IFERROR(U339/H339,"0")</f>
        <v/>
      </c>
      <c r="V340" s="675">
        <f>IFERROR(V338/H338,"0")+IFERROR(V339/H339,"0")</f>
        <v/>
      </c>
      <c r="W340" s="675">
        <f>IFERROR(IF(W338="",0,W338),"0")+IFERROR(IF(W339="",0,W339),"0")</f>
        <v/>
      </c>
      <c r="X340" s="676" t="n"/>
      <c r="Y340" s="676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673" t="n"/>
      <c r="M341" s="674" t="inlineStr">
        <is>
          <t>Итого</t>
        </is>
      </c>
      <c r="N341" s="644" t="n"/>
      <c r="O341" s="644" t="n"/>
      <c r="P341" s="644" t="n"/>
      <c r="Q341" s="644" t="n"/>
      <c r="R341" s="644" t="n"/>
      <c r="S341" s="645" t="n"/>
      <c r="T341" s="43" t="inlineStr">
        <is>
          <t>кг</t>
        </is>
      </c>
      <c r="U341" s="675">
        <f>IFERROR(SUM(U338:U339),"0")</f>
        <v/>
      </c>
      <c r="V341" s="675">
        <f>IFERROR(SUM(V338:V339),"0")</f>
        <v/>
      </c>
      <c r="W341" s="43" t="n"/>
      <c r="X341" s="676" t="n"/>
      <c r="Y341" s="676" t="n"/>
    </row>
    <row r="342" ht="14.25" customHeight="1">
      <c r="A342" s="331" t="inlineStr">
        <is>
          <t>Копченые колбасы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331" t="n"/>
      <c r="Y342" s="331" t="n"/>
    </row>
    <row r="343" ht="27" customHeight="1">
      <c r="A343" s="64" t="inlineStr">
        <is>
          <t>SU002614</t>
        </is>
      </c>
      <c r="B343" s="64" t="inlineStr">
        <is>
          <t>P003138</t>
        </is>
      </c>
      <c r="C343" s="37" t="n">
        <v>4301031177</v>
      </c>
      <c r="D343" s="315" t="n">
        <v>4607091389753</v>
      </c>
      <c r="E343" s="636" t="n"/>
      <c r="F343" s="668" t="n">
        <v>0.7</v>
      </c>
      <c r="G343" s="38" t="n">
        <v>6</v>
      </c>
      <c r="H343" s="668" t="n">
        <v>4.2</v>
      </c>
      <c r="I343" s="668" t="n">
        <v>4.43</v>
      </c>
      <c r="J343" s="38" t="n">
        <v>156</v>
      </c>
      <c r="K343" s="39" t="inlineStr">
        <is>
          <t>СК2</t>
        </is>
      </c>
      <c r="L343" s="38" t="n">
        <v>45</v>
      </c>
      <c r="M343" s="854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3" s="670" t="n"/>
      <c r="O343" s="670" t="n"/>
      <c r="P343" s="670" t="n"/>
      <c r="Q343" s="636" t="n"/>
      <c r="R343" s="40" t="inlineStr"/>
      <c r="S343" s="40" t="inlineStr"/>
      <c r="T343" s="41" t="inlineStr">
        <is>
          <t>кг</t>
        </is>
      </c>
      <c r="U343" s="671" t="n">
        <v>0</v>
      </c>
      <c r="V343" s="672">
        <f>IFERROR(IF(U343="",0,CEILING((U343/$H343),1)*$H343),"")</f>
        <v/>
      </c>
      <c r="W343" s="42">
        <f>IFERROR(IF(V343=0,"",ROUNDUP(V343/H343,0)*0.00753),"")</f>
        <v/>
      </c>
      <c r="X343" s="69" t="inlineStr"/>
      <c r="Y343" s="70" t="inlineStr"/>
      <c r="AC343" s="71" t="n"/>
      <c r="AZ343" s="251" t="inlineStr">
        <is>
          <t>КИ</t>
        </is>
      </c>
    </row>
    <row r="344" ht="27" customHeight="1">
      <c r="A344" s="64" t="inlineStr">
        <is>
          <t>SU002615</t>
        </is>
      </c>
      <c r="B344" s="64" t="inlineStr">
        <is>
          <t>P003136</t>
        </is>
      </c>
      <c r="C344" s="37" t="n">
        <v>4301031174</v>
      </c>
      <c r="D344" s="315" t="n">
        <v>4607091389760</v>
      </c>
      <c r="E344" s="636" t="n"/>
      <c r="F344" s="668" t="n">
        <v>0.7</v>
      </c>
      <c r="G344" s="38" t="n">
        <v>6</v>
      </c>
      <c r="H344" s="668" t="n">
        <v>4.2</v>
      </c>
      <c r="I344" s="668" t="n">
        <v>4.43</v>
      </c>
      <c r="J344" s="38" t="n">
        <v>156</v>
      </c>
      <c r="K344" s="39" t="inlineStr">
        <is>
          <t>СК2</t>
        </is>
      </c>
      <c r="L344" s="38" t="n">
        <v>45</v>
      </c>
      <c r="M344" s="855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4" s="670" t="n"/>
      <c r="O344" s="670" t="n"/>
      <c r="P344" s="670" t="n"/>
      <c r="Q344" s="636" t="n"/>
      <c r="R344" s="40" t="inlineStr"/>
      <c r="S344" s="40" t="inlineStr"/>
      <c r="T344" s="41" t="inlineStr">
        <is>
          <t>кг</t>
        </is>
      </c>
      <c r="U344" s="671" t="n">
        <v>0</v>
      </c>
      <c r="V344" s="672">
        <f>IFERROR(IF(U344="",0,CEILING((U344/$H344),1)*$H344),"")</f>
        <v/>
      </c>
      <c r="W344" s="42">
        <f>IFERROR(IF(V344=0,"",ROUNDUP(V344/H344,0)*0.00753),"")</f>
        <v/>
      </c>
      <c r="X344" s="69" t="inlineStr"/>
      <c r="Y344" s="70" t="inlineStr"/>
      <c r="AC344" s="71" t="n"/>
      <c r="AZ344" s="252" t="inlineStr">
        <is>
          <t>КИ</t>
        </is>
      </c>
    </row>
    <row r="345" ht="27" customHeight="1">
      <c r="A345" s="64" t="inlineStr">
        <is>
          <t>SU002613</t>
        </is>
      </c>
      <c r="B345" s="64" t="inlineStr">
        <is>
          <t>P003133</t>
        </is>
      </c>
      <c r="C345" s="37" t="n">
        <v>4301031175</v>
      </c>
      <c r="D345" s="315" t="n">
        <v>4607091389746</v>
      </c>
      <c r="E345" s="636" t="n"/>
      <c r="F345" s="668" t="n">
        <v>0.7</v>
      </c>
      <c r="G345" s="38" t="n">
        <v>6</v>
      </c>
      <c r="H345" s="668" t="n">
        <v>4.2</v>
      </c>
      <c r="I345" s="668" t="n">
        <v>4.43</v>
      </c>
      <c r="J345" s="38" t="n">
        <v>156</v>
      </c>
      <c r="K345" s="39" t="inlineStr">
        <is>
          <t>СК2</t>
        </is>
      </c>
      <c r="L345" s="38" t="n">
        <v>45</v>
      </c>
      <c r="M345" s="856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5" s="670" t="n"/>
      <c r="O345" s="670" t="n"/>
      <c r="P345" s="670" t="n"/>
      <c r="Q345" s="636" t="n"/>
      <c r="R345" s="40" t="inlineStr"/>
      <c r="S345" s="40" t="inlineStr"/>
      <c r="T345" s="41" t="inlineStr">
        <is>
          <t>кг</t>
        </is>
      </c>
      <c r="U345" s="671" t="n">
        <v>0</v>
      </c>
      <c r="V345" s="672">
        <f>IFERROR(IF(U345="",0,CEILING((U345/$H345),1)*$H345),"")</f>
        <v/>
      </c>
      <c r="W345" s="42">
        <f>IFERROR(IF(V345=0,"",ROUNDUP(V345/H345,0)*0.00753),"")</f>
        <v/>
      </c>
      <c r="X345" s="69" t="inlineStr"/>
      <c r="Y345" s="70" t="inlineStr"/>
      <c r="AC345" s="71" t="n"/>
      <c r="AZ345" s="253" t="inlineStr">
        <is>
          <t>КИ</t>
        </is>
      </c>
    </row>
    <row r="346" ht="37.5" customHeight="1">
      <c r="A346" s="64" t="inlineStr">
        <is>
          <t>SU003035</t>
        </is>
      </c>
      <c r="B346" s="64" t="inlineStr">
        <is>
          <t>P003496</t>
        </is>
      </c>
      <c r="C346" s="37" t="n">
        <v>4301031236</v>
      </c>
      <c r="D346" s="315" t="n">
        <v>4680115882928</v>
      </c>
      <c r="E346" s="636" t="n"/>
      <c r="F346" s="668" t="n">
        <v>0.28</v>
      </c>
      <c r="G346" s="38" t="n">
        <v>6</v>
      </c>
      <c r="H346" s="668" t="n">
        <v>1.68</v>
      </c>
      <c r="I346" s="668" t="n">
        <v>2.6</v>
      </c>
      <c r="J346" s="38" t="n">
        <v>156</v>
      </c>
      <c r="K346" s="39" t="inlineStr">
        <is>
          <t>СК2</t>
        </is>
      </c>
      <c r="L346" s="38" t="n">
        <v>35</v>
      </c>
      <c r="M346" s="857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46" s="670" t="n"/>
      <c r="O346" s="670" t="n"/>
      <c r="P346" s="670" t="n"/>
      <c r="Q346" s="636" t="n"/>
      <c r="R346" s="40" t="inlineStr"/>
      <c r="S346" s="40" t="inlineStr"/>
      <c r="T346" s="41" t="inlineStr">
        <is>
          <t>кг</t>
        </is>
      </c>
      <c r="U346" s="671" t="n">
        <v>0</v>
      </c>
      <c r="V346" s="672">
        <f>IFERROR(IF(U346="",0,CEILING((U346/$H346),1)*$H346),"")</f>
        <v/>
      </c>
      <c r="W346" s="42">
        <f>IFERROR(IF(V346=0,"",ROUNDUP(V346/H346,0)*0.00753),"")</f>
        <v/>
      </c>
      <c r="X346" s="69" t="inlineStr"/>
      <c r="Y346" s="70" t="inlineStr"/>
      <c r="AC346" s="71" t="n"/>
      <c r="AZ346" s="254" t="inlineStr">
        <is>
          <t>КИ</t>
        </is>
      </c>
    </row>
    <row r="347" ht="27" customHeight="1">
      <c r="A347" s="64" t="inlineStr">
        <is>
          <t>SU003083</t>
        </is>
      </c>
      <c r="B347" s="64" t="inlineStr">
        <is>
          <t>P003646</t>
        </is>
      </c>
      <c r="C347" s="37" t="n">
        <v>4301031257</v>
      </c>
      <c r="D347" s="315" t="n">
        <v>4680115883147</v>
      </c>
      <c r="E347" s="636" t="n"/>
      <c r="F347" s="668" t="n">
        <v>0.28</v>
      </c>
      <c r="G347" s="38" t="n">
        <v>6</v>
      </c>
      <c r="H347" s="668" t="n">
        <v>1.68</v>
      </c>
      <c r="I347" s="668" t="n">
        <v>1.81</v>
      </c>
      <c r="J347" s="38" t="n">
        <v>234</v>
      </c>
      <c r="K347" s="39" t="inlineStr">
        <is>
          <t>СК2</t>
        </is>
      </c>
      <c r="L347" s="38" t="n">
        <v>45</v>
      </c>
      <c r="M347" s="858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47" s="670" t="n"/>
      <c r="O347" s="670" t="n"/>
      <c r="P347" s="670" t="n"/>
      <c r="Q347" s="636" t="n"/>
      <c r="R347" s="40" t="inlineStr"/>
      <c r="S347" s="40" t="inlineStr"/>
      <c r="T347" s="41" t="inlineStr">
        <is>
          <t>кг</t>
        </is>
      </c>
      <c r="U347" s="671" t="n">
        <v>0</v>
      </c>
      <c r="V347" s="672">
        <f>IFERROR(IF(U347="",0,CEILING((U347/$H347),1)*$H347),"")</f>
        <v/>
      </c>
      <c r="W347" s="42">
        <f>IFERROR(IF(V347=0,"",ROUNDUP(V347/H347,0)*0.00502),"")</f>
        <v/>
      </c>
      <c r="X347" s="69" t="inlineStr"/>
      <c r="Y347" s="70" t="inlineStr"/>
      <c r="AC347" s="71" t="n"/>
      <c r="AZ347" s="255" t="inlineStr">
        <is>
          <t>КИ</t>
        </is>
      </c>
    </row>
    <row r="348" ht="27" customHeight="1">
      <c r="A348" s="64" t="inlineStr">
        <is>
          <t>SU002538</t>
        </is>
      </c>
      <c r="B348" s="64" t="inlineStr">
        <is>
          <t>P003139</t>
        </is>
      </c>
      <c r="C348" s="37" t="n">
        <v>4301031178</v>
      </c>
      <c r="D348" s="315" t="n">
        <v>4607091384338</v>
      </c>
      <c r="E348" s="636" t="n"/>
      <c r="F348" s="668" t="n">
        <v>0.35</v>
      </c>
      <c r="G348" s="38" t="n">
        <v>6</v>
      </c>
      <c r="H348" s="668" t="n">
        <v>2.1</v>
      </c>
      <c r="I348" s="668" t="n">
        <v>2.23</v>
      </c>
      <c r="J348" s="38" t="n">
        <v>234</v>
      </c>
      <c r="K348" s="39" t="inlineStr">
        <is>
          <t>СК2</t>
        </is>
      </c>
      <c r="L348" s="38" t="n">
        <v>45</v>
      </c>
      <c r="M348" s="859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48" s="670" t="n"/>
      <c r="O348" s="670" t="n"/>
      <c r="P348" s="670" t="n"/>
      <c r="Q348" s="636" t="n"/>
      <c r="R348" s="40" t="inlineStr"/>
      <c r="S348" s="40" t="inlineStr"/>
      <c r="T348" s="41" t="inlineStr">
        <is>
          <t>кг</t>
        </is>
      </c>
      <c r="U348" s="671" t="n">
        <v>0</v>
      </c>
      <c r="V348" s="672">
        <f>IFERROR(IF(U348="",0,CEILING((U348/$H348),1)*$H348),"")</f>
        <v/>
      </c>
      <c r="W348" s="42">
        <f>IFERROR(IF(V348=0,"",ROUNDUP(V348/H348,0)*0.00502),"")</f>
        <v/>
      </c>
      <c r="X348" s="69" t="inlineStr"/>
      <c r="Y348" s="70" t="inlineStr"/>
      <c r="AC348" s="71" t="n"/>
      <c r="AZ348" s="256" t="inlineStr">
        <is>
          <t>КИ</t>
        </is>
      </c>
    </row>
    <row r="349" ht="37.5" customHeight="1">
      <c r="A349" s="64" t="inlineStr">
        <is>
          <t>SU003079</t>
        </is>
      </c>
      <c r="B349" s="64" t="inlineStr">
        <is>
          <t>P003643</t>
        </is>
      </c>
      <c r="C349" s="37" t="n">
        <v>4301031254</v>
      </c>
      <c r="D349" s="315" t="n">
        <v>4680115883154</v>
      </c>
      <c r="E349" s="636" t="n"/>
      <c r="F349" s="668" t="n">
        <v>0.28</v>
      </c>
      <c r="G349" s="38" t="n">
        <v>6</v>
      </c>
      <c r="H349" s="668" t="n">
        <v>1.68</v>
      </c>
      <c r="I349" s="668" t="n">
        <v>1.81</v>
      </c>
      <c r="J349" s="38" t="n">
        <v>234</v>
      </c>
      <c r="K349" s="39" t="inlineStr">
        <is>
          <t>СК2</t>
        </is>
      </c>
      <c r="L349" s="38" t="n">
        <v>45</v>
      </c>
      <c r="M349" s="860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49" s="670" t="n"/>
      <c r="O349" s="670" t="n"/>
      <c r="P349" s="670" t="n"/>
      <c r="Q349" s="636" t="n"/>
      <c r="R349" s="40" t="inlineStr"/>
      <c r="S349" s="40" t="inlineStr"/>
      <c r="T349" s="41" t="inlineStr">
        <is>
          <t>кг</t>
        </is>
      </c>
      <c r="U349" s="671" t="n">
        <v>0</v>
      </c>
      <c r="V349" s="672">
        <f>IFERROR(IF(U349="",0,CEILING((U349/$H349),1)*$H349),"")</f>
        <v/>
      </c>
      <c r="W349" s="42">
        <f>IFERROR(IF(V349=0,"",ROUNDUP(V349/H349,0)*0.00502),"")</f>
        <v/>
      </c>
      <c r="X349" s="69" t="inlineStr"/>
      <c r="Y349" s="70" t="inlineStr"/>
      <c r="AC349" s="71" t="n"/>
      <c r="AZ349" s="257" t="inlineStr">
        <is>
          <t>КИ</t>
        </is>
      </c>
    </row>
    <row r="350" ht="37.5" customHeight="1">
      <c r="A350" s="64" t="inlineStr">
        <is>
          <t>SU002602</t>
        </is>
      </c>
      <c r="B350" s="64" t="inlineStr">
        <is>
          <t>P003132</t>
        </is>
      </c>
      <c r="C350" s="37" t="n">
        <v>4301031171</v>
      </c>
      <c r="D350" s="315" t="n">
        <v>4607091389524</v>
      </c>
      <c r="E350" s="636" t="n"/>
      <c r="F350" s="668" t="n">
        <v>0.35</v>
      </c>
      <c r="G350" s="38" t="n">
        <v>6</v>
      </c>
      <c r="H350" s="668" t="n">
        <v>2.1</v>
      </c>
      <c r="I350" s="668" t="n">
        <v>2.23</v>
      </c>
      <c r="J350" s="38" t="n">
        <v>234</v>
      </c>
      <c r="K350" s="39" t="inlineStr">
        <is>
          <t>СК2</t>
        </is>
      </c>
      <c r="L350" s="38" t="n">
        <v>45</v>
      </c>
      <c r="M350" s="86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0" s="670" t="n"/>
      <c r="O350" s="670" t="n"/>
      <c r="P350" s="670" t="n"/>
      <c r="Q350" s="636" t="n"/>
      <c r="R350" s="40" t="inlineStr"/>
      <c r="S350" s="40" t="inlineStr"/>
      <c r="T350" s="41" t="inlineStr">
        <is>
          <t>кг</t>
        </is>
      </c>
      <c r="U350" s="671" t="n">
        <v>0</v>
      </c>
      <c r="V350" s="672">
        <f>IFERROR(IF(U350="",0,CEILING((U350/$H350),1)*$H350),"")</f>
        <v/>
      </c>
      <c r="W350" s="42">
        <f>IFERROR(IF(V350=0,"",ROUNDUP(V350/H350,0)*0.00502),"")</f>
        <v/>
      </c>
      <c r="X350" s="69" t="inlineStr"/>
      <c r="Y350" s="70" t="inlineStr"/>
      <c r="AC350" s="71" t="n"/>
      <c r="AZ350" s="258" t="inlineStr">
        <is>
          <t>КИ</t>
        </is>
      </c>
    </row>
    <row r="351" ht="27" customHeight="1">
      <c r="A351" s="64" t="inlineStr">
        <is>
          <t>SU003080</t>
        </is>
      </c>
      <c r="B351" s="64" t="inlineStr">
        <is>
          <t>P003647</t>
        </is>
      </c>
      <c r="C351" s="37" t="n">
        <v>4301031258</v>
      </c>
      <c r="D351" s="315" t="n">
        <v>4680115883161</v>
      </c>
      <c r="E351" s="636" t="n"/>
      <c r="F351" s="668" t="n">
        <v>0.28</v>
      </c>
      <c r="G351" s="38" t="n">
        <v>6</v>
      </c>
      <c r="H351" s="668" t="n">
        <v>1.68</v>
      </c>
      <c r="I351" s="668" t="n">
        <v>1.81</v>
      </c>
      <c r="J351" s="38" t="n">
        <v>234</v>
      </c>
      <c r="K351" s="39" t="inlineStr">
        <is>
          <t>СК2</t>
        </is>
      </c>
      <c r="L351" s="38" t="n">
        <v>45</v>
      </c>
      <c r="M351" s="862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51" s="670" t="n"/>
      <c r="O351" s="670" t="n"/>
      <c r="P351" s="670" t="n"/>
      <c r="Q351" s="636" t="n"/>
      <c r="R351" s="40" t="inlineStr"/>
      <c r="S351" s="40" t="inlineStr"/>
      <c r="T351" s="41" t="inlineStr">
        <is>
          <t>кг</t>
        </is>
      </c>
      <c r="U351" s="671" t="n">
        <v>0</v>
      </c>
      <c r="V351" s="672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71" t="n"/>
      <c r="AZ351" s="259" t="inlineStr">
        <is>
          <t>КИ</t>
        </is>
      </c>
    </row>
    <row r="352" ht="27" customHeight="1">
      <c r="A352" s="64" t="inlineStr">
        <is>
          <t>SU002603</t>
        </is>
      </c>
      <c r="B352" s="64" t="inlineStr">
        <is>
          <t>P003131</t>
        </is>
      </c>
      <c r="C352" s="37" t="n">
        <v>4301031170</v>
      </c>
      <c r="D352" s="315" t="n">
        <v>4607091384345</v>
      </c>
      <c r="E352" s="636" t="n"/>
      <c r="F352" s="668" t="n">
        <v>0.35</v>
      </c>
      <c r="G352" s="38" t="n">
        <v>6</v>
      </c>
      <c r="H352" s="668" t="n">
        <v>2.1</v>
      </c>
      <c r="I352" s="668" t="n">
        <v>2.23</v>
      </c>
      <c r="J352" s="38" t="n">
        <v>234</v>
      </c>
      <c r="K352" s="39" t="inlineStr">
        <is>
          <t>СК2</t>
        </is>
      </c>
      <c r="L352" s="38" t="n">
        <v>45</v>
      </c>
      <c r="M352" s="863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2" s="670" t="n"/>
      <c r="O352" s="670" t="n"/>
      <c r="P352" s="670" t="n"/>
      <c r="Q352" s="636" t="n"/>
      <c r="R352" s="40" t="inlineStr"/>
      <c r="S352" s="40" t="inlineStr"/>
      <c r="T352" s="41" t="inlineStr">
        <is>
          <t>кг</t>
        </is>
      </c>
      <c r="U352" s="671" t="n">
        <v>0</v>
      </c>
      <c r="V352" s="672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71" t="n"/>
      <c r="AZ352" s="260" t="inlineStr">
        <is>
          <t>КИ</t>
        </is>
      </c>
    </row>
    <row r="353" ht="27" customHeight="1">
      <c r="A353" s="64" t="inlineStr">
        <is>
          <t>SU003081</t>
        </is>
      </c>
      <c r="B353" s="64" t="inlineStr">
        <is>
          <t>P003645</t>
        </is>
      </c>
      <c r="C353" s="37" t="n">
        <v>4301031256</v>
      </c>
      <c r="D353" s="315" t="n">
        <v>4680115883178</v>
      </c>
      <c r="E353" s="636" t="n"/>
      <c r="F353" s="668" t="n">
        <v>0.28</v>
      </c>
      <c r="G353" s="38" t="n">
        <v>6</v>
      </c>
      <c r="H353" s="668" t="n">
        <v>1.68</v>
      </c>
      <c r="I353" s="668" t="n">
        <v>1.81</v>
      </c>
      <c r="J353" s="38" t="n">
        <v>234</v>
      </c>
      <c r="K353" s="39" t="inlineStr">
        <is>
          <t>СК2</t>
        </is>
      </c>
      <c r="L353" s="38" t="n">
        <v>45</v>
      </c>
      <c r="M353" s="864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53" s="670" t="n"/>
      <c r="O353" s="670" t="n"/>
      <c r="P353" s="670" t="n"/>
      <c r="Q353" s="636" t="n"/>
      <c r="R353" s="40" t="inlineStr"/>
      <c r="S353" s="40" t="inlineStr"/>
      <c r="T353" s="41" t="inlineStr">
        <is>
          <t>кг</t>
        </is>
      </c>
      <c r="U353" s="671" t="n">
        <v>0</v>
      </c>
      <c r="V353" s="672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71" t="n"/>
      <c r="AZ353" s="261" t="inlineStr">
        <is>
          <t>КИ</t>
        </is>
      </c>
    </row>
    <row r="354" ht="27" customHeight="1">
      <c r="A354" s="64" t="inlineStr">
        <is>
          <t>SU002606</t>
        </is>
      </c>
      <c r="B354" s="64" t="inlineStr">
        <is>
          <t>P003134</t>
        </is>
      </c>
      <c r="C354" s="37" t="n">
        <v>4301031172</v>
      </c>
      <c r="D354" s="315" t="n">
        <v>4607091389531</v>
      </c>
      <c r="E354" s="636" t="n"/>
      <c r="F354" s="668" t="n">
        <v>0.35</v>
      </c>
      <c r="G354" s="38" t="n">
        <v>6</v>
      </c>
      <c r="H354" s="668" t="n">
        <v>2.1</v>
      </c>
      <c r="I354" s="668" t="n">
        <v>2.23</v>
      </c>
      <c r="J354" s="38" t="n">
        <v>234</v>
      </c>
      <c r="K354" s="39" t="inlineStr">
        <is>
          <t>СК2</t>
        </is>
      </c>
      <c r="L354" s="38" t="n">
        <v>45</v>
      </c>
      <c r="M354" s="865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4" s="670" t="n"/>
      <c r="O354" s="670" t="n"/>
      <c r="P354" s="670" t="n"/>
      <c r="Q354" s="636" t="n"/>
      <c r="R354" s="40" t="inlineStr"/>
      <c r="S354" s="40" t="inlineStr"/>
      <c r="T354" s="41" t="inlineStr">
        <is>
          <t>кг</t>
        </is>
      </c>
      <c r="U354" s="671" t="n">
        <v>0</v>
      </c>
      <c r="V354" s="672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71" t="n"/>
      <c r="AZ354" s="262" t="inlineStr">
        <is>
          <t>КИ</t>
        </is>
      </c>
    </row>
    <row r="355" ht="27" customHeight="1">
      <c r="A355" s="64" t="inlineStr">
        <is>
          <t>SU003082</t>
        </is>
      </c>
      <c r="B355" s="64" t="inlineStr">
        <is>
          <t>P003644</t>
        </is>
      </c>
      <c r="C355" s="37" t="n">
        <v>4301031255</v>
      </c>
      <c r="D355" s="315" t="n">
        <v>4680115883185</v>
      </c>
      <c r="E355" s="636" t="n"/>
      <c r="F355" s="668" t="n">
        <v>0.28</v>
      </c>
      <c r="G355" s="38" t="n">
        <v>6</v>
      </c>
      <c r="H355" s="668" t="n">
        <v>1.68</v>
      </c>
      <c r="I355" s="668" t="n">
        <v>1.81</v>
      </c>
      <c r="J355" s="38" t="n">
        <v>234</v>
      </c>
      <c r="K355" s="39" t="inlineStr">
        <is>
          <t>СК2</t>
        </is>
      </c>
      <c r="L355" s="38" t="n">
        <v>45</v>
      </c>
      <c r="M355" s="866" t="inlineStr">
        <is>
          <t>В/к колбасы «Филейбургская с душистым чесноком» срез Фикс.вес 0,28 фиброуз в/у Баварушка</t>
        </is>
      </c>
      <c r="N355" s="670" t="n"/>
      <c r="O355" s="670" t="n"/>
      <c r="P355" s="670" t="n"/>
      <c r="Q355" s="636" t="n"/>
      <c r="R355" s="40" t="inlineStr"/>
      <c r="S355" s="40" t="inlineStr"/>
      <c r="T355" s="41" t="inlineStr">
        <is>
          <t>кг</t>
        </is>
      </c>
      <c r="U355" s="671" t="n">
        <v>0</v>
      </c>
      <c r="V355" s="672">
        <f>IFERROR(IF(U355="",0,CEILING((U355/$H355),1)*$H355),"")</f>
        <v/>
      </c>
      <c r="W355" s="42">
        <f>IFERROR(IF(V355=0,"",ROUNDUP(V355/H355,0)*0.00502),"")</f>
        <v/>
      </c>
      <c r="X355" s="69" t="inlineStr"/>
      <c r="Y355" s="70" t="inlineStr"/>
      <c r="AC355" s="71" t="n"/>
      <c r="AZ355" s="263" t="inlineStr">
        <is>
          <t>КИ</t>
        </is>
      </c>
    </row>
    <row r="356">
      <c r="A356" s="323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673" t="n"/>
      <c r="M356" s="674" t="inlineStr">
        <is>
          <t>Итого</t>
        </is>
      </c>
      <c r="N356" s="644" t="n"/>
      <c r="O356" s="644" t="n"/>
      <c r="P356" s="644" t="n"/>
      <c r="Q356" s="644" t="n"/>
      <c r="R356" s="644" t="n"/>
      <c r="S356" s="645" t="n"/>
      <c r="T356" s="43" t="inlineStr">
        <is>
          <t>кор</t>
        </is>
      </c>
      <c r="U356" s="675">
        <f>IFERROR(U343/H343,"0")+IFERROR(U344/H344,"0")+IFERROR(U345/H345,"0")+IFERROR(U346/H346,"0")+IFERROR(U347/H347,"0")+IFERROR(U348/H348,"0")+IFERROR(U349/H349,"0")+IFERROR(U350/H350,"0")+IFERROR(U351/H351,"0")+IFERROR(U352/H352,"0")+IFERROR(U353/H353,"0")+IFERROR(U354/H354,"0")+IFERROR(U355/H355,"0")</f>
        <v/>
      </c>
      <c r="V356" s="675">
        <f>IFERROR(V343/H343,"0")+IFERROR(V344/H344,"0")+IFERROR(V345/H345,"0")+IFERROR(V346/H346,"0")+IFERROR(V347/H347,"0")+IFERROR(V348/H348,"0")+IFERROR(V349/H349,"0")+IFERROR(V350/H350,"0")+IFERROR(V351/H351,"0")+IFERROR(V352/H352,"0")+IFERROR(V353/H353,"0")+IFERROR(V354/H354,"0")+IFERROR(V355/H355,"0")</f>
        <v/>
      </c>
      <c r="W356" s="675">
        <f>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</f>
        <v/>
      </c>
      <c r="X356" s="676" t="n"/>
      <c r="Y356" s="676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673" t="n"/>
      <c r="M357" s="674" t="inlineStr">
        <is>
          <t>Итого</t>
        </is>
      </c>
      <c r="N357" s="644" t="n"/>
      <c r="O357" s="644" t="n"/>
      <c r="P357" s="644" t="n"/>
      <c r="Q357" s="644" t="n"/>
      <c r="R357" s="644" t="n"/>
      <c r="S357" s="645" t="n"/>
      <c r="T357" s="43" t="inlineStr">
        <is>
          <t>кг</t>
        </is>
      </c>
      <c r="U357" s="675">
        <f>IFERROR(SUM(U343:U355),"0")</f>
        <v/>
      </c>
      <c r="V357" s="675">
        <f>IFERROR(SUM(V343:V355),"0")</f>
        <v/>
      </c>
      <c r="W357" s="43" t="n"/>
      <c r="X357" s="676" t="n"/>
      <c r="Y357" s="676" t="n"/>
    </row>
    <row r="358" ht="14.25" customHeight="1">
      <c r="A358" s="331" t="inlineStr">
        <is>
          <t>Сосиски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331" t="n"/>
      <c r="Y358" s="331" t="n"/>
    </row>
    <row r="359" ht="27" customHeight="1">
      <c r="A359" s="64" t="inlineStr">
        <is>
          <t>SU002448</t>
        </is>
      </c>
      <c r="B359" s="64" t="inlineStr">
        <is>
          <t>P002914</t>
        </is>
      </c>
      <c r="C359" s="37" t="n">
        <v>4301051258</v>
      </c>
      <c r="D359" s="315" t="n">
        <v>4607091389685</v>
      </c>
      <c r="E359" s="636" t="n"/>
      <c r="F359" s="668" t="n">
        <v>1.3</v>
      </c>
      <c r="G359" s="38" t="n">
        <v>6</v>
      </c>
      <c r="H359" s="668" t="n">
        <v>7.8</v>
      </c>
      <c r="I359" s="668" t="n">
        <v>8.346</v>
      </c>
      <c r="J359" s="38" t="n">
        <v>56</v>
      </c>
      <c r="K359" s="39" t="inlineStr">
        <is>
          <t>СК3</t>
        </is>
      </c>
      <c r="L359" s="38" t="n">
        <v>45</v>
      </c>
      <c r="M359" s="867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59" s="670" t="n"/>
      <c r="O359" s="670" t="n"/>
      <c r="P359" s="670" t="n"/>
      <c r="Q359" s="636" t="n"/>
      <c r="R359" s="40" t="inlineStr"/>
      <c r="S359" s="40" t="inlineStr"/>
      <c r="T359" s="41" t="inlineStr">
        <is>
          <t>кг</t>
        </is>
      </c>
      <c r="U359" s="671" t="n">
        <v>0</v>
      </c>
      <c r="V359" s="672">
        <f>IFERROR(IF(U359="",0,CEILING((U359/$H359),1)*$H359),"")</f>
        <v/>
      </c>
      <c r="W359" s="42">
        <f>IFERROR(IF(V359=0,"",ROUNDUP(V359/H359,0)*0.02175),"")</f>
        <v/>
      </c>
      <c r="X359" s="69" t="inlineStr"/>
      <c r="Y359" s="70" t="inlineStr"/>
      <c r="AC359" s="71" t="n"/>
      <c r="AZ359" s="264" t="inlineStr">
        <is>
          <t>КИ</t>
        </is>
      </c>
    </row>
    <row r="360" ht="27" customHeight="1">
      <c r="A360" s="64" t="inlineStr">
        <is>
          <t>SU002557</t>
        </is>
      </c>
      <c r="B360" s="64" t="inlineStr">
        <is>
          <t>P003318</t>
        </is>
      </c>
      <c r="C360" s="37" t="n">
        <v>4301051431</v>
      </c>
      <c r="D360" s="315" t="n">
        <v>4607091389654</v>
      </c>
      <c r="E360" s="636" t="n"/>
      <c r="F360" s="668" t="n">
        <v>0.33</v>
      </c>
      <c r="G360" s="38" t="n">
        <v>6</v>
      </c>
      <c r="H360" s="668" t="n">
        <v>1.98</v>
      </c>
      <c r="I360" s="668" t="n">
        <v>2.258</v>
      </c>
      <c r="J360" s="38" t="n">
        <v>156</v>
      </c>
      <c r="K360" s="39" t="inlineStr">
        <is>
          <t>СК3</t>
        </is>
      </c>
      <c r="L360" s="38" t="n">
        <v>45</v>
      </c>
      <c r="M360" s="868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0" s="670" t="n"/>
      <c r="O360" s="670" t="n"/>
      <c r="P360" s="670" t="n"/>
      <c r="Q360" s="636" t="n"/>
      <c r="R360" s="40" t="inlineStr"/>
      <c r="S360" s="40" t="inlineStr"/>
      <c r="T360" s="41" t="inlineStr">
        <is>
          <t>кг</t>
        </is>
      </c>
      <c r="U360" s="671" t="n">
        <v>0</v>
      </c>
      <c r="V360" s="672">
        <f>IFERROR(IF(U360="",0,CEILING((U360/$H360),1)*$H360),"")</f>
        <v/>
      </c>
      <c r="W360" s="42">
        <f>IFERROR(IF(V360=0,"",ROUNDUP(V360/H360,0)*0.00753),"")</f>
        <v/>
      </c>
      <c r="X360" s="69" t="inlineStr"/>
      <c r="Y360" s="70" t="inlineStr"/>
      <c r="AC360" s="71" t="n"/>
      <c r="AZ360" s="265" t="inlineStr">
        <is>
          <t>КИ</t>
        </is>
      </c>
    </row>
    <row r="361" ht="27" customHeight="1">
      <c r="A361" s="64" t="inlineStr">
        <is>
          <t>SU002285</t>
        </is>
      </c>
      <c r="B361" s="64" t="inlineStr">
        <is>
          <t>P002969</t>
        </is>
      </c>
      <c r="C361" s="37" t="n">
        <v>4301051284</v>
      </c>
      <c r="D361" s="315" t="n">
        <v>4607091384352</v>
      </c>
      <c r="E361" s="636" t="n"/>
      <c r="F361" s="668" t="n">
        <v>0.6</v>
      </c>
      <c r="G361" s="38" t="n">
        <v>4</v>
      </c>
      <c r="H361" s="668" t="n">
        <v>2.4</v>
      </c>
      <c r="I361" s="668" t="n">
        <v>2.646</v>
      </c>
      <c r="J361" s="38" t="n">
        <v>120</v>
      </c>
      <c r="K361" s="39" t="inlineStr">
        <is>
          <t>СК3</t>
        </is>
      </c>
      <c r="L361" s="38" t="n">
        <v>45</v>
      </c>
      <c r="M361" s="869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1" s="670" t="n"/>
      <c r="O361" s="670" t="n"/>
      <c r="P361" s="670" t="n"/>
      <c r="Q361" s="636" t="n"/>
      <c r="R361" s="40" t="inlineStr"/>
      <c r="S361" s="40" t="inlineStr"/>
      <c r="T361" s="41" t="inlineStr">
        <is>
          <t>кг</t>
        </is>
      </c>
      <c r="U361" s="671" t="n">
        <v>0</v>
      </c>
      <c r="V361" s="672">
        <f>IFERROR(IF(U361="",0,CEILING((U361/$H361),1)*$H361),"")</f>
        <v/>
      </c>
      <c r="W361" s="42">
        <f>IFERROR(IF(V361=0,"",ROUNDUP(V361/H361,0)*0.00937),"")</f>
        <v/>
      </c>
      <c r="X361" s="69" t="inlineStr"/>
      <c r="Y361" s="70" t="inlineStr"/>
      <c r="AC361" s="71" t="n"/>
      <c r="AZ361" s="266" t="inlineStr">
        <is>
          <t>КИ</t>
        </is>
      </c>
    </row>
    <row r="362" ht="27" customHeight="1">
      <c r="A362" s="64" t="inlineStr">
        <is>
          <t>SU002419</t>
        </is>
      </c>
      <c r="B362" s="64" t="inlineStr">
        <is>
          <t>P002913</t>
        </is>
      </c>
      <c r="C362" s="37" t="n">
        <v>4301051257</v>
      </c>
      <c r="D362" s="315" t="n">
        <v>4607091389661</v>
      </c>
      <c r="E362" s="636" t="n"/>
      <c r="F362" s="668" t="n">
        <v>0.55</v>
      </c>
      <c r="G362" s="38" t="n">
        <v>4</v>
      </c>
      <c r="H362" s="668" t="n">
        <v>2.2</v>
      </c>
      <c r="I362" s="668" t="n">
        <v>2.492</v>
      </c>
      <c r="J362" s="38" t="n">
        <v>120</v>
      </c>
      <c r="K362" s="39" t="inlineStr">
        <is>
          <t>СК3</t>
        </is>
      </c>
      <c r="L362" s="38" t="n">
        <v>45</v>
      </c>
      <c r="M362" s="870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2" s="670" t="n"/>
      <c r="O362" s="670" t="n"/>
      <c r="P362" s="670" t="n"/>
      <c r="Q362" s="636" t="n"/>
      <c r="R362" s="40" t="inlineStr"/>
      <c r="S362" s="40" t="inlineStr"/>
      <c r="T362" s="41" t="inlineStr">
        <is>
          <t>кг</t>
        </is>
      </c>
      <c r="U362" s="671" t="n">
        <v>0</v>
      </c>
      <c r="V362" s="672">
        <f>IFERROR(IF(U362="",0,CEILING((U362/$H362),1)*$H362),"")</f>
        <v/>
      </c>
      <c r="W362" s="42">
        <f>IFERROR(IF(V362=0,"",ROUNDUP(V362/H362,0)*0.00937),"")</f>
        <v/>
      </c>
      <c r="X362" s="69" t="inlineStr"/>
      <c r="Y362" s="70" t="inlineStr"/>
      <c r="AC362" s="71" t="n"/>
      <c r="AZ362" s="267" t="inlineStr">
        <is>
          <t>КИ</t>
        </is>
      </c>
    </row>
    <row r="363">
      <c r="A363" s="323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673" t="n"/>
      <c r="M363" s="674" t="inlineStr">
        <is>
          <t>Итого</t>
        </is>
      </c>
      <c r="N363" s="644" t="n"/>
      <c r="O363" s="644" t="n"/>
      <c r="P363" s="644" t="n"/>
      <c r="Q363" s="644" t="n"/>
      <c r="R363" s="644" t="n"/>
      <c r="S363" s="645" t="n"/>
      <c r="T363" s="43" t="inlineStr">
        <is>
          <t>кор</t>
        </is>
      </c>
      <c r="U363" s="675">
        <f>IFERROR(U359/H359,"0")+IFERROR(U360/H360,"0")+IFERROR(U361/H361,"0")+IFERROR(U362/H362,"0")</f>
        <v/>
      </c>
      <c r="V363" s="675">
        <f>IFERROR(V359/H359,"0")+IFERROR(V360/H360,"0")+IFERROR(V361/H361,"0")+IFERROR(V362/H362,"0")</f>
        <v/>
      </c>
      <c r="W363" s="675">
        <f>IFERROR(IF(W359="",0,W359),"0")+IFERROR(IF(W360="",0,W360),"0")+IFERROR(IF(W361="",0,W361),"0")+IFERROR(IF(W362="",0,W362),"0")</f>
        <v/>
      </c>
      <c r="X363" s="676" t="n"/>
      <c r="Y363" s="676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673" t="n"/>
      <c r="M364" s="674" t="inlineStr">
        <is>
          <t>Итого</t>
        </is>
      </c>
      <c r="N364" s="644" t="n"/>
      <c r="O364" s="644" t="n"/>
      <c r="P364" s="644" t="n"/>
      <c r="Q364" s="644" t="n"/>
      <c r="R364" s="644" t="n"/>
      <c r="S364" s="645" t="n"/>
      <c r="T364" s="43" t="inlineStr">
        <is>
          <t>кг</t>
        </is>
      </c>
      <c r="U364" s="675">
        <f>IFERROR(SUM(U359:U362),"0")</f>
        <v/>
      </c>
      <c r="V364" s="675">
        <f>IFERROR(SUM(V359:V362),"0")</f>
        <v/>
      </c>
      <c r="W364" s="43" t="n"/>
      <c r="X364" s="676" t="n"/>
      <c r="Y364" s="676" t="n"/>
    </row>
    <row r="365" ht="14.25" customHeight="1">
      <c r="A365" s="331" t="inlineStr">
        <is>
          <t>Сардельки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331" t="n"/>
      <c r="Y365" s="331" t="n"/>
    </row>
    <row r="366" ht="27" customHeight="1">
      <c r="A366" s="64" t="inlineStr">
        <is>
          <t>SU002846</t>
        </is>
      </c>
      <c r="B366" s="64" t="inlineStr">
        <is>
          <t>P003254</t>
        </is>
      </c>
      <c r="C366" s="37" t="n">
        <v>4301060352</v>
      </c>
      <c r="D366" s="315" t="n">
        <v>4680115881648</v>
      </c>
      <c r="E366" s="636" t="n"/>
      <c r="F366" s="668" t="n">
        <v>1</v>
      </c>
      <c r="G366" s="38" t="n">
        <v>4</v>
      </c>
      <c r="H366" s="668" t="n">
        <v>4</v>
      </c>
      <c r="I366" s="668" t="n">
        <v>4.404</v>
      </c>
      <c r="J366" s="38" t="n">
        <v>104</v>
      </c>
      <c r="K366" s="39" t="inlineStr">
        <is>
          <t>СК2</t>
        </is>
      </c>
      <c r="L366" s="38" t="n">
        <v>35</v>
      </c>
      <c r="M366" s="871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66" s="670" t="n"/>
      <c r="O366" s="670" t="n"/>
      <c r="P366" s="670" t="n"/>
      <c r="Q366" s="636" t="n"/>
      <c r="R366" s="40" t="inlineStr"/>
      <c r="S366" s="40" t="inlineStr"/>
      <c r="T366" s="41" t="inlineStr">
        <is>
          <t>кг</t>
        </is>
      </c>
      <c r="U366" s="671" t="n">
        <v>0</v>
      </c>
      <c r="V366" s="672">
        <f>IFERROR(IF(U366="",0,CEILING((U366/$H366),1)*$H366),"")</f>
        <v/>
      </c>
      <c r="W366" s="42">
        <f>IFERROR(IF(V366=0,"",ROUNDUP(V366/H366,0)*0.01196),"")</f>
        <v/>
      </c>
      <c r="X366" s="69" t="inlineStr"/>
      <c r="Y366" s="70" t="inlineStr"/>
      <c r="AC366" s="71" t="n"/>
      <c r="AZ366" s="268" t="inlineStr">
        <is>
          <t>КИ</t>
        </is>
      </c>
    </row>
    <row r="367">
      <c r="A367" s="323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673" t="n"/>
      <c r="M367" s="674" t="inlineStr">
        <is>
          <t>Итого</t>
        </is>
      </c>
      <c r="N367" s="644" t="n"/>
      <c r="O367" s="644" t="n"/>
      <c r="P367" s="644" t="n"/>
      <c r="Q367" s="644" t="n"/>
      <c r="R367" s="644" t="n"/>
      <c r="S367" s="645" t="n"/>
      <c r="T367" s="43" t="inlineStr">
        <is>
          <t>кор</t>
        </is>
      </c>
      <c r="U367" s="675">
        <f>IFERROR(U366/H366,"0")</f>
        <v/>
      </c>
      <c r="V367" s="675">
        <f>IFERROR(V366/H366,"0")</f>
        <v/>
      </c>
      <c r="W367" s="675">
        <f>IFERROR(IF(W366="",0,W366),"0")</f>
        <v/>
      </c>
      <c r="X367" s="676" t="n"/>
      <c r="Y367" s="676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73" t="n"/>
      <c r="M368" s="674" t="inlineStr">
        <is>
          <t>Итого</t>
        </is>
      </c>
      <c r="N368" s="644" t="n"/>
      <c r="O368" s="644" t="n"/>
      <c r="P368" s="644" t="n"/>
      <c r="Q368" s="644" t="n"/>
      <c r="R368" s="644" t="n"/>
      <c r="S368" s="645" t="n"/>
      <c r="T368" s="43" t="inlineStr">
        <is>
          <t>кг</t>
        </is>
      </c>
      <c r="U368" s="675">
        <f>IFERROR(SUM(U366:U366),"0")</f>
        <v/>
      </c>
      <c r="V368" s="675">
        <f>IFERROR(SUM(V366:V366),"0")</f>
        <v/>
      </c>
      <c r="W368" s="43" t="n"/>
      <c r="X368" s="676" t="n"/>
      <c r="Y368" s="676" t="n"/>
    </row>
    <row r="369" ht="14.25" customHeight="1">
      <c r="A369" s="331" t="inlineStr">
        <is>
          <t>Сырокопченые колбасы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331" t="n"/>
      <c r="Y369" s="331" t="n"/>
    </row>
    <row r="370" ht="27" customHeight="1">
      <c r="A370" s="64" t="inlineStr">
        <is>
          <t>SU003058</t>
        </is>
      </c>
      <c r="B370" s="64" t="inlineStr">
        <is>
          <t>P003620</t>
        </is>
      </c>
      <c r="C370" s="37" t="n">
        <v>4301032042</v>
      </c>
      <c r="D370" s="315" t="n">
        <v>4680115883017</v>
      </c>
      <c r="E370" s="636" t="n"/>
      <c r="F370" s="668" t="n">
        <v>0.03</v>
      </c>
      <c r="G370" s="38" t="n">
        <v>20</v>
      </c>
      <c r="H370" s="668" t="n">
        <v>0.6</v>
      </c>
      <c r="I370" s="668" t="n">
        <v>0.63</v>
      </c>
      <c r="J370" s="38" t="n">
        <v>350</v>
      </c>
      <c r="K370" s="39" t="inlineStr">
        <is>
          <t>ДК</t>
        </is>
      </c>
      <c r="L370" s="38" t="n">
        <v>60</v>
      </c>
      <c r="M370" s="872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70" s="670" t="n"/>
      <c r="O370" s="670" t="n"/>
      <c r="P370" s="670" t="n"/>
      <c r="Q370" s="636" t="n"/>
      <c r="R370" s="40" t="inlineStr"/>
      <c r="S370" s="40" t="inlineStr"/>
      <c r="T370" s="41" t="inlineStr">
        <is>
          <t>кг</t>
        </is>
      </c>
      <c r="U370" s="671" t="n">
        <v>5</v>
      </c>
      <c r="V370" s="672">
        <f>IFERROR(IF(U370="",0,CEILING((U370/$H370),1)*$H370),"")</f>
        <v/>
      </c>
      <c r="W370" s="42">
        <f>IFERROR(IF(V370=0,"",ROUNDUP(V370/H370,0)*0.00349),"")</f>
        <v/>
      </c>
      <c r="X370" s="69" t="inlineStr"/>
      <c r="Y370" s="70" t="inlineStr"/>
      <c r="AC370" s="71" t="n"/>
      <c r="AZ370" s="269" t="inlineStr">
        <is>
          <t>КИ</t>
        </is>
      </c>
    </row>
    <row r="371" ht="27" customHeight="1">
      <c r="A371" s="64" t="inlineStr">
        <is>
          <t>SU003061</t>
        </is>
      </c>
      <c r="B371" s="64" t="inlineStr">
        <is>
          <t>P003621</t>
        </is>
      </c>
      <c r="C371" s="37" t="n">
        <v>4301032043</v>
      </c>
      <c r="D371" s="315" t="n">
        <v>4680115883031</v>
      </c>
      <c r="E371" s="636" t="n"/>
      <c r="F371" s="668" t="n">
        <v>0.03</v>
      </c>
      <c r="G371" s="38" t="n">
        <v>20</v>
      </c>
      <c r="H371" s="668" t="n">
        <v>0.6</v>
      </c>
      <c r="I371" s="668" t="n">
        <v>0.63</v>
      </c>
      <c r="J371" s="38" t="n">
        <v>350</v>
      </c>
      <c r="K371" s="39" t="inlineStr">
        <is>
          <t>ДК</t>
        </is>
      </c>
      <c r="L371" s="38" t="n">
        <v>60</v>
      </c>
      <c r="M371" s="873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71" s="670" t="n"/>
      <c r="O371" s="670" t="n"/>
      <c r="P371" s="670" t="n"/>
      <c r="Q371" s="636" t="n"/>
      <c r="R371" s="40" t="inlineStr"/>
      <c r="S371" s="40" t="inlineStr"/>
      <c r="T371" s="41" t="inlineStr">
        <is>
          <t>кг</t>
        </is>
      </c>
      <c r="U371" s="671" t="n">
        <v>5</v>
      </c>
      <c r="V371" s="672">
        <f>IFERROR(IF(U371="",0,CEILING((U371/$H371),1)*$H371),"")</f>
        <v/>
      </c>
      <c r="W371" s="42">
        <f>IFERROR(IF(V371=0,"",ROUNDUP(V371/H371,0)*0.00349),"")</f>
        <v/>
      </c>
      <c r="X371" s="69" t="inlineStr"/>
      <c r="Y371" s="70" t="inlineStr"/>
      <c r="AC371" s="71" t="n"/>
      <c r="AZ371" s="270" t="inlineStr">
        <is>
          <t>КИ</t>
        </is>
      </c>
    </row>
    <row r="372" ht="27" customHeight="1">
      <c r="A372" s="64" t="inlineStr">
        <is>
          <t>SU003057</t>
        </is>
      </c>
      <c r="B372" s="64" t="inlineStr">
        <is>
          <t>P003619</t>
        </is>
      </c>
      <c r="C372" s="37" t="n">
        <v>4301032041</v>
      </c>
      <c r="D372" s="315" t="n">
        <v>4680115883024</v>
      </c>
      <c r="E372" s="636" t="n"/>
      <c r="F372" s="668" t="n">
        <v>0.03</v>
      </c>
      <c r="G372" s="38" t="n">
        <v>20</v>
      </c>
      <c r="H372" s="668" t="n">
        <v>0.6</v>
      </c>
      <c r="I372" s="668" t="n">
        <v>0.63</v>
      </c>
      <c r="J372" s="38" t="n">
        <v>350</v>
      </c>
      <c r="K372" s="39" t="inlineStr">
        <is>
          <t>ДК</t>
        </is>
      </c>
      <c r="L372" s="38" t="n">
        <v>60</v>
      </c>
      <c r="M372" s="874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72" s="670" t="n"/>
      <c r="O372" s="670" t="n"/>
      <c r="P372" s="670" t="n"/>
      <c r="Q372" s="636" t="n"/>
      <c r="R372" s="40" t="inlineStr"/>
      <c r="S372" s="40" t="inlineStr"/>
      <c r="T372" s="41" t="inlineStr">
        <is>
          <t>кг</t>
        </is>
      </c>
      <c r="U372" s="671" t="n">
        <v>5</v>
      </c>
      <c r="V372" s="672">
        <f>IFERROR(IF(U372="",0,CEILING((U372/$H372),1)*$H372),"")</f>
        <v/>
      </c>
      <c r="W372" s="42">
        <f>IFERROR(IF(V372=0,"",ROUNDUP(V372/H372,0)*0.00349),"")</f>
        <v/>
      </c>
      <c r="X372" s="69" t="inlineStr"/>
      <c r="Y372" s="70" t="inlineStr"/>
      <c r="AC372" s="71" t="n"/>
      <c r="AZ372" s="271" t="inlineStr">
        <is>
          <t>КИ</t>
        </is>
      </c>
    </row>
    <row r="373">
      <c r="A373" s="323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673" t="n"/>
      <c r="M373" s="674" t="inlineStr">
        <is>
          <t>Итого</t>
        </is>
      </c>
      <c r="N373" s="644" t="n"/>
      <c r="O373" s="644" t="n"/>
      <c r="P373" s="644" t="n"/>
      <c r="Q373" s="644" t="n"/>
      <c r="R373" s="644" t="n"/>
      <c r="S373" s="645" t="n"/>
      <c r="T373" s="43" t="inlineStr">
        <is>
          <t>кор</t>
        </is>
      </c>
      <c r="U373" s="675">
        <f>IFERROR(U370/H370,"0")+IFERROR(U371/H371,"0")+IFERROR(U372/H372,"0")</f>
        <v/>
      </c>
      <c r="V373" s="675">
        <f>IFERROR(V370/H370,"0")+IFERROR(V371/H371,"0")+IFERROR(V372/H372,"0")</f>
        <v/>
      </c>
      <c r="W373" s="675">
        <f>IFERROR(IF(W370="",0,W370),"0")+IFERROR(IF(W371="",0,W371),"0")+IFERROR(IF(W372="",0,W372),"0")</f>
        <v/>
      </c>
      <c r="X373" s="676" t="n"/>
      <c r="Y373" s="676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673" t="n"/>
      <c r="M374" s="674" t="inlineStr">
        <is>
          <t>Итого</t>
        </is>
      </c>
      <c r="N374" s="644" t="n"/>
      <c r="O374" s="644" t="n"/>
      <c r="P374" s="644" t="n"/>
      <c r="Q374" s="644" t="n"/>
      <c r="R374" s="644" t="n"/>
      <c r="S374" s="645" t="n"/>
      <c r="T374" s="43" t="inlineStr">
        <is>
          <t>кг</t>
        </is>
      </c>
      <c r="U374" s="675">
        <f>IFERROR(SUM(U370:U372),"0")</f>
        <v/>
      </c>
      <c r="V374" s="675">
        <f>IFERROR(SUM(V370:V372),"0")</f>
        <v/>
      </c>
      <c r="W374" s="43" t="n"/>
      <c r="X374" s="676" t="n"/>
      <c r="Y374" s="676" t="n"/>
    </row>
    <row r="375" ht="14.25" customHeight="1">
      <c r="A375" s="331" t="inlineStr">
        <is>
          <t>Сыровяленые колбасы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331" t="n"/>
      <c r="Y375" s="331" t="n"/>
    </row>
    <row r="376" ht="27" customHeight="1">
      <c r="A376" s="64" t="inlineStr">
        <is>
          <t>SU003060</t>
        </is>
      </c>
      <c r="B376" s="64" t="inlineStr">
        <is>
          <t>P003624</t>
        </is>
      </c>
      <c r="C376" s="37" t="n">
        <v>4301170009</v>
      </c>
      <c r="D376" s="315" t="n">
        <v>4680115882997</v>
      </c>
      <c r="E376" s="636" t="n"/>
      <c r="F376" s="668" t="n">
        <v>0.13</v>
      </c>
      <c r="G376" s="38" t="n">
        <v>10</v>
      </c>
      <c r="H376" s="668" t="n">
        <v>1.3</v>
      </c>
      <c r="I376" s="668" t="n">
        <v>1.46</v>
      </c>
      <c r="J376" s="38" t="n">
        <v>200</v>
      </c>
      <c r="K376" s="39" t="inlineStr">
        <is>
          <t>ДК</t>
        </is>
      </c>
      <c r="L376" s="38" t="n">
        <v>150</v>
      </c>
      <c r="M376" s="875" t="inlineStr">
        <is>
          <t>с/в колбасы «Филейбургская с филе сочного окорока» ф/в 0,13 н/о ТМ «Баварушка»</t>
        </is>
      </c>
      <c r="N376" s="670" t="n"/>
      <c r="O376" s="670" t="n"/>
      <c r="P376" s="670" t="n"/>
      <c r="Q376" s="636" t="n"/>
      <c r="R376" s="40" t="inlineStr"/>
      <c r="S376" s="40" t="inlineStr"/>
      <c r="T376" s="41" t="inlineStr">
        <is>
          <t>кг</t>
        </is>
      </c>
      <c r="U376" s="671" t="n">
        <v>0</v>
      </c>
      <c r="V376" s="672">
        <f>IFERROR(IF(U376="",0,CEILING((U376/$H376),1)*$H376),"")</f>
        <v/>
      </c>
      <c r="W376" s="42">
        <f>IFERROR(IF(V376=0,"",ROUNDUP(V376/H376,0)*0.00673),"")</f>
        <v/>
      </c>
      <c r="X376" s="69" t="inlineStr"/>
      <c r="Y376" s="70" t="inlineStr"/>
      <c r="AC376" s="71" t="n"/>
      <c r="AZ376" s="272" t="inlineStr">
        <is>
          <t>КИ</t>
        </is>
      </c>
    </row>
    <row r="377">
      <c r="A377" s="323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73" t="n"/>
      <c r="M377" s="674" t="inlineStr">
        <is>
          <t>Итого</t>
        </is>
      </c>
      <c r="N377" s="644" t="n"/>
      <c r="O377" s="644" t="n"/>
      <c r="P377" s="644" t="n"/>
      <c r="Q377" s="644" t="n"/>
      <c r="R377" s="644" t="n"/>
      <c r="S377" s="645" t="n"/>
      <c r="T377" s="43" t="inlineStr">
        <is>
          <t>кор</t>
        </is>
      </c>
      <c r="U377" s="675">
        <f>IFERROR(U376/H376,"0")</f>
        <v/>
      </c>
      <c r="V377" s="675">
        <f>IFERROR(V376/H376,"0")</f>
        <v/>
      </c>
      <c r="W377" s="675">
        <f>IFERROR(IF(W376="",0,W376),"0")</f>
        <v/>
      </c>
      <c r="X377" s="676" t="n"/>
      <c r="Y377" s="676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73" t="n"/>
      <c r="M378" s="674" t="inlineStr">
        <is>
          <t>Итого</t>
        </is>
      </c>
      <c r="N378" s="644" t="n"/>
      <c r="O378" s="644" t="n"/>
      <c r="P378" s="644" t="n"/>
      <c r="Q378" s="644" t="n"/>
      <c r="R378" s="644" t="n"/>
      <c r="S378" s="645" t="n"/>
      <c r="T378" s="43" t="inlineStr">
        <is>
          <t>кг</t>
        </is>
      </c>
      <c r="U378" s="675">
        <f>IFERROR(SUM(U376:U376),"0")</f>
        <v/>
      </c>
      <c r="V378" s="675">
        <f>IFERROR(SUM(V376:V376),"0")</f>
        <v/>
      </c>
      <c r="W378" s="43" t="n"/>
      <c r="X378" s="676" t="n"/>
      <c r="Y378" s="676" t="n"/>
    </row>
    <row r="379" ht="16.5" customHeight="1">
      <c r="A379" s="330" t="inlineStr">
        <is>
          <t>Балыкбургская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330" t="n"/>
      <c r="Y379" s="330" t="n"/>
    </row>
    <row r="380" ht="14.25" customHeight="1">
      <c r="A380" s="331" t="inlineStr">
        <is>
          <t>Ветчины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331" t="n"/>
      <c r="Y380" s="331" t="n"/>
    </row>
    <row r="381" ht="27" customHeight="1">
      <c r="A381" s="64" t="inlineStr">
        <is>
          <t>SU002542</t>
        </is>
      </c>
      <c r="B381" s="64" t="inlineStr">
        <is>
          <t>P002847</t>
        </is>
      </c>
      <c r="C381" s="37" t="n">
        <v>4301020196</v>
      </c>
      <c r="D381" s="315" t="n">
        <v>4607091389388</v>
      </c>
      <c r="E381" s="636" t="n"/>
      <c r="F381" s="668" t="n">
        <v>1.3</v>
      </c>
      <c r="G381" s="38" t="n">
        <v>4</v>
      </c>
      <c r="H381" s="668" t="n">
        <v>5.2</v>
      </c>
      <c r="I381" s="668" t="n">
        <v>5.608</v>
      </c>
      <c r="J381" s="38" t="n">
        <v>104</v>
      </c>
      <c r="K381" s="39" t="inlineStr">
        <is>
          <t>СК3</t>
        </is>
      </c>
      <c r="L381" s="38" t="n">
        <v>35</v>
      </c>
      <c r="M381" s="876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1" s="670" t="n"/>
      <c r="O381" s="670" t="n"/>
      <c r="P381" s="670" t="n"/>
      <c r="Q381" s="636" t="n"/>
      <c r="R381" s="40" t="inlineStr"/>
      <c r="S381" s="40" t="inlineStr"/>
      <c r="T381" s="41" t="inlineStr">
        <is>
          <t>кг</t>
        </is>
      </c>
      <c r="U381" s="671" t="n">
        <v>0</v>
      </c>
      <c r="V381" s="672">
        <f>IFERROR(IF(U381="",0,CEILING((U381/$H381),1)*$H381),"")</f>
        <v/>
      </c>
      <c r="W381" s="42">
        <f>IFERROR(IF(V381=0,"",ROUNDUP(V381/H381,0)*0.01196),"")</f>
        <v/>
      </c>
      <c r="X381" s="69" t="inlineStr"/>
      <c r="Y381" s="70" t="inlineStr"/>
      <c r="AC381" s="71" t="n"/>
      <c r="AZ381" s="273" t="inlineStr">
        <is>
          <t>КИ</t>
        </is>
      </c>
    </row>
    <row r="382" ht="27" customHeight="1">
      <c r="A382" s="64" t="inlineStr">
        <is>
          <t>SU002319</t>
        </is>
      </c>
      <c r="B382" s="64" t="inlineStr">
        <is>
          <t>P002597</t>
        </is>
      </c>
      <c r="C382" s="37" t="n">
        <v>4301020185</v>
      </c>
      <c r="D382" s="315" t="n">
        <v>4607091389364</v>
      </c>
      <c r="E382" s="636" t="n"/>
      <c r="F382" s="668" t="n">
        <v>0.42</v>
      </c>
      <c r="G382" s="38" t="n">
        <v>6</v>
      </c>
      <c r="H382" s="668" t="n">
        <v>2.52</v>
      </c>
      <c r="I382" s="668" t="n">
        <v>2.75</v>
      </c>
      <c r="J382" s="38" t="n">
        <v>156</v>
      </c>
      <c r="K382" s="39" t="inlineStr">
        <is>
          <t>СК3</t>
        </is>
      </c>
      <c r="L382" s="38" t="n">
        <v>35</v>
      </c>
      <c r="M382" s="877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2" s="670" t="n"/>
      <c r="O382" s="670" t="n"/>
      <c r="P382" s="670" t="n"/>
      <c r="Q382" s="636" t="n"/>
      <c r="R382" s="40" t="inlineStr"/>
      <c r="S382" s="40" t="inlineStr"/>
      <c r="T382" s="41" t="inlineStr">
        <is>
          <t>кг</t>
        </is>
      </c>
      <c r="U382" s="671" t="n">
        <v>0</v>
      </c>
      <c r="V382" s="672">
        <f>IFERROR(IF(U382="",0,CEILING((U382/$H382),1)*$H382),"")</f>
        <v/>
      </c>
      <c r="W382" s="42">
        <f>IFERROR(IF(V382=0,"",ROUNDUP(V382/H382,0)*0.00753),"")</f>
        <v/>
      </c>
      <c r="X382" s="69" t="inlineStr"/>
      <c r="Y382" s="70" t="inlineStr"/>
      <c r="AC382" s="71" t="n"/>
      <c r="AZ382" s="274" t="inlineStr">
        <is>
          <t>КИ</t>
        </is>
      </c>
    </row>
    <row r="383">
      <c r="A383" s="323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673" t="n"/>
      <c r="M383" s="674" t="inlineStr">
        <is>
          <t>Итого</t>
        </is>
      </c>
      <c r="N383" s="644" t="n"/>
      <c r="O383" s="644" t="n"/>
      <c r="P383" s="644" t="n"/>
      <c r="Q383" s="644" t="n"/>
      <c r="R383" s="644" t="n"/>
      <c r="S383" s="645" t="n"/>
      <c r="T383" s="43" t="inlineStr">
        <is>
          <t>кор</t>
        </is>
      </c>
      <c r="U383" s="675">
        <f>IFERROR(U381/H381,"0")+IFERROR(U382/H382,"0")</f>
        <v/>
      </c>
      <c r="V383" s="675">
        <f>IFERROR(V381/H381,"0")+IFERROR(V382/H382,"0")</f>
        <v/>
      </c>
      <c r="W383" s="675">
        <f>IFERROR(IF(W381="",0,W381),"0")+IFERROR(IF(W382="",0,W382),"0")</f>
        <v/>
      </c>
      <c r="X383" s="676" t="n"/>
      <c r="Y383" s="676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673" t="n"/>
      <c r="M384" s="674" t="inlineStr">
        <is>
          <t>Итого</t>
        </is>
      </c>
      <c r="N384" s="644" t="n"/>
      <c r="O384" s="644" t="n"/>
      <c r="P384" s="644" t="n"/>
      <c r="Q384" s="644" t="n"/>
      <c r="R384" s="644" t="n"/>
      <c r="S384" s="645" t="n"/>
      <c r="T384" s="43" t="inlineStr">
        <is>
          <t>кг</t>
        </is>
      </c>
      <c r="U384" s="675">
        <f>IFERROR(SUM(U381:U382),"0")</f>
        <v/>
      </c>
      <c r="V384" s="675">
        <f>IFERROR(SUM(V381:V382),"0")</f>
        <v/>
      </c>
      <c r="W384" s="43" t="n"/>
      <c r="X384" s="676" t="n"/>
      <c r="Y384" s="676" t="n"/>
    </row>
    <row r="385" ht="14.25" customHeight="1">
      <c r="A385" s="331" t="inlineStr">
        <is>
          <t>Копченые колбасы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331" t="n"/>
      <c r="Y385" s="331" t="n"/>
    </row>
    <row r="386" ht="27" customHeight="1">
      <c r="A386" s="64" t="inlineStr">
        <is>
          <t>SU002612</t>
        </is>
      </c>
      <c r="B386" s="64" t="inlineStr">
        <is>
          <t>P003140</t>
        </is>
      </c>
      <c r="C386" s="37" t="n">
        <v>4301031212</v>
      </c>
      <c r="D386" s="315" t="n">
        <v>4607091389739</v>
      </c>
      <c r="E386" s="636" t="n"/>
      <c r="F386" s="668" t="n">
        <v>0.7</v>
      </c>
      <c r="G386" s="38" t="n">
        <v>6</v>
      </c>
      <c r="H386" s="668" t="n">
        <v>4.2</v>
      </c>
      <c r="I386" s="668" t="n">
        <v>4.43</v>
      </c>
      <c r="J386" s="38" t="n">
        <v>156</v>
      </c>
      <c r="K386" s="39" t="inlineStr">
        <is>
          <t>СК1</t>
        </is>
      </c>
      <c r="L386" s="38" t="n">
        <v>45</v>
      </c>
      <c r="M386" s="878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6" s="670" t="n"/>
      <c r="O386" s="670" t="n"/>
      <c r="P386" s="670" t="n"/>
      <c r="Q386" s="636" t="n"/>
      <c r="R386" s="40" t="inlineStr"/>
      <c r="S386" s="40" t="inlineStr"/>
      <c r="T386" s="41" t="inlineStr">
        <is>
          <t>кг</t>
        </is>
      </c>
      <c r="U386" s="671" t="n">
        <v>0</v>
      </c>
      <c r="V386" s="672">
        <f>IFERROR(IF(U386="",0,CEILING((U386/$H386),1)*$H386),"")</f>
        <v/>
      </c>
      <c r="W386" s="42">
        <f>IFERROR(IF(V386=0,"",ROUNDUP(V386/H386,0)*0.00753),"")</f>
        <v/>
      </c>
      <c r="X386" s="69" t="inlineStr"/>
      <c r="Y386" s="70" t="inlineStr"/>
      <c r="AC386" s="71" t="n"/>
      <c r="AZ386" s="275" t="inlineStr">
        <is>
          <t>КИ</t>
        </is>
      </c>
    </row>
    <row r="387" ht="27" customHeight="1">
      <c r="A387" s="64" t="inlineStr">
        <is>
          <t>SU003071</t>
        </is>
      </c>
      <c r="B387" s="64" t="inlineStr">
        <is>
          <t>P003612</t>
        </is>
      </c>
      <c r="C387" s="37" t="n">
        <v>4301031247</v>
      </c>
      <c r="D387" s="315" t="n">
        <v>4680115883048</v>
      </c>
      <c r="E387" s="636" t="n"/>
      <c r="F387" s="668" t="n">
        <v>1</v>
      </c>
      <c r="G387" s="38" t="n">
        <v>4</v>
      </c>
      <c r="H387" s="668" t="n">
        <v>4</v>
      </c>
      <c r="I387" s="668" t="n">
        <v>4.21</v>
      </c>
      <c r="J387" s="38" t="n">
        <v>120</v>
      </c>
      <c r="K387" s="39" t="inlineStr">
        <is>
          <t>СК2</t>
        </is>
      </c>
      <c r="L387" s="38" t="n">
        <v>40</v>
      </c>
      <c r="M387" s="879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87" s="670" t="n"/>
      <c r="O387" s="670" t="n"/>
      <c r="P387" s="670" t="n"/>
      <c r="Q387" s="636" t="n"/>
      <c r="R387" s="40" t="inlineStr"/>
      <c r="S387" s="40" t="inlineStr"/>
      <c r="T387" s="41" t="inlineStr">
        <is>
          <t>кг</t>
        </is>
      </c>
      <c r="U387" s="671" t="n">
        <v>0</v>
      </c>
      <c r="V387" s="672">
        <f>IFERROR(IF(U387="",0,CEILING((U387/$H387),1)*$H387),"")</f>
        <v/>
      </c>
      <c r="W387" s="42">
        <f>IFERROR(IF(V387=0,"",ROUNDUP(V387/H387,0)*0.00937),"")</f>
        <v/>
      </c>
      <c r="X387" s="69" t="inlineStr"/>
      <c r="Y387" s="70" t="inlineStr"/>
      <c r="AC387" s="71" t="n"/>
      <c r="AZ387" s="276" t="inlineStr">
        <is>
          <t>КИ</t>
        </is>
      </c>
    </row>
    <row r="388" ht="27" customHeight="1">
      <c r="A388" s="64" t="inlineStr">
        <is>
          <t>SU002545</t>
        </is>
      </c>
      <c r="B388" s="64" t="inlineStr">
        <is>
          <t>P003137</t>
        </is>
      </c>
      <c r="C388" s="37" t="n">
        <v>4301031176</v>
      </c>
      <c r="D388" s="315" t="n">
        <v>4607091389425</v>
      </c>
      <c r="E388" s="636" t="n"/>
      <c r="F388" s="668" t="n">
        <v>0.35</v>
      </c>
      <c r="G388" s="38" t="n">
        <v>6</v>
      </c>
      <c r="H388" s="668" t="n">
        <v>2.1</v>
      </c>
      <c r="I388" s="668" t="n">
        <v>2.23</v>
      </c>
      <c r="J388" s="38" t="n">
        <v>234</v>
      </c>
      <c r="K388" s="39" t="inlineStr">
        <is>
          <t>СК2</t>
        </is>
      </c>
      <c r="L388" s="38" t="n">
        <v>45</v>
      </c>
      <c r="M388" s="880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8" s="670" t="n"/>
      <c r="O388" s="670" t="n"/>
      <c r="P388" s="670" t="n"/>
      <c r="Q388" s="636" t="n"/>
      <c r="R388" s="40" t="inlineStr"/>
      <c r="S388" s="40" t="inlineStr"/>
      <c r="T388" s="41" t="inlineStr">
        <is>
          <t>кг</t>
        </is>
      </c>
      <c r="U388" s="671" t="n">
        <v>0</v>
      </c>
      <c r="V388" s="672">
        <f>IFERROR(IF(U388="",0,CEILING((U388/$H388),1)*$H388),"")</f>
        <v/>
      </c>
      <c r="W388" s="42">
        <f>IFERROR(IF(V388=0,"",ROUNDUP(V388/H388,0)*0.00502),"")</f>
        <v/>
      </c>
      <c r="X388" s="69" t="inlineStr"/>
      <c r="Y388" s="70" t="inlineStr"/>
      <c r="AC388" s="71" t="n"/>
      <c r="AZ388" s="277" t="inlineStr">
        <is>
          <t>КИ</t>
        </is>
      </c>
    </row>
    <row r="389" ht="27" customHeight="1">
      <c r="A389" s="64" t="inlineStr">
        <is>
          <t>SU002917</t>
        </is>
      </c>
      <c r="B389" s="64" t="inlineStr">
        <is>
          <t>P003343</t>
        </is>
      </c>
      <c r="C389" s="37" t="n">
        <v>4301031215</v>
      </c>
      <c r="D389" s="315" t="n">
        <v>4680115882911</v>
      </c>
      <c r="E389" s="636" t="n"/>
      <c r="F389" s="668" t="n">
        <v>0.4</v>
      </c>
      <c r="G389" s="38" t="n">
        <v>6</v>
      </c>
      <c r="H389" s="668" t="n">
        <v>2.4</v>
      </c>
      <c r="I389" s="668" t="n">
        <v>2.53</v>
      </c>
      <c r="J389" s="38" t="n">
        <v>234</v>
      </c>
      <c r="K389" s="39" t="inlineStr">
        <is>
          <t>СК2</t>
        </is>
      </c>
      <c r="L389" s="38" t="n">
        <v>40</v>
      </c>
      <c r="M389" s="881" t="inlineStr">
        <is>
          <t>П/к колбасы «Балыкбургская по-баварски» Фикс.вес 0,4 н/о мгс ТМ «Баварушка»</t>
        </is>
      </c>
      <c r="N389" s="670" t="n"/>
      <c r="O389" s="670" t="n"/>
      <c r="P389" s="670" t="n"/>
      <c r="Q389" s="636" t="n"/>
      <c r="R389" s="40" t="inlineStr"/>
      <c r="S389" s="40" t="inlineStr"/>
      <c r="T389" s="41" t="inlineStr">
        <is>
          <t>кг</t>
        </is>
      </c>
      <c r="U389" s="671" t="n">
        <v>0</v>
      </c>
      <c r="V389" s="672">
        <f>IFERROR(IF(U389="",0,CEILING((U389/$H389),1)*$H389),"")</f>
        <v/>
      </c>
      <c r="W389" s="42">
        <f>IFERROR(IF(V389=0,"",ROUNDUP(V389/H389,0)*0.00502),"")</f>
        <v/>
      </c>
      <c r="X389" s="69" t="inlineStr"/>
      <c r="Y389" s="70" t="inlineStr"/>
      <c r="AC389" s="71" t="n"/>
      <c r="AZ389" s="278" t="inlineStr">
        <is>
          <t>КИ</t>
        </is>
      </c>
    </row>
    <row r="390" ht="27" customHeight="1">
      <c r="A390" s="64" t="inlineStr">
        <is>
          <t>SU002726</t>
        </is>
      </c>
      <c r="B390" s="64" t="inlineStr">
        <is>
          <t>P003095</t>
        </is>
      </c>
      <c r="C390" s="37" t="n">
        <v>4301031167</v>
      </c>
      <c r="D390" s="315" t="n">
        <v>4680115880771</v>
      </c>
      <c r="E390" s="636" t="n"/>
      <c r="F390" s="668" t="n">
        <v>0.28</v>
      </c>
      <c r="G390" s="38" t="n">
        <v>6</v>
      </c>
      <c r="H390" s="668" t="n">
        <v>1.68</v>
      </c>
      <c r="I390" s="668" t="n">
        <v>1.81</v>
      </c>
      <c r="J390" s="38" t="n">
        <v>234</v>
      </c>
      <c r="K390" s="39" t="inlineStr">
        <is>
          <t>СК2</t>
        </is>
      </c>
      <c r="L390" s="38" t="n">
        <v>45</v>
      </c>
      <c r="M390" s="882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0" s="670" t="n"/>
      <c r="O390" s="670" t="n"/>
      <c r="P390" s="670" t="n"/>
      <c r="Q390" s="636" t="n"/>
      <c r="R390" s="40" t="inlineStr"/>
      <c r="S390" s="40" t="inlineStr"/>
      <c r="T390" s="41" t="inlineStr">
        <is>
          <t>кг</t>
        </is>
      </c>
      <c r="U390" s="671" t="n">
        <v>0</v>
      </c>
      <c r="V390" s="672">
        <f>IFERROR(IF(U390="",0,CEILING((U390/$H390),1)*$H390),"")</f>
        <v/>
      </c>
      <c r="W390" s="42">
        <f>IFERROR(IF(V390=0,"",ROUNDUP(V390/H390,0)*0.00502),"")</f>
        <v/>
      </c>
      <c r="X390" s="69" t="inlineStr"/>
      <c r="Y390" s="70" t="inlineStr"/>
      <c r="AC390" s="71" t="n"/>
      <c r="AZ390" s="279" t="inlineStr">
        <is>
          <t>КИ</t>
        </is>
      </c>
    </row>
    <row r="391" ht="27" customHeight="1">
      <c r="A391" s="64" t="inlineStr">
        <is>
          <t>SU002604</t>
        </is>
      </c>
      <c r="B391" s="64" t="inlineStr">
        <is>
          <t>P003135</t>
        </is>
      </c>
      <c r="C391" s="37" t="n">
        <v>4301031173</v>
      </c>
      <c r="D391" s="315" t="n">
        <v>4607091389500</v>
      </c>
      <c r="E391" s="636" t="n"/>
      <c r="F391" s="668" t="n">
        <v>0.35</v>
      </c>
      <c r="G391" s="38" t="n">
        <v>6</v>
      </c>
      <c r="H391" s="668" t="n">
        <v>2.1</v>
      </c>
      <c r="I391" s="668" t="n">
        <v>2.23</v>
      </c>
      <c r="J391" s="38" t="n">
        <v>234</v>
      </c>
      <c r="K391" s="39" t="inlineStr">
        <is>
          <t>СК2</t>
        </is>
      </c>
      <c r="L391" s="38" t="n">
        <v>45</v>
      </c>
      <c r="M391" s="883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1" s="670" t="n"/>
      <c r="O391" s="670" t="n"/>
      <c r="P391" s="670" t="n"/>
      <c r="Q391" s="636" t="n"/>
      <c r="R391" s="40" t="inlineStr"/>
      <c r="S391" s="40" t="inlineStr"/>
      <c r="T391" s="41" t="inlineStr">
        <is>
          <t>кг</t>
        </is>
      </c>
      <c r="U391" s="671" t="n">
        <v>0</v>
      </c>
      <c r="V391" s="672">
        <f>IFERROR(IF(U391="",0,CEILING((U391/$H391),1)*$H391),"")</f>
        <v/>
      </c>
      <c r="W391" s="42">
        <f>IFERROR(IF(V391=0,"",ROUNDUP(V391/H391,0)*0.00502),"")</f>
        <v/>
      </c>
      <c r="X391" s="69" t="inlineStr"/>
      <c r="Y391" s="70" t="inlineStr"/>
      <c r="AC391" s="71" t="n"/>
      <c r="AZ391" s="280" t="inlineStr">
        <is>
          <t>КИ</t>
        </is>
      </c>
    </row>
    <row r="392" ht="27" customHeight="1">
      <c r="A392" s="64" t="inlineStr">
        <is>
          <t>SU002358</t>
        </is>
      </c>
      <c r="B392" s="64" t="inlineStr">
        <is>
          <t>P002642</t>
        </is>
      </c>
      <c r="C392" s="37" t="n">
        <v>4301031103</v>
      </c>
      <c r="D392" s="315" t="n">
        <v>4680115881983</v>
      </c>
      <c r="E392" s="636" t="n"/>
      <c r="F392" s="668" t="n">
        <v>0.28</v>
      </c>
      <c r="G392" s="38" t="n">
        <v>4</v>
      </c>
      <c r="H392" s="668" t="n">
        <v>1.12</v>
      </c>
      <c r="I392" s="668" t="n">
        <v>1.252</v>
      </c>
      <c r="J392" s="38" t="n">
        <v>234</v>
      </c>
      <c r="K392" s="39" t="inlineStr">
        <is>
          <t>СК2</t>
        </is>
      </c>
      <c r="L392" s="38" t="n">
        <v>40</v>
      </c>
      <c r="M392" s="884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2" s="670" t="n"/>
      <c r="O392" s="670" t="n"/>
      <c r="P392" s="670" t="n"/>
      <c r="Q392" s="636" t="n"/>
      <c r="R392" s="40" t="inlineStr"/>
      <c r="S392" s="40" t="inlineStr"/>
      <c r="T392" s="41" t="inlineStr">
        <is>
          <t>кг</t>
        </is>
      </c>
      <c r="U392" s="671" t="n">
        <v>0</v>
      </c>
      <c r="V392" s="672">
        <f>IFERROR(IF(U392="",0,CEILING((U392/$H392),1)*$H392),"")</f>
        <v/>
      </c>
      <c r="W392" s="42">
        <f>IFERROR(IF(V392=0,"",ROUNDUP(V392/H392,0)*0.00502),"")</f>
        <v/>
      </c>
      <c r="X392" s="69" t="inlineStr"/>
      <c r="Y392" s="70" t="inlineStr"/>
      <c r="AC392" s="71" t="n"/>
      <c r="AZ392" s="281" t="inlineStr">
        <is>
          <t>КИ</t>
        </is>
      </c>
    </row>
    <row r="393">
      <c r="A393" s="323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673" t="n"/>
      <c r="M393" s="674" t="inlineStr">
        <is>
          <t>Итого</t>
        </is>
      </c>
      <c r="N393" s="644" t="n"/>
      <c r="O393" s="644" t="n"/>
      <c r="P393" s="644" t="n"/>
      <c r="Q393" s="644" t="n"/>
      <c r="R393" s="644" t="n"/>
      <c r="S393" s="645" t="n"/>
      <c r="T393" s="43" t="inlineStr">
        <is>
          <t>кор</t>
        </is>
      </c>
      <c r="U393" s="675">
        <f>IFERROR(U386/H386,"0")+IFERROR(U387/H387,"0")+IFERROR(U388/H388,"0")+IFERROR(U389/H389,"0")+IFERROR(U390/H390,"0")+IFERROR(U391/H391,"0")+IFERROR(U392/H392,"0")</f>
        <v/>
      </c>
      <c r="V393" s="675">
        <f>IFERROR(V386/H386,"0")+IFERROR(V387/H387,"0")+IFERROR(V388/H388,"0")+IFERROR(V389/H389,"0")+IFERROR(V390/H390,"0")+IFERROR(V391/H391,"0")+IFERROR(V392/H392,"0")</f>
        <v/>
      </c>
      <c r="W393" s="675">
        <f>IFERROR(IF(W386="",0,W386),"0")+IFERROR(IF(W387="",0,W387),"0")+IFERROR(IF(W388="",0,W388),"0")+IFERROR(IF(W389="",0,W389),"0")+IFERROR(IF(W390="",0,W390),"0")+IFERROR(IF(W391="",0,W391),"0")+IFERROR(IF(W392="",0,W392),"0")</f>
        <v/>
      </c>
      <c r="X393" s="676" t="n"/>
      <c r="Y393" s="676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673" t="n"/>
      <c r="M394" s="674" t="inlineStr">
        <is>
          <t>Итого</t>
        </is>
      </c>
      <c r="N394" s="644" t="n"/>
      <c r="O394" s="644" t="n"/>
      <c r="P394" s="644" t="n"/>
      <c r="Q394" s="644" t="n"/>
      <c r="R394" s="644" t="n"/>
      <c r="S394" s="645" t="n"/>
      <c r="T394" s="43" t="inlineStr">
        <is>
          <t>кг</t>
        </is>
      </c>
      <c r="U394" s="675">
        <f>IFERROR(SUM(U386:U392),"0")</f>
        <v/>
      </c>
      <c r="V394" s="675">
        <f>IFERROR(SUM(V386:V392),"0")</f>
        <v/>
      </c>
      <c r="W394" s="43" t="n"/>
      <c r="X394" s="676" t="n"/>
      <c r="Y394" s="676" t="n"/>
    </row>
    <row r="395" ht="14.25" customHeight="1">
      <c r="A395" s="331" t="inlineStr">
        <is>
          <t>Сырокопченые колбасы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331" t="n"/>
      <c r="Y395" s="331" t="n"/>
    </row>
    <row r="396" ht="27" customHeight="1">
      <c r="A396" s="64" t="inlineStr">
        <is>
          <t>SU003059</t>
        </is>
      </c>
      <c r="B396" s="64" t="inlineStr">
        <is>
          <t>P003623</t>
        </is>
      </c>
      <c r="C396" s="37" t="n">
        <v>4301032044</v>
      </c>
      <c r="D396" s="315" t="n">
        <v>4680115883000</v>
      </c>
      <c r="E396" s="636" t="n"/>
      <c r="F396" s="668" t="n">
        <v>0.03</v>
      </c>
      <c r="G396" s="38" t="n">
        <v>20</v>
      </c>
      <c r="H396" s="668" t="n">
        <v>0.6</v>
      </c>
      <c r="I396" s="668" t="n">
        <v>0.63</v>
      </c>
      <c r="J396" s="38" t="n">
        <v>350</v>
      </c>
      <c r="K396" s="39" t="inlineStr">
        <is>
          <t>ДК</t>
        </is>
      </c>
      <c r="L396" s="38" t="n">
        <v>60</v>
      </c>
      <c r="M396" s="885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396" s="670" t="n"/>
      <c r="O396" s="670" t="n"/>
      <c r="P396" s="670" t="n"/>
      <c r="Q396" s="636" t="n"/>
      <c r="R396" s="40" t="inlineStr"/>
      <c r="S396" s="40" t="inlineStr"/>
      <c r="T396" s="41" t="inlineStr">
        <is>
          <t>кг</t>
        </is>
      </c>
      <c r="U396" s="671" t="n">
        <v>0</v>
      </c>
      <c r="V396" s="672">
        <f>IFERROR(IF(U396="",0,CEILING((U396/$H396),1)*$H396),"")</f>
        <v/>
      </c>
      <c r="W396" s="42">
        <f>IFERROR(IF(V396=0,"",ROUNDUP(V396/H396,0)*0.00349),"")</f>
        <v/>
      </c>
      <c r="X396" s="69" t="inlineStr"/>
      <c r="Y396" s="70" t="inlineStr"/>
      <c r="AC396" s="71" t="n"/>
      <c r="AZ396" s="282" t="inlineStr">
        <is>
          <t>КИ</t>
        </is>
      </c>
    </row>
    <row r="397">
      <c r="A397" s="323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73" t="n"/>
      <c r="M397" s="674" t="inlineStr">
        <is>
          <t>Итого</t>
        </is>
      </c>
      <c r="N397" s="644" t="n"/>
      <c r="O397" s="644" t="n"/>
      <c r="P397" s="644" t="n"/>
      <c r="Q397" s="644" t="n"/>
      <c r="R397" s="644" t="n"/>
      <c r="S397" s="645" t="n"/>
      <c r="T397" s="43" t="inlineStr">
        <is>
          <t>кор</t>
        </is>
      </c>
      <c r="U397" s="675">
        <f>IFERROR(U396/H396,"0")</f>
        <v/>
      </c>
      <c r="V397" s="675">
        <f>IFERROR(V396/H396,"0")</f>
        <v/>
      </c>
      <c r="W397" s="675">
        <f>IFERROR(IF(W396="",0,W396),"0")</f>
        <v/>
      </c>
      <c r="X397" s="676" t="n"/>
      <c r="Y397" s="676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73" t="n"/>
      <c r="M398" s="674" t="inlineStr">
        <is>
          <t>Итого</t>
        </is>
      </c>
      <c r="N398" s="644" t="n"/>
      <c r="O398" s="644" t="n"/>
      <c r="P398" s="644" t="n"/>
      <c r="Q398" s="644" t="n"/>
      <c r="R398" s="644" t="n"/>
      <c r="S398" s="645" t="n"/>
      <c r="T398" s="43" t="inlineStr">
        <is>
          <t>кг</t>
        </is>
      </c>
      <c r="U398" s="675">
        <f>IFERROR(SUM(U396:U396),"0")</f>
        <v/>
      </c>
      <c r="V398" s="675">
        <f>IFERROR(SUM(V396:V396),"0")</f>
        <v/>
      </c>
      <c r="W398" s="43" t="n"/>
      <c r="X398" s="676" t="n"/>
      <c r="Y398" s="676" t="n"/>
    </row>
    <row r="399" ht="14.25" customHeight="1">
      <c r="A399" s="331" t="inlineStr">
        <is>
          <t>Сыровяленые колбасы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31" t="n"/>
      <c r="Y399" s="331" t="n"/>
    </row>
    <row r="400" ht="27" customHeight="1">
      <c r="A400" s="64" t="inlineStr">
        <is>
          <t>SU003056</t>
        </is>
      </c>
      <c r="B400" s="64" t="inlineStr">
        <is>
          <t>P003622</t>
        </is>
      </c>
      <c r="C400" s="37" t="n">
        <v>4301170008</v>
      </c>
      <c r="D400" s="315" t="n">
        <v>4680115882980</v>
      </c>
      <c r="E400" s="636" t="n"/>
      <c r="F400" s="668" t="n">
        <v>0.13</v>
      </c>
      <c r="G400" s="38" t="n">
        <v>10</v>
      </c>
      <c r="H400" s="668" t="n">
        <v>1.3</v>
      </c>
      <c r="I400" s="668" t="n">
        <v>1.46</v>
      </c>
      <c r="J400" s="38" t="n">
        <v>200</v>
      </c>
      <c r="K400" s="39" t="inlineStr">
        <is>
          <t>ДК</t>
        </is>
      </c>
      <c r="L400" s="38" t="n">
        <v>150</v>
      </c>
      <c r="M400" s="886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400" s="670" t="n"/>
      <c r="O400" s="670" t="n"/>
      <c r="P400" s="670" t="n"/>
      <c r="Q400" s="636" t="n"/>
      <c r="R400" s="40" t="inlineStr"/>
      <c r="S400" s="40" t="inlineStr"/>
      <c r="T400" s="41" t="inlineStr">
        <is>
          <t>кг</t>
        </is>
      </c>
      <c r="U400" s="671" t="n">
        <v>0</v>
      </c>
      <c r="V400" s="672">
        <f>IFERROR(IF(U400="",0,CEILING((U400/$H400),1)*$H400),"")</f>
        <v/>
      </c>
      <c r="W400" s="42">
        <f>IFERROR(IF(V400=0,"",ROUNDUP(V400/H400,0)*0.00673),"")</f>
        <v/>
      </c>
      <c r="X400" s="69" t="inlineStr"/>
      <c r="Y400" s="70" t="inlineStr"/>
      <c r="AC400" s="71" t="n"/>
      <c r="AZ400" s="283" t="inlineStr">
        <is>
          <t>КИ</t>
        </is>
      </c>
    </row>
    <row r="401">
      <c r="A401" s="323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73" t="n"/>
      <c r="M401" s="674" t="inlineStr">
        <is>
          <t>Итого</t>
        </is>
      </c>
      <c r="N401" s="644" t="n"/>
      <c r="O401" s="644" t="n"/>
      <c r="P401" s="644" t="n"/>
      <c r="Q401" s="644" t="n"/>
      <c r="R401" s="644" t="n"/>
      <c r="S401" s="645" t="n"/>
      <c r="T401" s="43" t="inlineStr">
        <is>
          <t>кор</t>
        </is>
      </c>
      <c r="U401" s="675">
        <f>IFERROR(U400/H400,"0")</f>
        <v/>
      </c>
      <c r="V401" s="675">
        <f>IFERROR(V400/H400,"0")</f>
        <v/>
      </c>
      <c r="W401" s="675">
        <f>IFERROR(IF(W400="",0,W400),"0")</f>
        <v/>
      </c>
      <c r="X401" s="676" t="n"/>
      <c r="Y401" s="676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73" t="n"/>
      <c r="M402" s="674" t="inlineStr">
        <is>
          <t>Итого</t>
        </is>
      </c>
      <c r="N402" s="644" t="n"/>
      <c r="O402" s="644" t="n"/>
      <c r="P402" s="644" t="n"/>
      <c r="Q402" s="644" t="n"/>
      <c r="R402" s="644" t="n"/>
      <c r="S402" s="645" t="n"/>
      <c r="T402" s="43" t="inlineStr">
        <is>
          <t>кг</t>
        </is>
      </c>
      <c r="U402" s="675">
        <f>IFERROR(SUM(U400:U400),"0")</f>
        <v/>
      </c>
      <c r="V402" s="675">
        <f>IFERROR(SUM(V400:V400),"0")</f>
        <v/>
      </c>
      <c r="W402" s="43" t="n"/>
      <c r="X402" s="676" t="n"/>
      <c r="Y402" s="676" t="n"/>
    </row>
    <row r="403" ht="27.75" customHeight="1">
      <c r="A403" s="336" t="inlineStr">
        <is>
          <t>Дугушка</t>
        </is>
      </c>
      <c r="B403" s="667" t="n"/>
      <c r="C403" s="667" t="n"/>
      <c r="D403" s="667" t="n"/>
      <c r="E403" s="667" t="n"/>
      <c r="F403" s="667" t="n"/>
      <c r="G403" s="667" t="n"/>
      <c r="H403" s="667" t="n"/>
      <c r="I403" s="667" t="n"/>
      <c r="J403" s="667" t="n"/>
      <c r="K403" s="667" t="n"/>
      <c r="L403" s="667" t="n"/>
      <c r="M403" s="667" t="n"/>
      <c r="N403" s="667" t="n"/>
      <c r="O403" s="667" t="n"/>
      <c r="P403" s="667" t="n"/>
      <c r="Q403" s="667" t="n"/>
      <c r="R403" s="667" t="n"/>
      <c r="S403" s="667" t="n"/>
      <c r="T403" s="667" t="n"/>
      <c r="U403" s="667" t="n"/>
      <c r="V403" s="667" t="n"/>
      <c r="W403" s="667" t="n"/>
      <c r="X403" s="55" t="n"/>
      <c r="Y403" s="55" t="n"/>
    </row>
    <row r="404" ht="16.5" customHeight="1">
      <c r="A404" s="330" t="inlineStr">
        <is>
          <t>Дугушка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330" t="n"/>
      <c r="Y404" s="330" t="n"/>
    </row>
    <row r="405" ht="14.25" customHeight="1">
      <c r="A405" s="331" t="inlineStr">
        <is>
          <t>Вареные колбасы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331" t="n"/>
      <c r="Y405" s="331" t="n"/>
    </row>
    <row r="406" ht="27" customHeight="1">
      <c r="A406" s="64" t="inlineStr">
        <is>
          <t>SU002011</t>
        </is>
      </c>
      <c r="B406" s="64" t="inlineStr">
        <is>
          <t>P002991</t>
        </is>
      </c>
      <c r="C406" s="37" t="n">
        <v>4301011371</v>
      </c>
      <c r="D406" s="315" t="n">
        <v>4607091389067</v>
      </c>
      <c r="E406" s="636" t="n"/>
      <c r="F406" s="668" t="n">
        <v>0.88</v>
      </c>
      <c r="G406" s="38" t="n">
        <v>6</v>
      </c>
      <c r="H406" s="668" t="n">
        <v>5.28</v>
      </c>
      <c r="I406" s="668" t="n">
        <v>5.64</v>
      </c>
      <c r="J406" s="38" t="n">
        <v>104</v>
      </c>
      <c r="K406" s="39" t="inlineStr">
        <is>
          <t>СК3</t>
        </is>
      </c>
      <c r="L406" s="38" t="n">
        <v>55</v>
      </c>
      <c r="M406" s="887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6" s="670" t="n"/>
      <c r="O406" s="670" t="n"/>
      <c r="P406" s="670" t="n"/>
      <c r="Q406" s="636" t="n"/>
      <c r="R406" s="40" t="inlineStr"/>
      <c r="S406" s="40" t="inlineStr"/>
      <c r="T406" s="41" t="inlineStr">
        <is>
          <t>кг</t>
        </is>
      </c>
      <c r="U406" s="671" t="n">
        <v>0</v>
      </c>
      <c r="V406" s="672">
        <f>IFERROR(IF(U406="",0,CEILING((U406/$H406),1)*$H406),"")</f>
        <v/>
      </c>
      <c r="W406" s="42">
        <f>IFERROR(IF(V406=0,"",ROUNDUP(V406/H406,0)*0.01196),"")</f>
        <v/>
      </c>
      <c r="X406" s="69" t="inlineStr"/>
      <c r="Y406" s="70" t="inlineStr"/>
      <c r="AC406" s="71" t="n"/>
      <c r="AZ406" s="284" t="inlineStr">
        <is>
          <t>КИ</t>
        </is>
      </c>
    </row>
    <row r="407" ht="27" customHeight="1">
      <c r="A407" s="64" t="inlineStr">
        <is>
          <t>SU002094</t>
        </is>
      </c>
      <c r="B407" s="64" t="inlineStr">
        <is>
          <t>P002975</t>
        </is>
      </c>
      <c r="C407" s="37" t="n">
        <v>4301011363</v>
      </c>
      <c r="D407" s="315" t="n">
        <v>4607091383522</v>
      </c>
      <c r="E407" s="636" t="n"/>
      <c r="F407" s="668" t="n">
        <v>0.88</v>
      </c>
      <c r="G407" s="38" t="n">
        <v>6</v>
      </c>
      <c r="H407" s="668" t="n">
        <v>5.28</v>
      </c>
      <c r="I407" s="668" t="n">
        <v>5.64</v>
      </c>
      <c r="J407" s="38" t="n">
        <v>104</v>
      </c>
      <c r="K407" s="39" t="inlineStr">
        <is>
          <t>СК1</t>
        </is>
      </c>
      <c r="L407" s="38" t="n">
        <v>55</v>
      </c>
      <c r="M407" s="888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7" s="670" t="n"/>
      <c r="O407" s="670" t="n"/>
      <c r="P407" s="670" t="n"/>
      <c r="Q407" s="636" t="n"/>
      <c r="R407" s="40" t="inlineStr"/>
      <c r="S407" s="40" t="inlineStr"/>
      <c r="T407" s="41" t="inlineStr">
        <is>
          <t>кг</t>
        </is>
      </c>
      <c r="U407" s="671" t="n">
        <v>0</v>
      </c>
      <c r="V407" s="672">
        <f>IFERROR(IF(U407="",0,CEILING((U407/$H407),1)*$H407),"")</f>
        <v/>
      </c>
      <c r="W407" s="42">
        <f>IFERROR(IF(V407=0,"",ROUNDUP(V407/H407,0)*0.01196),"")</f>
        <v/>
      </c>
      <c r="X407" s="69" t="inlineStr"/>
      <c r="Y407" s="70" t="inlineStr"/>
      <c r="AC407" s="71" t="n"/>
      <c r="AZ407" s="285" t="inlineStr">
        <is>
          <t>КИ</t>
        </is>
      </c>
    </row>
    <row r="408" ht="27" customHeight="1">
      <c r="A408" s="64" t="inlineStr">
        <is>
          <t>SU002182</t>
        </is>
      </c>
      <c r="B408" s="64" t="inlineStr">
        <is>
          <t>P002990</t>
        </is>
      </c>
      <c r="C408" s="37" t="n">
        <v>4301011431</v>
      </c>
      <c r="D408" s="315" t="n">
        <v>4607091384437</v>
      </c>
      <c r="E408" s="636" t="n"/>
      <c r="F408" s="668" t="n">
        <v>0.88</v>
      </c>
      <c r="G408" s="38" t="n">
        <v>6</v>
      </c>
      <c r="H408" s="668" t="n">
        <v>5.28</v>
      </c>
      <c r="I408" s="668" t="n">
        <v>5.64</v>
      </c>
      <c r="J408" s="38" t="n">
        <v>104</v>
      </c>
      <c r="K408" s="39" t="inlineStr">
        <is>
          <t>СК1</t>
        </is>
      </c>
      <c r="L408" s="38" t="n">
        <v>50</v>
      </c>
      <c r="M408" s="889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08" s="670" t="n"/>
      <c r="O408" s="670" t="n"/>
      <c r="P408" s="670" t="n"/>
      <c r="Q408" s="636" t="n"/>
      <c r="R408" s="40" t="inlineStr"/>
      <c r="S408" s="40" t="inlineStr"/>
      <c r="T408" s="41" t="inlineStr">
        <is>
          <t>кг</t>
        </is>
      </c>
      <c r="U408" s="671" t="n">
        <v>0</v>
      </c>
      <c r="V408" s="672">
        <f>IFERROR(IF(U408="",0,CEILING((U408/$H408),1)*$H408),"")</f>
        <v/>
      </c>
      <c r="W408" s="42">
        <f>IFERROR(IF(V408=0,"",ROUNDUP(V408/H408,0)*0.01196),"")</f>
        <v/>
      </c>
      <c r="X408" s="69" t="inlineStr"/>
      <c r="Y408" s="70" t="inlineStr"/>
      <c r="AC408" s="71" t="n"/>
      <c r="AZ408" s="286" t="inlineStr">
        <is>
          <t>КИ</t>
        </is>
      </c>
    </row>
    <row r="409" ht="27" customHeight="1">
      <c r="A409" s="64" t="inlineStr">
        <is>
          <t>SU002010</t>
        </is>
      </c>
      <c r="B409" s="64" t="inlineStr">
        <is>
          <t>P002979</t>
        </is>
      </c>
      <c r="C409" s="37" t="n">
        <v>4301011365</v>
      </c>
      <c r="D409" s="315" t="n">
        <v>4607091389104</v>
      </c>
      <c r="E409" s="636" t="n"/>
      <c r="F409" s="668" t="n">
        <v>0.88</v>
      </c>
      <c r="G409" s="38" t="n">
        <v>6</v>
      </c>
      <c r="H409" s="668" t="n">
        <v>5.28</v>
      </c>
      <c r="I409" s="668" t="n">
        <v>5.64</v>
      </c>
      <c r="J409" s="38" t="n">
        <v>104</v>
      </c>
      <c r="K409" s="39" t="inlineStr">
        <is>
          <t>СК1</t>
        </is>
      </c>
      <c r="L409" s="38" t="n">
        <v>55</v>
      </c>
      <c r="M409" s="890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09" s="670" t="n"/>
      <c r="O409" s="670" t="n"/>
      <c r="P409" s="670" t="n"/>
      <c r="Q409" s="636" t="n"/>
      <c r="R409" s="40" t="inlineStr"/>
      <c r="S409" s="40" t="inlineStr"/>
      <c r="T409" s="41" t="inlineStr">
        <is>
          <t>кг</t>
        </is>
      </c>
      <c r="U409" s="671" t="n">
        <v>0</v>
      </c>
      <c r="V409" s="672">
        <f>IFERROR(IF(U409="",0,CEILING((U409/$H409),1)*$H409),"")</f>
        <v/>
      </c>
      <c r="W409" s="42">
        <f>IFERROR(IF(V409=0,"",ROUNDUP(V409/H409,0)*0.01196),"")</f>
        <v/>
      </c>
      <c r="X409" s="69" t="inlineStr"/>
      <c r="Y409" s="70" t="inlineStr"/>
      <c r="AC409" s="71" t="n"/>
      <c r="AZ409" s="287" t="inlineStr">
        <is>
          <t>КИ</t>
        </is>
      </c>
    </row>
    <row r="410" ht="27" customHeight="1">
      <c r="A410" s="64" t="inlineStr">
        <is>
          <t>SU002632</t>
        </is>
      </c>
      <c r="B410" s="64" t="inlineStr">
        <is>
          <t>P002982</t>
        </is>
      </c>
      <c r="C410" s="37" t="n">
        <v>4301011367</v>
      </c>
      <c r="D410" s="315" t="n">
        <v>4680115880603</v>
      </c>
      <c r="E410" s="636" t="n"/>
      <c r="F410" s="668" t="n">
        <v>0.6</v>
      </c>
      <c r="G410" s="38" t="n">
        <v>6</v>
      </c>
      <c r="H410" s="668" t="n">
        <v>3.6</v>
      </c>
      <c r="I410" s="668" t="n">
        <v>3.84</v>
      </c>
      <c r="J410" s="38" t="n">
        <v>120</v>
      </c>
      <c r="K410" s="39" t="inlineStr">
        <is>
          <t>СК1</t>
        </is>
      </c>
      <c r="L410" s="38" t="n">
        <v>55</v>
      </c>
      <c r="M410" s="891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10" s="670" t="n"/>
      <c r="O410" s="670" t="n"/>
      <c r="P410" s="670" t="n"/>
      <c r="Q410" s="636" t="n"/>
      <c r="R410" s="40" t="inlineStr"/>
      <c r="S410" s="40" t="inlineStr"/>
      <c r="T410" s="41" t="inlineStr">
        <is>
          <t>кг</t>
        </is>
      </c>
      <c r="U410" s="671" t="n">
        <v>0</v>
      </c>
      <c r="V410" s="672">
        <f>IFERROR(IF(U410="",0,CEILING((U410/$H410),1)*$H410),"")</f>
        <v/>
      </c>
      <c r="W410" s="42">
        <f>IFERROR(IF(V410=0,"",ROUNDUP(V410/H410,0)*0.00937),"")</f>
        <v/>
      </c>
      <c r="X410" s="69" t="inlineStr"/>
      <c r="Y410" s="70" t="inlineStr"/>
      <c r="AC410" s="71" t="n"/>
      <c r="AZ410" s="288" t="inlineStr">
        <is>
          <t>КИ</t>
        </is>
      </c>
    </row>
    <row r="411" ht="27" customHeight="1">
      <c r="A411" s="64" t="inlineStr">
        <is>
          <t>SU002220</t>
        </is>
      </c>
      <c r="B411" s="64" t="inlineStr">
        <is>
          <t>P002404</t>
        </is>
      </c>
      <c r="C411" s="37" t="n">
        <v>4301011168</v>
      </c>
      <c r="D411" s="315" t="n">
        <v>4607091389999</v>
      </c>
      <c r="E411" s="636" t="n"/>
      <c r="F411" s="668" t="n">
        <v>0.6</v>
      </c>
      <c r="G411" s="38" t="n">
        <v>6</v>
      </c>
      <c r="H411" s="668" t="n">
        <v>3.6</v>
      </c>
      <c r="I411" s="668" t="n">
        <v>3.84</v>
      </c>
      <c r="J411" s="38" t="n">
        <v>120</v>
      </c>
      <c r="K411" s="39" t="inlineStr">
        <is>
          <t>СК1</t>
        </is>
      </c>
      <c r="L411" s="38" t="n">
        <v>55</v>
      </c>
      <c r="M411" s="892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11" s="670" t="n"/>
      <c r="O411" s="670" t="n"/>
      <c r="P411" s="670" t="n"/>
      <c r="Q411" s="636" t="n"/>
      <c r="R411" s="40" t="inlineStr"/>
      <c r="S411" s="40" t="inlineStr"/>
      <c r="T411" s="41" t="inlineStr">
        <is>
          <t>кг</t>
        </is>
      </c>
      <c r="U411" s="671" t="n">
        <v>0</v>
      </c>
      <c r="V411" s="672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71" t="n"/>
      <c r="AZ411" s="289" t="inlineStr">
        <is>
          <t>КИ</t>
        </is>
      </c>
    </row>
    <row r="412" ht="27" customHeight="1">
      <c r="A412" s="64" t="inlineStr">
        <is>
          <t>SU002635</t>
        </is>
      </c>
      <c r="B412" s="64" t="inlineStr">
        <is>
          <t>P002992</t>
        </is>
      </c>
      <c r="C412" s="37" t="n">
        <v>4301011372</v>
      </c>
      <c r="D412" s="315" t="n">
        <v>4680115882782</v>
      </c>
      <c r="E412" s="636" t="n"/>
      <c r="F412" s="668" t="n">
        <v>0.6</v>
      </c>
      <c r="G412" s="38" t="n">
        <v>6</v>
      </c>
      <c r="H412" s="668" t="n">
        <v>3.6</v>
      </c>
      <c r="I412" s="668" t="n">
        <v>3.84</v>
      </c>
      <c r="J412" s="38" t="n">
        <v>120</v>
      </c>
      <c r="K412" s="39" t="inlineStr">
        <is>
          <t>СК1</t>
        </is>
      </c>
      <c r="L412" s="38" t="n">
        <v>50</v>
      </c>
      <c r="M412" s="893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12" s="670" t="n"/>
      <c r="O412" s="670" t="n"/>
      <c r="P412" s="670" t="n"/>
      <c r="Q412" s="636" t="n"/>
      <c r="R412" s="40" t="inlineStr"/>
      <c r="S412" s="40" t="inlineStr"/>
      <c r="T412" s="41" t="inlineStr">
        <is>
          <t>кг</t>
        </is>
      </c>
      <c r="U412" s="671" t="n">
        <v>0</v>
      </c>
      <c r="V412" s="672">
        <f>IFERROR(IF(U412="",0,CEILING((U412/$H412),1)*$H412),"")</f>
        <v/>
      </c>
      <c r="W412" s="42">
        <f>IFERROR(IF(V412=0,"",ROUNDUP(V412/H412,0)*0.00937),"")</f>
        <v/>
      </c>
      <c r="X412" s="69" t="inlineStr"/>
      <c r="Y412" s="70" t="inlineStr"/>
      <c r="AC412" s="71" t="n"/>
      <c r="AZ412" s="290" t="inlineStr">
        <is>
          <t>КИ</t>
        </is>
      </c>
    </row>
    <row r="413" ht="27" customHeight="1">
      <c r="A413" s="64" t="inlineStr">
        <is>
          <t>SU002020</t>
        </is>
      </c>
      <c r="B413" s="64" t="inlineStr">
        <is>
          <t>P002308</t>
        </is>
      </c>
      <c r="C413" s="37" t="n">
        <v>4301011190</v>
      </c>
      <c r="D413" s="315" t="n">
        <v>4607091389098</v>
      </c>
      <c r="E413" s="636" t="n"/>
      <c r="F413" s="668" t="n">
        <v>0.4</v>
      </c>
      <c r="G413" s="38" t="n">
        <v>6</v>
      </c>
      <c r="H413" s="668" t="n">
        <v>2.4</v>
      </c>
      <c r="I413" s="668" t="n">
        <v>2.6</v>
      </c>
      <c r="J413" s="38" t="n">
        <v>156</v>
      </c>
      <c r="K413" s="39" t="inlineStr">
        <is>
          <t>СК3</t>
        </is>
      </c>
      <c r="L413" s="38" t="n">
        <v>50</v>
      </c>
      <c r="M413" s="894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3" s="670" t="n"/>
      <c r="O413" s="670" t="n"/>
      <c r="P413" s="670" t="n"/>
      <c r="Q413" s="636" t="n"/>
      <c r="R413" s="40" t="inlineStr"/>
      <c r="S413" s="40" t="inlineStr"/>
      <c r="T413" s="41" t="inlineStr">
        <is>
          <t>кг</t>
        </is>
      </c>
      <c r="U413" s="671" t="n">
        <v>0</v>
      </c>
      <c r="V413" s="672">
        <f>IFERROR(IF(U413="",0,CEILING((U413/$H413),1)*$H413),"")</f>
        <v/>
      </c>
      <c r="W413" s="42">
        <f>IFERROR(IF(V413=0,"",ROUNDUP(V413/H413,0)*0.00753),"")</f>
        <v/>
      </c>
      <c r="X413" s="69" t="inlineStr"/>
      <c r="Y413" s="70" t="inlineStr"/>
      <c r="AC413" s="71" t="n"/>
      <c r="AZ413" s="291" t="inlineStr">
        <is>
          <t>КИ</t>
        </is>
      </c>
    </row>
    <row r="414" ht="27" customHeight="1">
      <c r="A414" s="64" t="inlineStr">
        <is>
          <t>SU002631</t>
        </is>
      </c>
      <c r="B414" s="64" t="inlineStr">
        <is>
          <t>P002981</t>
        </is>
      </c>
      <c r="C414" s="37" t="n">
        <v>4301011366</v>
      </c>
      <c r="D414" s="315" t="n">
        <v>4607091389982</v>
      </c>
      <c r="E414" s="636" t="n"/>
      <c r="F414" s="668" t="n">
        <v>0.6</v>
      </c>
      <c r="G414" s="38" t="n">
        <v>6</v>
      </c>
      <c r="H414" s="668" t="n">
        <v>3.6</v>
      </c>
      <c r="I414" s="668" t="n">
        <v>3.84</v>
      </c>
      <c r="J414" s="38" t="n">
        <v>120</v>
      </c>
      <c r="K414" s="39" t="inlineStr">
        <is>
          <t>СК1</t>
        </is>
      </c>
      <c r="L414" s="38" t="n">
        <v>55</v>
      </c>
      <c r="M414" s="895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4" s="670" t="n"/>
      <c r="O414" s="670" t="n"/>
      <c r="P414" s="670" t="n"/>
      <c r="Q414" s="636" t="n"/>
      <c r="R414" s="40" t="inlineStr"/>
      <c r="S414" s="40" t="inlineStr"/>
      <c r="T414" s="41" t="inlineStr">
        <is>
          <t>кг</t>
        </is>
      </c>
      <c r="U414" s="671" t="n">
        <v>0</v>
      </c>
      <c r="V414" s="672">
        <f>IFERROR(IF(U414="",0,CEILING((U414/$H414),1)*$H414),"")</f>
        <v/>
      </c>
      <c r="W414" s="42">
        <f>IFERROR(IF(V414=0,"",ROUNDUP(V414/H414,0)*0.00937),"")</f>
        <v/>
      </c>
      <c r="X414" s="69" t="inlineStr"/>
      <c r="Y414" s="70" t="inlineStr"/>
      <c r="AC414" s="71" t="n"/>
      <c r="AZ414" s="292" t="inlineStr">
        <is>
          <t>КИ</t>
        </is>
      </c>
    </row>
    <row r="415">
      <c r="A415" s="323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673" t="n"/>
      <c r="M415" s="674" t="inlineStr">
        <is>
          <t>Итого</t>
        </is>
      </c>
      <c r="N415" s="644" t="n"/>
      <c r="O415" s="644" t="n"/>
      <c r="P415" s="644" t="n"/>
      <c r="Q415" s="644" t="n"/>
      <c r="R415" s="644" t="n"/>
      <c r="S415" s="645" t="n"/>
      <c r="T415" s="43" t="inlineStr">
        <is>
          <t>кор</t>
        </is>
      </c>
      <c r="U415" s="675">
        <f>IFERROR(U406/H406,"0")+IFERROR(U407/H407,"0")+IFERROR(U408/H408,"0")+IFERROR(U409/H409,"0")+IFERROR(U410/H410,"0")+IFERROR(U411/H411,"0")+IFERROR(U412/H412,"0")+IFERROR(U413/H413,"0")+IFERROR(U414/H414,"0")</f>
        <v/>
      </c>
      <c r="V415" s="675">
        <f>IFERROR(V406/H406,"0")+IFERROR(V407/H407,"0")+IFERROR(V408/H408,"0")+IFERROR(V409/H409,"0")+IFERROR(V410/H410,"0")+IFERROR(V411/H411,"0")+IFERROR(V412/H412,"0")+IFERROR(V413/H413,"0")+IFERROR(V414/H414,"0")</f>
        <v/>
      </c>
      <c r="W415" s="675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</f>
        <v/>
      </c>
      <c r="X415" s="676" t="n"/>
      <c r="Y415" s="676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673" t="n"/>
      <c r="M416" s="674" t="inlineStr">
        <is>
          <t>Итого</t>
        </is>
      </c>
      <c r="N416" s="644" t="n"/>
      <c r="O416" s="644" t="n"/>
      <c r="P416" s="644" t="n"/>
      <c r="Q416" s="644" t="n"/>
      <c r="R416" s="644" t="n"/>
      <c r="S416" s="645" t="n"/>
      <c r="T416" s="43" t="inlineStr">
        <is>
          <t>кг</t>
        </is>
      </c>
      <c r="U416" s="675">
        <f>IFERROR(SUM(U406:U414),"0")</f>
        <v/>
      </c>
      <c r="V416" s="675">
        <f>IFERROR(SUM(V406:V414),"0")</f>
        <v/>
      </c>
      <c r="W416" s="43" t="n"/>
      <c r="X416" s="676" t="n"/>
      <c r="Y416" s="676" t="n"/>
    </row>
    <row r="417" ht="14.25" customHeight="1">
      <c r="A417" s="331" t="inlineStr">
        <is>
          <t>Ветчины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331" t="n"/>
      <c r="Y417" s="331" t="n"/>
    </row>
    <row r="418" ht="16.5" customHeight="1">
      <c r="A418" s="64" t="inlineStr">
        <is>
          <t>SU002035</t>
        </is>
      </c>
      <c r="B418" s="64" t="inlineStr">
        <is>
          <t>P003146</t>
        </is>
      </c>
      <c r="C418" s="37" t="n">
        <v>4301020222</v>
      </c>
      <c r="D418" s="315" t="n">
        <v>4607091388930</v>
      </c>
      <c r="E418" s="636" t="n"/>
      <c r="F418" s="668" t="n">
        <v>0.88</v>
      </c>
      <c r="G418" s="38" t="n">
        <v>6</v>
      </c>
      <c r="H418" s="668" t="n">
        <v>5.28</v>
      </c>
      <c r="I418" s="668" t="n">
        <v>5.64</v>
      </c>
      <c r="J418" s="38" t="n">
        <v>104</v>
      </c>
      <c r="K418" s="39" t="inlineStr">
        <is>
          <t>СК1</t>
        </is>
      </c>
      <c r="L418" s="38" t="n">
        <v>55</v>
      </c>
      <c r="M418" s="896">
        <f>HYPERLINK("https://abi.ru/products/Охлажденные/Дугушка/Дугушка/Ветчины/P003146/","Ветчины Дугушка Дугушка Вес б/о Дугушка")</f>
        <v/>
      </c>
      <c r="N418" s="670" t="n"/>
      <c r="O418" s="670" t="n"/>
      <c r="P418" s="670" t="n"/>
      <c r="Q418" s="636" t="n"/>
      <c r="R418" s="40" t="inlineStr"/>
      <c r="S418" s="40" t="inlineStr"/>
      <c r="T418" s="41" t="inlineStr">
        <is>
          <t>кг</t>
        </is>
      </c>
      <c r="U418" s="671" t="n">
        <v>0</v>
      </c>
      <c r="V418" s="672">
        <f>IFERROR(IF(U418="",0,CEILING((U418/$H418),1)*$H418),"")</f>
        <v/>
      </c>
      <c r="W418" s="42">
        <f>IFERROR(IF(V418=0,"",ROUNDUP(V418/H418,0)*0.01196),"")</f>
        <v/>
      </c>
      <c r="X418" s="69" t="inlineStr"/>
      <c r="Y418" s="70" t="inlineStr"/>
      <c r="AC418" s="71" t="n"/>
      <c r="AZ418" s="293" t="inlineStr">
        <is>
          <t>КИ</t>
        </is>
      </c>
    </row>
    <row r="419" ht="16.5" customHeight="1">
      <c r="A419" s="64" t="inlineStr">
        <is>
          <t>SU002643</t>
        </is>
      </c>
      <c r="B419" s="64" t="inlineStr">
        <is>
          <t>P002993</t>
        </is>
      </c>
      <c r="C419" s="37" t="n">
        <v>4301020206</v>
      </c>
      <c r="D419" s="315" t="n">
        <v>4680115880054</v>
      </c>
      <c r="E419" s="636" t="n"/>
      <c r="F419" s="668" t="n">
        <v>0.6</v>
      </c>
      <c r="G419" s="38" t="n">
        <v>6</v>
      </c>
      <c r="H419" s="668" t="n">
        <v>3.6</v>
      </c>
      <c r="I419" s="668" t="n">
        <v>3.84</v>
      </c>
      <c r="J419" s="38" t="n">
        <v>120</v>
      </c>
      <c r="K419" s="39" t="inlineStr">
        <is>
          <t>СК1</t>
        </is>
      </c>
      <c r="L419" s="38" t="n">
        <v>55</v>
      </c>
      <c r="M419" s="897">
        <f>HYPERLINK("https://abi.ru/products/Охлажденные/Дугушка/Дугушка/Ветчины/P002993/","Ветчины «Дугушка» Фикс.вес 0,6 П/а ТМ «Дугушка»")</f>
        <v/>
      </c>
      <c r="N419" s="670" t="n"/>
      <c r="O419" s="670" t="n"/>
      <c r="P419" s="670" t="n"/>
      <c r="Q419" s="636" t="n"/>
      <c r="R419" s="40" t="inlineStr"/>
      <c r="S419" s="40" t="inlineStr"/>
      <c r="T419" s="41" t="inlineStr">
        <is>
          <t>кг</t>
        </is>
      </c>
      <c r="U419" s="671" t="n">
        <v>0</v>
      </c>
      <c r="V419" s="672">
        <f>IFERROR(IF(U419="",0,CEILING((U419/$H419),1)*$H419),"")</f>
        <v/>
      </c>
      <c r="W419" s="42">
        <f>IFERROR(IF(V419=0,"",ROUNDUP(V419/H419,0)*0.00937),"")</f>
        <v/>
      </c>
      <c r="X419" s="69" t="inlineStr"/>
      <c r="Y419" s="70" t="inlineStr"/>
      <c r="AC419" s="71" t="n"/>
      <c r="AZ419" s="294" t="inlineStr">
        <is>
          <t>КИ</t>
        </is>
      </c>
    </row>
    <row r="420">
      <c r="A420" s="323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673" t="n"/>
      <c r="M420" s="674" t="inlineStr">
        <is>
          <t>Итого</t>
        </is>
      </c>
      <c r="N420" s="644" t="n"/>
      <c r="O420" s="644" t="n"/>
      <c r="P420" s="644" t="n"/>
      <c r="Q420" s="644" t="n"/>
      <c r="R420" s="644" t="n"/>
      <c r="S420" s="645" t="n"/>
      <c r="T420" s="43" t="inlineStr">
        <is>
          <t>кор</t>
        </is>
      </c>
      <c r="U420" s="675">
        <f>IFERROR(U418/H418,"0")+IFERROR(U419/H419,"0")</f>
        <v/>
      </c>
      <c r="V420" s="675">
        <f>IFERROR(V418/H418,"0")+IFERROR(V419/H419,"0")</f>
        <v/>
      </c>
      <c r="W420" s="675">
        <f>IFERROR(IF(W418="",0,W418),"0")+IFERROR(IF(W419="",0,W419),"0")</f>
        <v/>
      </c>
      <c r="X420" s="676" t="n"/>
      <c r="Y420" s="676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673" t="n"/>
      <c r="M421" s="674" t="inlineStr">
        <is>
          <t>Итого</t>
        </is>
      </c>
      <c r="N421" s="644" t="n"/>
      <c r="O421" s="644" t="n"/>
      <c r="P421" s="644" t="n"/>
      <c r="Q421" s="644" t="n"/>
      <c r="R421" s="644" t="n"/>
      <c r="S421" s="645" t="n"/>
      <c r="T421" s="43" t="inlineStr">
        <is>
          <t>кг</t>
        </is>
      </c>
      <c r="U421" s="675">
        <f>IFERROR(SUM(U418:U419),"0")</f>
        <v/>
      </c>
      <c r="V421" s="675">
        <f>IFERROR(SUM(V418:V419),"0")</f>
        <v/>
      </c>
      <c r="W421" s="43" t="n"/>
      <c r="X421" s="676" t="n"/>
      <c r="Y421" s="676" t="n"/>
    </row>
    <row r="422" ht="14.25" customHeight="1">
      <c r="A422" s="331" t="inlineStr">
        <is>
          <t>Копченые колбасы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331" t="n"/>
      <c r="Y422" s="331" t="n"/>
    </row>
    <row r="423" ht="27" customHeight="1">
      <c r="A423" s="64" t="inlineStr">
        <is>
          <t>SU002150</t>
        </is>
      </c>
      <c r="B423" s="64" t="inlineStr">
        <is>
          <t>P003636</t>
        </is>
      </c>
      <c r="C423" s="37" t="n">
        <v>4301031252</v>
      </c>
      <c r="D423" s="315" t="n">
        <v>4680115883116</v>
      </c>
      <c r="E423" s="636" t="n"/>
      <c r="F423" s="668" t="n">
        <v>0.88</v>
      </c>
      <c r="G423" s="38" t="n">
        <v>6</v>
      </c>
      <c r="H423" s="668" t="n">
        <v>5.28</v>
      </c>
      <c r="I423" s="668" t="n">
        <v>5.64</v>
      </c>
      <c r="J423" s="38" t="n">
        <v>104</v>
      </c>
      <c r="K423" s="39" t="inlineStr">
        <is>
          <t>СК1</t>
        </is>
      </c>
      <c r="L423" s="38" t="n">
        <v>60</v>
      </c>
      <c r="M423" s="898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23" s="670" t="n"/>
      <c r="O423" s="670" t="n"/>
      <c r="P423" s="670" t="n"/>
      <c r="Q423" s="636" t="n"/>
      <c r="R423" s="40" t="inlineStr"/>
      <c r="S423" s="40" t="inlineStr"/>
      <c r="T423" s="41" t="inlineStr">
        <is>
          <t>кг</t>
        </is>
      </c>
      <c r="U423" s="671" t="n">
        <v>0</v>
      </c>
      <c r="V423" s="672">
        <f>IFERROR(IF(U423="",0,CEILING((U423/$H423),1)*$H423),"")</f>
        <v/>
      </c>
      <c r="W423" s="42">
        <f>IFERROR(IF(V423=0,"",ROUNDUP(V423/H423,0)*0.01196),"")</f>
        <v/>
      </c>
      <c r="X423" s="69" t="inlineStr"/>
      <c r="Y423" s="70" t="inlineStr"/>
      <c r="AC423" s="71" t="n"/>
      <c r="AZ423" s="295" t="inlineStr">
        <is>
          <t>КИ</t>
        </is>
      </c>
    </row>
    <row r="424" ht="27" customHeight="1">
      <c r="A424" s="64" t="inlineStr">
        <is>
          <t>SU002158</t>
        </is>
      </c>
      <c r="B424" s="64" t="inlineStr">
        <is>
          <t>P003632</t>
        </is>
      </c>
      <c r="C424" s="37" t="n">
        <v>4301031248</v>
      </c>
      <c r="D424" s="315" t="n">
        <v>4680115883093</v>
      </c>
      <c r="E424" s="636" t="n"/>
      <c r="F424" s="668" t="n">
        <v>0.88</v>
      </c>
      <c r="G424" s="38" t="n">
        <v>6</v>
      </c>
      <c r="H424" s="668" t="n">
        <v>5.28</v>
      </c>
      <c r="I424" s="668" t="n">
        <v>5.64</v>
      </c>
      <c r="J424" s="38" t="n">
        <v>104</v>
      </c>
      <c r="K424" s="39" t="inlineStr">
        <is>
          <t>СК2</t>
        </is>
      </c>
      <c r="L424" s="38" t="n">
        <v>60</v>
      </c>
      <c r="M424" s="899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4" s="670" t="n"/>
      <c r="O424" s="670" t="n"/>
      <c r="P424" s="670" t="n"/>
      <c r="Q424" s="636" t="n"/>
      <c r="R424" s="40" t="inlineStr"/>
      <c r="S424" s="40" t="inlineStr"/>
      <c r="T424" s="41" t="inlineStr">
        <is>
          <t>кг</t>
        </is>
      </c>
      <c r="U424" s="671" t="n">
        <v>0</v>
      </c>
      <c r="V424" s="672">
        <f>IFERROR(IF(U424="",0,CEILING((U424/$H424),1)*$H424),"")</f>
        <v/>
      </c>
      <c r="W424" s="42">
        <f>IFERROR(IF(V424=0,"",ROUNDUP(V424/H424,0)*0.01196),"")</f>
        <v/>
      </c>
      <c r="X424" s="69" t="inlineStr"/>
      <c r="Y424" s="70" t="inlineStr"/>
      <c r="AC424" s="71" t="n"/>
      <c r="AZ424" s="296" t="inlineStr">
        <is>
          <t>КИ</t>
        </is>
      </c>
    </row>
    <row r="425" ht="27" customHeight="1">
      <c r="A425" s="64" t="inlineStr">
        <is>
          <t>SU002151</t>
        </is>
      </c>
      <c r="B425" s="64" t="inlineStr">
        <is>
          <t>P003634</t>
        </is>
      </c>
      <c r="C425" s="37" t="n">
        <v>4301031250</v>
      </c>
      <c r="D425" s="315" t="n">
        <v>4680115883109</v>
      </c>
      <c r="E425" s="636" t="n"/>
      <c r="F425" s="668" t="n">
        <v>0.88</v>
      </c>
      <c r="G425" s="38" t="n">
        <v>6</v>
      </c>
      <c r="H425" s="668" t="n">
        <v>5.28</v>
      </c>
      <c r="I425" s="668" t="n">
        <v>5.64</v>
      </c>
      <c r="J425" s="38" t="n">
        <v>104</v>
      </c>
      <c r="K425" s="39" t="inlineStr">
        <is>
          <t>СК2</t>
        </is>
      </c>
      <c r="L425" s="38" t="n">
        <v>60</v>
      </c>
      <c r="M425" s="900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5" s="670" t="n"/>
      <c r="O425" s="670" t="n"/>
      <c r="P425" s="670" t="n"/>
      <c r="Q425" s="636" t="n"/>
      <c r="R425" s="40" t="inlineStr"/>
      <c r="S425" s="40" t="inlineStr"/>
      <c r="T425" s="41" t="inlineStr">
        <is>
          <t>кг</t>
        </is>
      </c>
      <c r="U425" s="671" t="n">
        <v>0</v>
      </c>
      <c r="V425" s="672">
        <f>IFERROR(IF(U425="",0,CEILING((U425/$H425),1)*$H425),"")</f>
        <v/>
      </c>
      <c r="W425" s="42">
        <f>IFERROR(IF(V425=0,"",ROUNDUP(V425/H425,0)*0.01196),"")</f>
        <v/>
      </c>
      <c r="X425" s="69" t="inlineStr"/>
      <c r="Y425" s="70" t="inlineStr"/>
      <c r="AC425" s="71" t="n"/>
      <c r="AZ425" s="297" t="inlineStr">
        <is>
          <t>КИ</t>
        </is>
      </c>
    </row>
    <row r="426" ht="27" customHeight="1">
      <c r="A426" s="64" t="inlineStr">
        <is>
          <t>SU002916</t>
        </is>
      </c>
      <c r="B426" s="64" t="inlineStr">
        <is>
          <t>P003633</t>
        </is>
      </c>
      <c r="C426" s="37" t="n">
        <v>4301031249</v>
      </c>
      <c r="D426" s="315" t="n">
        <v>4680115882072</v>
      </c>
      <c r="E426" s="636" t="n"/>
      <c r="F426" s="668" t="n">
        <v>0.6</v>
      </c>
      <c r="G426" s="38" t="n">
        <v>6</v>
      </c>
      <c r="H426" s="668" t="n">
        <v>3.6</v>
      </c>
      <c r="I426" s="668" t="n">
        <v>3.84</v>
      </c>
      <c r="J426" s="38" t="n">
        <v>120</v>
      </c>
      <c r="K426" s="39" t="inlineStr">
        <is>
          <t>СК1</t>
        </is>
      </c>
      <c r="L426" s="38" t="n">
        <v>60</v>
      </c>
      <c r="M426" s="901" t="inlineStr">
        <is>
          <t>В/к колбасы «Рубленая Запеченная» Фикс.вес 0,6 Вектор ТМ «Дугушка»</t>
        </is>
      </c>
      <c r="N426" s="670" t="n"/>
      <c r="O426" s="670" t="n"/>
      <c r="P426" s="670" t="n"/>
      <c r="Q426" s="636" t="n"/>
      <c r="R426" s="40" t="inlineStr"/>
      <c r="S426" s="40" t="inlineStr"/>
      <c r="T426" s="41" t="inlineStr">
        <is>
          <t>кг</t>
        </is>
      </c>
      <c r="U426" s="671" t="n">
        <v>0</v>
      </c>
      <c r="V426" s="672">
        <f>IFERROR(IF(U426="",0,CEILING((U426/$H426),1)*$H426),"")</f>
        <v/>
      </c>
      <c r="W426" s="42">
        <f>IFERROR(IF(V426=0,"",ROUNDUP(V426/H426,0)*0.00937),"")</f>
        <v/>
      </c>
      <c r="X426" s="69" t="inlineStr"/>
      <c r="Y426" s="70" t="inlineStr"/>
      <c r="AC426" s="71" t="n"/>
      <c r="AZ426" s="298" t="inlineStr">
        <is>
          <t>КИ</t>
        </is>
      </c>
    </row>
    <row r="427" ht="27" customHeight="1">
      <c r="A427" s="64" t="inlineStr">
        <is>
          <t>SU002919</t>
        </is>
      </c>
      <c r="B427" s="64" t="inlineStr">
        <is>
          <t>P003635</t>
        </is>
      </c>
      <c r="C427" s="37" t="n">
        <v>4301031251</v>
      </c>
      <c r="D427" s="315" t="n">
        <v>4680115882102</v>
      </c>
      <c r="E427" s="636" t="n"/>
      <c r="F427" s="668" t="n">
        <v>0.6</v>
      </c>
      <c r="G427" s="38" t="n">
        <v>6</v>
      </c>
      <c r="H427" s="668" t="n">
        <v>3.6</v>
      </c>
      <c r="I427" s="668" t="n">
        <v>3.81</v>
      </c>
      <c r="J427" s="38" t="n">
        <v>120</v>
      </c>
      <c r="K427" s="39" t="inlineStr">
        <is>
          <t>СК2</t>
        </is>
      </c>
      <c r="L427" s="38" t="n">
        <v>60</v>
      </c>
      <c r="M427" s="902" t="inlineStr">
        <is>
          <t>В/к колбасы «Салями Запеченая» Фикс.вес 0,6 Вектор ТМ «Дугушка»</t>
        </is>
      </c>
      <c r="N427" s="670" t="n"/>
      <c r="O427" s="670" t="n"/>
      <c r="P427" s="670" t="n"/>
      <c r="Q427" s="636" t="n"/>
      <c r="R427" s="40" t="inlineStr"/>
      <c r="S427" s="40" t="inlineStr"/>
      <c r="T427" s="41" t="inlineStr">
        <is>
          <t>кг</t>
        </is>
      </c>
      <c r="U427" s="671" t="n">
        <v>0</v>
      </c>
      <c r="V427" s="672">
        <f>IFERROR(IF(U427="",0,CEILING((U427/$H427),1)*$H427),"")</f>
        <v/>
      </c>
      <c r="W427" s="42">
        <f>IFERROR(IF(V427=0,"",ROUNDUP(V427/H427,0)*0.00937),"")</f>
        <v/>
      </c>
      <c r="X427" s="69" t="inlineStr"/>
      <c r="Y427" s="70" t="inlineStr"/>
      <c r="AC427" s="71" t="n"/>
      <c r="AZ427" s="299" t="inlineStr">
        <is>
          <t>КИ</t>
        </is>
      </c>
    </row>
    <row r="428" ht="27" customHeight="1">
      <c r="A428" s="64" t="inlineStr">
        <is>
          <t>SU002918</t>
        </is>
      </c>
      <c r="B428" s="64" t="inlineStr">
        <is>
          <t>P003637</t>
        </is>
      </c>
      <c r="C428" s="37" t="n">
        <v>4301031253</v>
      </c>
      <c r="D428" s="315" t="n">
        <v>4680115882096</v>
      </c>
      <c r="E428" s="636" t="n"/>
      <c r="F428" s="668" t="n">
        <v>0.6</v>
      </c>
      <c r="G428" s="38" t="n">
        <v>6</v>
      </c>
      <c r="H428" s="668" t="n">
        <v>3.6</v>
      </c>
      <c r="I428" s="668" t="n">
        <v>3.81</v>
      </c>
      <c r="J428" s="38" t="n">
        <v>120</v>
      </c>
      <c r="K428" s="39" t="inlineStr">
        <is>
          <t>СК2</t>
        </is>
      </c>
      <c r="L428" s="38" t="n">
        <v>60</v>
      </c>
      <c r="M428" s="903" t="inlineStr">
        <is>
          <t>В/к колбасы «Сервелат Запеченный» Фикс.вес 0,6 Вектор ТМ «Дугушка»</t>
        </is>
      </c>
      <c r="N428" s="670" t="n"/>
      <c r="O428" s="670" t="n"/>
      <c r="P428" s="670" t="n"/>
      <c r="Q428" s="636" t="n"/>
      <c r="R428" s="40" t="inlineStr"/>
      <c r="S428" s="40" t="inlineStr"/>
      <c r="T428" s="41" t="inlineStr">
        <is>
          <t>кг</t>
        </is>
      </c>
      <c r="U428" s="671" t="n">
        <v>0</v>
      </c>
      <c r="V428" s="672">
        <f>IFERROR(IF(U428="",0,CEILING((U428/$H428),1)*$H428),"")</f>
        <v/>
      </c>
      <c r="W428" s="42">
        <f>IFERROR(IF(V428=0,"",ROUNDUP(V428/H428,0)*0.00937),"")</f>
        <v/>
      </c>
      <c r="X428" s="69" t="inlineStr"/>
      <c r="Y428" s="70" t="inlineStr"/>
      <c r="AC428" s="71" t="n"/>
      <c r="AZ428" s="300" t="inlineStr">
        <is>
          <t>КИ</t>
        </is>
      </c>
    </row>
    <row r="429">
      <c r="A429" s="323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673" t="n"/>
      <c r="M429" s="674" t="inlineStr">
        <is>
          <t>Итого</t>
        </is>
      </c>
      <c r="N429" s="644" t="n"/>
      <c r="O429" s="644" t="n"/>
      <c r="P429" s="644" t="n"/>
      <c r="Q429" s="644" t="n"/>
      <c r="R429" s="644" t="n"/>
      <c r="S429" s="645" t="n"/>
      <c r="T429" s="43" t="inlineStr">
        <is>
          <t>кор</t>
        </is>
      </c>
      <c r="U429" s="675">
        <f>IFERROR(U423/H423,"0")+IFERROR(U424/H424,"0")+IFERROR(U425/H425,"0")+IFERROR(U426/H426,"0")+IFERROR(U427/H427,"0")+IFERROR(U428/H428,"0")</f>
        <v/>
      </c>
      <c r="V429" s="675">
        <f>IFERROR(V423/H423,"0")+IFERROR(V424/H424,"0")+IFERROR(V425/H425,"0")+IFERROR(V426/H426,"0")+IFERROR(V427/H427,"0")+IFERROR(V428/H428,"0")</f>
        <v/>
      </c>
      <c r="W429" s="675">
        <f>IFERROR(IF(W423="",0,W423),"0")+IFERROR(IF(W424="",0,W424),"0")+IFERROR(IF(W425="",0,W425),"0")+IFERROR(IF(W426="",0,W426),"0")+IFERROR(IF(W427="",0,W427),"0")+IFERROR(IF(W428="",0,W428),"0")</f>
        <v/>
      </c>
      <c r="X429" s="676" t="n"/>
      <c r="Y429" s="676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673" t="n"/>
      <c r="M430" s="674" t="inlineStr">
        <is>
          <t>Итого</t>
        </is>
      </c>
      <c r="N430" s="644" t="n"/>
      <c r="O430" s="644" t="n"/>
      <c r="P430" s="644" t="n"/>
      <c r="Q430" s="644" t="n"/>
      <c r="R430" s="644" t="n"/>
      <c r="S430" s="645" t="n"/>
      <c r="T430" s="43" t="inlineStr">
        <is>
          <t>кг</t>
        </is>
      </c>
      <c r="U430" s="675">
        <f>IFERROR(SUM(U423:U428),"0")</f>
        <v/>
      </c>
      <c r="V430" s="675">
        <f>IFERROR(SUM(V423:V428),"0")</f>
        <v/>
      </c>
      <c r="W430" s="43" t="n"/>
      <c r="X430" s="676" t="n"/>
      <c r="Y430" s="676" t="n"/>
    </row>
    <row r="431" ht="14.25" customHeight="1">
      <c r="A431" s="331" t="inlineStr">
        <is>
          <t>Сосиски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331" t="n"/>
      <c r="Y431" s="331" t="n"/>
    </row>
    <row r="432" ht="16.5" customHeight="1">
      <c r="A432" s="64" t="inlineStr">
        <is>
          <t>SU002218</t>
        </is>
      </c>
      <c r="B432" s="64" t="inlineStr">
        <is>
          <t>P002854</t>
        </is>
      </c>
      <c r="C432" s="37" t="n">
        <v>4301051230</v>
      </c>
      <c r="D432" s="315" t="n">
        <v>4607091383409</v>
      </c>
      <c r="E432" s="636" t="n"/>
      <c r="F432" s="668" t="n">
        <v>1.3</v>
      </c>
      <c r="G432" s="38" t="n">
        <v>6</v>
      </c>
      <c r="H432" s="668" t="n">
        <v>7.8</v>
      </c>
      <c r="I432" s="668" t="n">
        <v>8.346</v>
      </c>
      <c r="J432" s="38" t="n">
        <v>56</v>
      </c>
      <c r="K432" s="39" t="inlineStr">
        <is>
          <t>СК2</t>
        </is>
      </c>
      <c r="L432" s="38" t="n">
        <v>45</v>
      </c>
      <c r="M432" s="904">
        <f>HYPERLINK("https://abi.ru/products/Охлажденные/Дугушка/Дугушка/Сосиски/P002854/","Сосиски Молочные Дугушки Дугушка Весовые П/а мгс Дугушка")</f>
        <v/>
      </c>
      <c r="N432" s="670" t="n"/>
      <c r="O432" s="670" t="n"/>
      <c r="P432" s="670" t="n"/>
      <c r="Q432" s="636" t="n"/>
      <c r="R432" s="40" t="inlineStr"/>
      <c r="S432" s="40" t="inlineStr"/>
      <c r="T432" s="41" t="inlineStr">
        <is>
          <t>кг</t>
        </is>
      </c>
      <c r="U432" s="671" t="n">
        <v>0</v>
      </c>
      <c r="V432" s="672">
        <f>IFERROR(IF(U432="",0,CEILING((U432/$H432),1)*$H432),"")</f>
        <v/>
      </c>
      <c r="W432" s="42">
        <f>IFERROR(IF(V432=0,"",ROUNDUP(V432/H432,0)*0.02175),"")</f>
        <v/>
      </c>
      <c r="X432" s="69" t="inlineStr"/>
      <c r="Y432" s="70" t="inlineStr"/>
      <c r="AC432" s="71" t="n"/>
      <c r="AZ432" s="301" t="inlineStr">
        <is>
          <t>КИ</t>
        </is>
      </c>
    </row>
    <row r="433" ht="16.5" customHeight="1">
      <c r="A433" s="64" t="inlineStr">
        <is>
          <t>SU002219</t>
        </is>
      </c>
      <c r="B433" s="64" t="inlineStr">
        <is>
          <t>P002855</t>
        </is>
      </c>
      <c r="C433" s="37" t="n">
        <v>4301051231</v>
      </c>
      <c r="D433" s="315" t="n">
        <v>4607091383416</v>
      </c>
      <c r="E433" s="636" t="n"/>
      <c r="F433" s="668" t="n">
        <v>1.3</v>
      </c>
      <c r="G433" s="38" t="n">
        <v>6</v>
      </c>
      <c r="H433" s="668" t="n">
        <v>7.8</v>
      </c>
      <c r="I433" s="668" t="n">
        <v>8.346</v>
      </c>
      <c r="J433" s="38" t="n">
        <v>56</v>
      </c>
      <c r="K433" s="39" t="inlineStr">
        <is>
          <t>СК2</t>
        </is>
      </c>
      <c r="L433" s="38" t="n">
        <v>45</v>
      </c>
      <c r="M433" s="905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3" s="670" t="n"/>
      <c r="O433" s="670" t="n"/>
      <c r="P433" s="670" t="n"/>
      <c r="Q433" s="636" t="n"/>
      <c r="R433" s="40" t="inlineStr"/>
      <c r="S433" s="40" t="inlineStr"/>
      <c r="T433" s="41" t="inlineStr">
        <is>
          <t>кг</t>
        </is>
      </c>
      <c r="U433" s="671" t="n">
        <v>0</v>
      </c>
      <c r="V433" s="672">
        <f>IFERROR(IF(U433="",0,CEILING((U433/$H433),1)*$H433),"")</f>
        <v/>
      </c>
      <c r="W433" s="42">
        <f>IFERROR(IF(V433=0,"",ROUNDUP(V433/H433,0)*0.02175),"")</f>
        <v/>
      </c>
      <c r="X433" s="69" t="inlineStr"/>
      <c r="Y433" s="70" t="inlineStr"/>
      <c r="AC433" s="71" t="n"/>
      <c r="AZ433" s="302" t="inlineStr">
        <is>
          <t>КИ</t>
        </is>
      </c>
    </row>
    <row r="434">
      <c r="A434" s="323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73" t="n"/>
      <c r="M434" s="674" t="inlineStr">
        <is>
          <t>Итого</t>
        </is>
      </c>
      <c r="N434" s="644" t="n"/>
      <c r="O434" s="644" t="n"/>
      <c r="P434" s="644" t="n"/>
      <c r="Q434" s="644" t="n"/>
      <c r="R434" s="644" t="n"/>
      <c r="S434" s="645" t="n"/>
      <c r="T434" s="43" t="inlineStr">
        <is>
          <t>кор</t>
        </is>
      </c>
      <c r="U434" s="675">
        <f>IFERROR(U432/H432,"0")+IFERROR(U433/H433,"0")</f>
        <v/>
      </c>
      <c r="V434" s="675">
        <f>IFERROR(V432/H432,"0")+IFERROR(V433/H433,"0")</f>
        <v/>
      </c>
      <c r="W434" s="675">
        <f>IFERROR(IF(W432="",0,W432),"0")+IFERROR(IF(W433="",0,W433),"0")</f>
        <v/>
      </c>
      <c r="X434" s="676" t="n"/>
      <c r="Y434" s="676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673" t="n"/>
      <c r="M435" s="674" t="inlineStr">
        <is>
          <t>Итого</t>
        </is>
      </c>
      <c r="N435" s="644" t="n"/>
      <c r="O435" s="644" t="n"/>
      <c r="P435" s="644" t="n"/>
      <c r="Q435" s="644" t="n"/>
      <c r="R435" s="644" t="n"/>
      <c r="S435" s="645" t="n"/>
      <c r="T435" s="43" t="inlineStr">
        <is>
          <t>кг</t>
        </is>
      </c>
      <c r="U435" s="675">
        <f>IFERROR(SUM(U432:U433),"0")</f>
        <v/>
      </c>
      <c r="V435" s="675">
        <f>IFERROR(SUM(V432:V433),"0")</f>
        <v/>
      </c>
      <c r="W435" s="43" t="n"/>
      <c r="X435" s="676" t="n"/>
      <c r="Y435" s="676" t="n"/>
    </row>
    <row r="436" ht="27.75" customHeight="1">
      <c r="A436" s="336" t="inlineStr">
        <is>
          <t>Зареченские</t>
        </is>
      </c>
      <c r="B436" s="667" t="n"/>
      <c r="C436" s="667" t="n"/>
      <c r="D436" s="667" t="n"/>
      <c r="E436" s="667" t="n"/>
      <c r="F436" s="667" t="n"/>
      <c r="G436" s="667" t="n"/>
      <c r="H436" s="667" t="n"/>
      <c r="I436" s="667" t="n"/>
      <c r="J436" s="667" t="n"/>
      <c r="K436" s="667" t="n"/>
      <c r="L436" s="667" t="n"/>
      <c r="M436" s="667" t="n"/>
      <c r="N436" s="667" t="n"/>
      <c r="O436" s="667" t="n"/>
      <c r="P436" s="667" t="n"/>
      <c r="Q436" s="667" t="n"/>
      <c r="R436" s="667" t="n"/>
      <c r="S436" s="667" t="n"/>
      <c r="T436" s="667" t="n"/>
      <c r="U436" s="667" t="n"/>
      <c r="V436" s="667" t="n"/>
      <c r="W436" s="667" t="n"/>
      <c r="X436" s="55" t="n"/>
      <c r="Y436" s="55" t="n"/>
    </row>
    <row r="437" ht="16.5" customHeight="1">
      <c r="A437" s="330" t="inlineStr">
        <is>
          <t>Зареченские продукты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330" t="n"/>
      <c r="Y437" s="330" t="n"/>
    </row>
    <row r="438" ht="14.25" customHeight="1">
      <c r="A438" s="331" t="inlineStr">
        <is>
          <t>Вареные колбасы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331" t="n"/>
      <c r="Y438" s="331" t="n"/>
    </row>
    <row r="439" ht="27" customHeight="1">
      <c r="A439" s="64" t="inlineStr">
        <is>
          <t>SU002807</t>
        </is>
      </c>
      <c r="B439" s="64" t="inlineStr">
        <is>
          <t>P003210</t>
        </is>
      </c>
      <c r="C439" s="37" t="n">
        <v>4301011434</v>
      </c>
      <c r="D439" s="315" t="n">
        <v>4680115881099</v>
      </c>
      <c r="E439" s="636" t="n"/>
      <c r="F439" s="668" t="n">
        <v>1.5</v>
      </c>
      <c r="G439" s="38" t="n">
        <v>8</v>
      </c>
      <c r="H439" s="668" t="n">
        <v>12</v>
      </c>
      <c r="I439" s="668" t="n">
        <v>12.48</v>
      </c>
      <c r="J439" s="38" t="n">
        <v>56</v>
      </c>
      <c r="K439" s="39" t="inlineStr">
        <is>
          <t>СК1</t>
        </is>
      </c>
      <c r="L439" s="38" t="n">
        <v>50</v>
      </c>
      <c r="M439" s="906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39" s="670" t="n"/>
      <c r="O439" s="670" t="n"/>
      <c r="P439" s="670" t="n"/>
      <c r="Q439" s="636" t="n"/>
      <c r="R439" s="40" t="inlineStr"/>
      <c r="S439" s="40" t="inlineStr"/>
      <c r="T439" s="41" t="inlineStr">
        <is>
          <t>кг</t>
        </is>
      </c>
      <c r="U439" s="671" t="n">
        <v>0</v>
      </c>
      <c r="V439" s="672">
        <f>IFERROR(IF(U439="",0,CEILING((U439/$H439),1)*$H439),"")</f>
        <v/>
      </c>
      <c r="W439" s="42">
        <f>IFERROR(IF(V439=0,"",ROUNDUP(V439/H439,0)*0.02175),"")</f>
        <v/>
      </c>
      <c r="X439" s="69" t="inlineStr"/>
      <c r="Y439" s="70" t="inlineStr"/>
      <c r="AC439" s="71" t="n"/>
      <c r="AZ439" s="303" t="inlineStr">
        <is>
          <t>КИ</t>
        </is>
      </c>
    </row>
    <row r="440" ht="27" customHeight="1">
      <c r="A440" s="64" t="inlineStr">
        <is>
          <t>SU002808</t>
        </is>
      </c>
      <c r="B440" s="64" t="inlineStr">
        <is>
          <t>P003214</t>
        </is>
      </c>
      <c r="C440" s="37" t="n">
        <v>4301011435</v>
      </c>
      <c r="D440" s="315" t="n">
        <v>4680115881150</v>
      </c>
      <c r="E440" s="636" t="n"/>
      <c r="F440" s="668" t="n">
        <v>1.5</v>
      </c>
      <c r="G440" s="38" t="n">
        <v>8</v>
      </c>
      <c r="H440" s="668" t="n">
        <v>12</v>
      </c>
      <c r="I440" s="668" t="n">
        <v>12.48</v>
      </c>
      <c r="J440" s="38" t="n">
        <v>56</v>
      </c>
      <c r="K440" s="39" t="inlineStr">
        <is>
          <t>СК1</t>
        </is>
      </c>
      <c r="L440" s="38" t="n">
        <v>50</v>
      </c>
      <c r="M440" s="907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0" s="670" t="n"/>
      <c r="O440" s="670" t="n"/>
      <c r="P440" s="670" t="n"/>
      <c r="Q440" s="636" t="n"/>
      <c r="R440" s="40" t="inlineStr"/>
      <c r="S440" s="40" t="inlineStr"/>
      <c r="T440" s="41" t="inlineStr">
        <is>
          <t>кг</t>
        </is>
      </c>
      <c r="U440" s="671" t="n">
        <v>0</v>
      </c>
      <c r="V440" s="672">
        <f>IFERROR(IF(U440="",0,CEILING((U440/$H440),1)*$H440),"")</f>
        <v/>
      </c>
      <c r="W440" s="42">
        <f>IFERROR(IF(V440=0,"",ROUNDUP(V440/H440,0)*0.02175),"")</f>
        <v/>
      </c>
      <c r="X440" s="69" t="inlineStr"/>
      <c r="Y440" s="70" t="inlineStr"/>
      <c r="AC440" s="71" t="n"/>
      <c r="AZ440" s="304" t="inlineStr">
        <is>
          <t>КИ</t>
        </is>
      </c>
    </row>
    <row r="441">
      <c r="A441" s="323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673" t="n"/>
      <c r="M441" s="674" t="inlineStr">
        <is>
          <t>Итого</t>
        </is>
      </c>
      <c r="N441" s="644" t="n"/>
      <c r="O441" s="644" t="n"/>
      <c r="P441" s="644" t="n"/>
      <c r="Q441" s="644" t="n"/>
      <c r="R441" s="644" t="n"/>
      <c r="S441" s="645" t="n"/>
      <c r="T441" s="43" t="inlineStr">
        <is>
          <t>кор</t>
        </is>
      </c>
      <c r="U441" s="675">
        <f>IFERROR(U439/H439,"0")+IFERROR(U440/H440,"0")</f>
        <v/>
      </c>
      <c r="V441" s="675">
        <f>IFERROR(V439/H439,"0")+IFERROR(V440/H440,"0")</f>
        <v/>
      </c>
      <c r="W441" s="675">
        <f>IFERROR(IF(W439="",0,W439),"0")+IFERROR(IF(W440="",0,W440),"0")</f>
        <v/>
      </c>
      <c r="X441" s="676" t="n"/>
      <c r="Y441" s="676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673" t="n"/>
      <c r="M442" s="674" t="inlineStr">
        <is>
          <t>Итого</t>
        </is>
      </c>
      <c r="N442" s="644" t="n"/>
      <c r="O442" s="644" t="n"/>
      <c r="P442" s="644" t="n"/>
      <c r="Q442" s="644" t="n"/>
      <c r="R442" s="644" t="n"/>
      <c r="S442" s="645" t="n"/>
      <c r="T442" s="43" t="inlineStr">
        <is>
          <t>кг</t>
        </is>
      </c>
      <c r="U442" s="675">
        <f>IFERROR(SUM(U439:U440),"0")</f>
        <v/>
      </c>
      <c r="V442" s="675">
        <f>IFERROR(SUM(V439:V440),"0")</f>
        <v/>
      </c>
      <c r="W442" s="43" t="n"/>
      <c r="X442" s="676" t="n"/>
      <c r="Y442" s="676" t="n"/>
    </row>
    <row r="443" ht="14.25" customHeight="1">
      <c r="A443" s="331" t="inlineStr">
        <is>
          <t>Ветчины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331" t="n"/>
      <c r="Y443" s="331" t="n"/>
    </row>
    <row r="444" ht="16.5" customHeight="1">
      <c r="A444" s="64" t="inlineStr">
        <is>
          <t>SU002806</t>
        </is>
      </c>
      <c r="B444" s="64" t="inlineStr">
        <is>
          <t>P003207</t>
        </is>
      </c>
      <c r="C444" s="37" t="n">
        <v>4301020230</v>
      </c>
      <c r="D444" s="315" t="n">
        <v>4680115881112</v>
      </c>
      <c r="E444" s="636" t="n"/>
      <c r="F444" s="668" t="n">
        <v>1.35</v>
      </c>
      <c r="G444" s="38" t="n">
        <v>8</v>
      </c>
      <c r="H444" s="668" t="n">
        <v>10.8</v>
      </c>
      <c r="I444" s="668" t="n">
        <v>11.28</v>
      </c>
      <c r="J444" s="38" t="n">
        <v>56</v>
      </c>
      <c r="K444" s="39" t="inlineStr">
        <is>
          <t>СК1</t>
        </is>
      </c>
      <c r="L444" s="38" t="n">
        <v>50</v>
      </c>
      <c r="M444" s="908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4" s="670" t="n"/>
      <c r="O444" s="670" t="n"/>
      <c r="P444" s="670" t="n"/>
      <c r="Q444" s="636" t="n"/>
      <c r="R444" s="40" t="inlineStr"/>
      <c r="S444" s="40" t="inlineStr"/>
      <c r="T444" s="41" t="inlineStr">
        <is>
          <t>кг</t>
        </is>
      </c>
      <c r="U444" s="671" t="n">
        <v>0</v>
      </c>
      <c r="V444" s="672">
        <f>IFERROR(IF(U444="",0,CEILING((U444/$H444),1)*$H444),"")</f>
        <v/>
      </c>
      <c r="W444" s="42">
        <f>IFERROR(IF(V444=0,"",ROUNDUP(V444/H444,0)*0.02175),"")</f>
        <v/>
      </c>
      <c r="X444" s="69" t="inlineStr"/>
      <c r="Y444" s="70" t="inlineStr"/>
      <c r="AC444" s="71" t="n"/>
      <c r="AZ444" s="305" t="inlineStr">
        <is>
          <t>КИ</t>
        </is>
      </c>
    </row>
    <row r="445" ht="27" customHeight="1">
      <c r="A445" s="64" t="inlineStr">
        <is>
          <t>SU002811</t>
        </is>
      </c>
      <c r="B445" s="64" t="inlineStr">
        <is>
          <t>P003208</t>
        </is>
      </c>
      <c r="C445" s="37" t="n">
        <v>4301020231</v>
      </c>
      <c r="D445" s="315" t="n">
        <v>4680115881129</v>
      </c>
      <c r="E445" s="636" t="n"/>
      <c r="F445" s="668" t="n">
        <v>1.8</v>
      </c>
      <c r="G445" s="38" t="n">
        <v>6</v>
      </c>
      <c r="H445" s="668" t="n">
        <v>10.8</v>
      </c>
      <c r="I445" s="668" t="n">
        <v>11.28</v>
      </c>
      <c r="J445" s="38" t="n">
        <v>56</v>
      </c>
      <c r="K445" s="39" t="inlineStr">
        <is>
          <t>СК1</t>
        </is>
      </c>
      <c r="L445" s="38" t="n">
        <v>50</v>
      </c>
      <c r="M445" s="909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/>
      </c>
      <c r="N445" s="670" t="n"/>
      <c r="O445" s="670" t="n"/>
      <c r="P445" s="670" t="n"/>
      <c r="Q445" s="636" t="n"/>
      <c r="R445" s="40" t="inlineStr"/>
      <c r="S445" s="40" t="inlineStr"/>
      <c r="T445" s="41" t="inlineStr">
        <is>
          <t>кг</t>
        </is>
      </c>
      <c r="U445" s="671" t="n">
        <v>0</v>
      </c>
      <c r="V445" s="672">
        <f>IFERROR(IF(U445="",0,CEILING((U445/$H445),1)*$H445),"")</f>
        <v/>
      </c>
      <c r="W445" s="42">
        <f>IFERROR(IF(V445=0,"",ROUNDUP(V445/H445,0)*0.02175),"")</f>
        <v/>
      </c>
      <c r="X445" s="69" t="inlineStr"/>
      <c r="Y445" s="70" t="inlineStr"/>
      <c r="AC445" s="71" t="n"/>
      <c r="AZ445" s="306" t="inlineStr">
        <is>
          <t>КИ</t>
        </is>
      </c>
    </row>
    <row r="446">
      <c r="A446" s="323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73" t="n"/>
      <c r="M446" s="674" t="inlineStr">
        <is>
          <t>Итого</t>
        </is>
      </c>
      <c r="N446" s="644" t="n"/>
      <c r="O446" s="644" t="n"/>
      <c r="P446" s="644" t="n"/>
      <c r="Q446" s="644" t="n"/>
      <c r="R446" s="644" t="n"/>
      <c r="S446" s="645" t="n"/>
      <c r="T446" s="43" t="inlineStr">
        <is>
          <t>кор</t>
        </is>
      </c>
      <c r="U446" s="675">
        <f>IFERROR(U444/H444,"0")+IFERROR(U445/H445,"0")</f>
        <v/>
      </c>
      <c r="V446" s="675">
        <f>IFERROR(V444/H444,"0")+IFERROR(V445/H445,"0")</f>
        <v/>
      </c>
      <c r="W446" s="675">
        <f>IFERROR(IF(W444="",0,W444),"0")+IFERROR(IF(W445="",0,W445),"0")</f>
        <v/>
      </c>
      <c r="X446" s="676" t="n"/>
      <c r="Y446" s="676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673" t="n"/>
      <c r="M447" s="674" t="inlineStr">
        <is>
          <t>Итого</t>
        </is>
      </c>
      <c r="N447" s="644" t="n"/>
      <c r="O447" s="644" t="n"/>
      <c r="P447" s="644" t="n"/>
      <c r="Q447" s="644" t="n"/>
      <c r="R447" s="644" t="n"/>
      <c r="S447" s="645" t="n"/>
      <c r="T447" s="43" t="inlineStr">
        <is>
          <t>кг</t>
        </is>
      </c>
      <c r="U447" s="675">
        <f>IFERROR(SUM(U444:U445),"0")</f>
        <v/>
      </c>
      <c r="V447" s="675">
        <f>IFERROR(SUM(V444:V445),"0")</f>
        <v/>
      </c>
      <c r="W447" s="43" t="n"/>
      <c r="X447" s="676" t="n"/>
      <c r="Y447" s="676" t="n"/>
    </row>
    <row r="448" ht="14.25" customHeight="1">
      <c r="A448" s="331" t="inlineStr">
        <is>
          <t>Копченые колбасы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331" t="n"/>
      <c r="Y448" s="331" t="n"/>
    </row>
    <row r="449" ht="27" customHeight="1">
      <c r="A449" s="64" t="inlineStr">
        <is>
          <t>SU002805</t>
        </is>
      </c>
      <c r="B449" s="64" t="inlineStr">
        <is>
          <t>P003206</t>
        </is>
      </c>
      <c r="C449" s="37" t="n">
        <v>4301031192</v>
      </c>
      <c r="D449" s="315" t="n">
        <v>4680115881167</v>
      </c>
      <c r="E449" s="636" t="n"/>
      <c r="F449" s="668" t="n">
        <v>0.73</v>
      </c>
      <c r="G449" s="38" t="n">
        <v>6</v>
      </c>
      <c r="H449" s="668" t="n">
        <v>4.38</v>
      </c>
      <c r="I449" s="668" t="n">
        <v>4.64</v>
      </c>
      <c r="J449" s="38" t="n">
        <v>156</v>
      </c>
      <c r="K449" s="39" t="inlineStr">
        <is>
          <t>СК2</t>
        </is>
      </c>
      <c r="L449" s="38" t="n">
        <v>40</v>
      </c>
      <c r="M449" s="910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49" s="670" t="n"/>
      <c r="O449" s="670" t="n"/>
      <c r="P449" s="670" t="n"/>
      <c r="Q449" s="636" t="n"/>
      <c r="R449" s="40" t="inlineStr"/>
      <c r="S449" s="40" t="inlineStr"/>
      <c r="T449" s="41" t="inlineStr">
        <is>
          <t>кг</t>
        </is>
      </c>
      <c r="U449" s="671" t="n">
        <v>0</v>
      </c>
      <c r="V449" s="672">
        <f>IFERROR(IF(U449="",0,CEILING((U449/$H449),1)*$H449),"")</f>
        <v/>
      </c>
      <c r="W449" s="42">
        <f>IFERROR(IF(V449=0,"",ROUNDUP(V449/H449,0)*0.00753),"")</f>
        <v/>
      </c>
      <c r="X449" s="69" t="inlineStr"/>
      <c r="Y449" s="70" t="inlineStr"/>
      <c r="AC449" s="71" t="n"/>
      <c r="AZ449" s="307" t="inlineStr">
        <is>
          <t>КИ</t>
        </is>
      </c>
    </row>
    <row r="450" ht="16.5" customHeight="1">
      <c r="A450" s="64" t="inlineStr">
        <is>
          <t>SU002809</t>
        </is>
      </c>
      <c r="B450" s="64" t="inlineStr">
        <is>
          <t>P003216</t>
        </is>
      </c>
      <c r="C450" s="37" t="n">
        <v>4301031193</v>
      </c>
      <c r="D450" s="315" t="n">
        <v>4680115881136</v>
      </c>
      <c r="E450" s="636" t="n"/>
      <c r="F450" s="668" t="n">
        <v>0.73</v>
      </c>
      <c r="G450" s="38" t="n">
        <v>6</v>
      </c>
      <c r="H450" s="668" t="n">
        <v>4.38</v>
      </c>
      <c r="I450" s="668" t="n">
        <v>4.64</v>
      </c>
      <c r="J450" s="38" t="n">
        <v>156</v>
      </c>
      <c r="K450" s="39" t="inlineStr">
        <is>
          <t>СК2</t>
        </is>
      </c>
      <c r="L450" s="38" t="n">
        <v>40</v>
      </c>
      <c r="M450" s="911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50" s="670" t="n"/>
      <c r="O450" s="670" t="n"/>
      <c r="P450" s="670" t="n"/>
      <c r="Q450" s="636" t="n"/>
      <c r="R450" s="40" t="inlineStr"/>
      <c r="S450" s="40" t="inlineStr"/>
      <c r="T450" s="41" t="inlineStr">
        <is>
          <t>кг</t>
        </is>
      </c>
      <c r="U450" s="671" t="n">
        <v>0</v>
      </c>
      <c r="V450" s="672">
        <f>IFERROR(IF(U450="",0,CEILING((U450/$H450),1)*$H450),"")</f>
        <v/>
      </c>
      <c r="W450" s="42">
        <f>IFERROR(IF(V450=0,"",ROUNDUP(V450/H450,0)*0.00753),"")</f>
        <v/>
      </c>
      <c r="X450" s="69" t="inlineStr"/>
      <c r="Y450" s="70" t="inlineStr"/>
      <c r="AC450" s="71" t="n"/>
      <c r="AZ450" s="308" t="inlineStr">
        <is>
          <t>КИ</t>
        </is>
      </c>
    </row>
    <row r="451">
      <c r="A451" s="323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673" t="n"/>
      <c r="M451" s="674" t="inlineStr">
        <is>
          <t>Итого</t>
        </is>
      </c>
      <c r="N451" s="644" t="n"/>
      <c r="O451" s="644" t="n"/>
      <c r="P451" s="644" t="n"/>
      <c r="Q451" s="644" t="n"/>
      <c r="R451" s="644" t="n"/>
      <c r="S451" s="645" t="n"/>
      <c r="T451" s="43" t="inlineStr">
        <is>
          <t>кор</t>
        </is>
      </c>
      <c r="U451" s="675">
        <f>IFERROR(U449/H449,"0")+IFERROR(U450/H450,"0")</f>
        <v/>
      </c>
      <c r="V451" s="675">
        <f>IFERROR(V449/H449,"0")+IFERROR(V450/H450,"0")</f>
        <v/>
      </c>
      <c r="W451" s="675">
        <f>IFERROR(IF(W449="",0,W449),"0")+IFERROR(IF(W450="",0,W450),"0")</f>
        <v/>
      </c>
      <c r="X451" s="676" t="n"/>
      <c r="Y451" s="676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673" t="n"/>
      <c r="M452" s="674" t="inlineStr">
        <is>
          <t>Итого</t>
        </is>
      </c>
      <c r="N452" s="644" t="n"/>
      <c r="O452" s="644" t="n"/>
      <c r="P452" s="644" t="n"/>
      <c r="Q452" s="644" t="n"/>
      <c r="R452" s="644" t="n"/>
      <c r="S452" s="645" t="n"/>
      <c r="T452" s="43" t="inlineStr">
        <is>
          <t>кг</t>
        </is>
      </c>
      <c r="U452" s="675">
        <f>IFERROR(SUM(U449:U450),"0")</f>
        <v/>
      </c>
      <c r="V452" s="675">
        <f>IFERROR(SUM(V449:V450),"0")</f>
        <v/>
      </c>
      <c r="W452" s="43" t="n"/>
      <c r="X452" s="676" t="n"/>
      <c r="Y452" s="676" t="n"/>
    </row>
    <row r="453" ht="14.25" customHeight="1">
      <c r="A453" s="331" t="inlineStr">
        <is>
          <t>Сосиски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331" t="n"/>
      <c r="Y453" s="331" t="n"/>
    </row>
    <row r="454" ht="27" customHeight="1">
      <c r="A454" s="64" t="inlineStr">
        <is>
          <t>SU002803</t>
        </is>
      </c>
      <c r="B454" s="64" t="inlineStr">
        <is>
          <t>P003204</t>
        </is>
      </c>
      <c r="C454" s="37" t="n">
        <v>4301051381</v>
      </c>
      <c r="D454" s="315" t="n">
        <v>4680115881068</v>
      </c>
      <c r="E454" s="636" t="n"/>
      <c r="F454" s="668" t="n">
        <v>1.3</v>
      </c>
      <c r="G454" s="38" t="n">
        <v>6</v>
      </c>
      <c r="H454" s="668" t="n">
        <v>7.8</v>
      </c>
      <c r="I454" s="668" t="n">
        <v>8.279999999999999</v>
      </c>
      <c r="J454" s="38" t="n">
        <v>56</v>
      </c>
      <c r="K454" s="39" t="inlineStr">
        <is>
          <t>СК2</t>
        </is>
      </c>
      <c r="L454" s="38" t="n">
        <v>30</v>
      </c>
      <c r="M454" s="912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4" s="670" t="n"/>
      <c r="O454" s="670" t="n"/>
      <c r="P454" s="670" t="n"/>
      <c r="Q454" s="636" t="n"/>
      <c r="R454" s="40" t="inlineStr"/>
      <c r="S454" s="40" t="inlineStr"/>
      <c r="T454" s="41" t="inlineStr">
        <is>
          <t>кг</t>
        </is>
      </c>
      <c r="U454" s="671" t="n">
        <v>0</v>
      </c>
      <c r="V454" s="672">
        <f>IFERROR(IF(U454="",0,CEILING((U454/$H454),1)*$H454),"")</f>
        <v/>
      </c>
      <c r="W454" s="42">
        <f>IFERROR(IF(V454=0,"",ROUNDUP(V454/H454,0)*0.02175),"")</f>
        <v/>
      </c>
      <c r="X454" s="69" t="inlineStr"/>
      <c r="Y454" s="70" t="inlineStr"/>
      <c r="AC454" s="71" t="n"/>
      <c r="AZ454" s="309" t="inlineStr">
        <is>
          <t>КИ</t>
        </is>
      </c>
    </row>
    <row r="455" ht="27" customHeight="1">
      <c r="A455" s="64" t="inlineStr">
        <is>
          <t>SU002804</t>
        </is>
      </c>
      <c r="B455" s="64" t="inlineStr">
        <is>
          <t>P003205</t>
        </is>
      </c>
      <c r="C455" s="37" t="n">
        <v>4301051382</v>
      </c>
      <c r="D455" s="315" t="n">
        <v>4680115881075</v>
      </c>
      <c r="E455" s="636" t="n"/>
      <c r="F455" s="668" t="n">
        <v>0.5</v>
      </c>
      <c r="G455" s="38" t="n">
        <v>6</v>
      </c>
      <c r="H455" s="668" t="n">
        <v>3</v>
      </c>
      <c r="I455" s="668" t="n">
        <v>3.2</v>
      </c>
      <c r="J455" s="38" t="n">
        <v>156</v>
      </c>
      <c r="K455" s="39" t="inlineStr">
        <is>
          <t>СК2</t>
        </is>
      </c>
      <c r="L455" s="38" t="n">
        <v>30</v>
      </c>
      <c r="M455" s="913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55" s="670" t="n"/>
      <c r="O455" s="670" t="n"/>
      <c r="P455" s="670" t="n"/>
      <c r="Q455" s="636" t="n"/>
      <c r="R455" s="40" t="inlineStr"/>
      <c r="S455" s="40" t="inlineStr"/>
      <c r="T455" s="41" t="inlineStr">
        <is>
          <t>кг</t>
        </is>
      </c>
      <c r="U455" s="671" t="n">
        <v>0</v>
      </c>
      <c r="V455" s="672">
        <f>IFERROR(IF(U455="",0,CEILING((U455/$H455),1)*$H455),"")</f>
        <v/>
      </c>
      <c r="W455" s="42">
        <f>IFERROR(IF(V455=0,"",ROUNDUP(V455/H455,0)*0.00753),"")</f>
        <v/>
      </c>
      <c r="X455" s="69" t="inlineStr"/>
      <c r="Y455" s="70" t="inlineStr"/>
      <c r="AC455" s="71" t="n"/>
      <c r="AZ455" s="310" t="inlineStr">
        <is>
          <t>КИ</t>
        </is>
      </c>
    </row>
    <row r="456">
      <c r="A456" s="323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673" t="n"/>
      <c r="M456" s="674" t="inlineStr">
        <is>
          <t>Итого</t>
        </is>
      </c>
      <c r="N456" s="644" t="n"/>
      <c r="O456" s="644" t="n"/>
      <c r="P456" s="644" t="n"/>
      <c r="Q456" s="644" t="n"/>
      <c r="R456" s="644" t="n"/>
      <c r="S456" s="645" t="n"/>
      <c r="T456" s="43" t="inlineStr">
        <is>
          <t>кор</t>
        </is>
      </c>
      <c r="U456" s="675">
        <f>IFERROR(U454/H454,"0")+IFERROR(U455/H455,"0")</f>
        <v/>
      </c>
      <c r="V456" s="675">
        <f>IFERROR(V454/H454,"0")+IFERROR(V455/H455,"0")</f>
        <v/>
      </c>
      <c r="W456" s="675">
        <f>IFERROR(IF(W454="",0,W454),"0")+IFERROR(IF(W455="",0,W455),"0")</f>
        <v/>
      </c>
      <c r="X456" s="676" t="n"/>
      <c r="Y456" s="676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673" t="n"/>
      <c r="M457" s="674" t="inlineStr">
        <is>
          <t>Итого</t>
        </is>
      </c>
      <c r="N457" s="644" t="n"/>
      <c r="O457" s="644" t="n"/>
      <c r="P457" s="644" t="n"/>
      <c r="Q457" s="644" t="n"/>
      <c r="R457" s="644" t="n"/>
      <c r="S457" s="645" t="n"/>
      <c r="T457" s="43" t="inlineStr">
        <is>
          <t>кг</t>
        </is>
      </c>
      <c r="U457" s="675">
        <f>IFERROR(SUM(U454:U455),"0")</f>
        <v/>
      </c>
      <c r="V457" s="675">
        <f>IFERROR(SUM(V454:V455),"0")</f>
        <v/>
      </c>
      <c r="W457" s="43" t="n"/>
      <c r="X457" s="676" t="n"/>
      <c r="Y457" s="676" t="n"/>
    </row>
    <row r="458" ht="16.5" customHeight="1">
      <c r="A458" s="330" t="inlineStr">
        <is>
          <t>Выгодная цена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330" t="n"/>
      <c r="Y458" s="330" t="n"/>
    </row>
    <row r="459" ht="14.25" customHeight="1">
      <c r="A459" s="331" t="inlineStr">
        <is>
          <t>Сосиски</t>
        </is>
      </c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331" t="n"/>
      <c r="Y459" s="331" t="n"/>
    </row>
    <row r="460" ht="16.5" customHeight="1">
      <c r="A460" s="64" t="inlineStr">
        <is>
          <t>SU002655</t>
        </is>
      </c>
      <c r="B460" s="64" t="inlineStr">
        <is>
          <t>P003022</t>
        </is>
      </c>
      <c r="C460" s="37" t="n">
        <v>4301051310</v>
      </c>
      <c r="D460" s="315" t="n">
        <v>4680115880870</v>
      </c>
      <c r="E460" s="636" t="n"/>
      <c r="F460" s="668" t="n">
        <v>1.3</v>
      </c>
      <c r="G460" s="38" t="n">
        <v>6</v>
      </c>
      <c r="H460" s="668" t="n">
        <v>7.8</v>
      </c>
      <c r="I460" s="668" t="n">
        <v>8.364000000000001</v>
      </c>
      <c r="J460" s="38" t="n">
        <v>56</v>
      </c>
      <c r="K460" s="39" t="inlineStr">
        <is>
          <t>СК3</t>
        </is>
      </c>
      <c r="L460" s="38" t="n">
        <v>40</v>
      </c>
      <c r="M460" s="914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60" s="670" t="n"/>
      <c r="O460" s="670" t="n"/>
      <c r="P460" s="670" t="n"/>
      <c r="Q460" s="636" t="n"/>
      <c r="R460" s="40" t="inlineStr"/>
      <c r="S460" s="40" t="inlineStr"/>
      <c r="T460" s="41" t="inlineStr">
        <is>
          <t>кг</t>
        </is>
      </c>
      <c r="U460" s="671" t="n">
        <v>0</v>
      </c>
      <c r="V460" s="672">
        <f>IFERROR(IF(U460="",0,CEILING((U460/$H460),1)*$H460),"")</f>
        <v/>
      </c>
      <c r="W460" s="42">
        <f>IFERROR(IF(V460=0,"",ROUNDUP(V460/H460,0)*0.02175),"")</f>
        <v/>
      </c>
      <c r="X460" s="69" t="inlineStr"/>
      <c r="Y460" s="70" t="inlineStr"/>
      <c r="AC460" s="71" t="n"/>
      <c r="AZ460" s="311" t="inlineStr">
        <is>
          <t>КИ</t>
        </is>
      </c>
    </row>
    <row r="461">
      <c r="A461" s="323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73" t="n"/>
      <c r="M461" s="674" t="inlineStr">
        <is>
          <t>Итого</t>
        </is>
      </c>
      <c r="N461" s="644" t="n"/>
      <c r="O461" s="644" t="n"/>
      <c r="P461" s="644" t="n"/>
      <c r="Q461" s="644" t="n"/>
      <c r="R461" s="644" t="n"/>
      <c r="S461" s="645" t="n"/>
      <c r="T461" s="43" t="inlineStr">
        <is>
          <t>кор</t>
        </is>
      </c>
      <c r="U461" s="675">
        <f>IFERROR(U460/H460,"0")</f>
        <v/>
      </c>
      <c r="V461" s="675">
        <f>IFERROR(V460/H460,"0")</f>
        <v/>
      </c>
      <c r="W461" s="675">
        <f>IFERROR(IF(W460="",0,W460),"0")</f>
        <v/>
      </c>
      <c r="X461" s="676" t="n"/>
      <c r="Y461" s="676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73" t="n"/>
      <c r="M462" s="674" t="inlineStr">
        <is>
          <t>Итого</t>
        </is>
      </c>
      <c r="N462" s="644" t="n"/>
      <c r="O462" s="644" t="n"/>
      <c r="P462" s="644" t="n"/>
      <c r="Q462" s="644" t="n"/>
      <c r="R462" s="644" t="n"/>
      <c r="S462" s="645" t="n"/>
      <c r="T462" s="43" t="inlineStr">
        <is>
          <t>кг</t>
        </is>
      </c>
      <c r="U462" s="675">
        <f>IFERROR(SUM(U460:U460),"0")</f>
        <v/>
      </c>
      <c r="V462" s="675">
        <f>IFERROR(SUM(V460:V460),"0")</f>
        <v/>
      </c>
      <c r="W462" s="43" t="n"/>
      <c r="X462" s="676" t="n"/>
      <c r="Y462" s="676" t="n"/>
    </row>
    <row r="463" ht="15" customHeight="1">
      <c r="A463" s="327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33" t="n"/>
      <c r="M463" s="915" t="inlineStr">
        <is>
          <t>ИТОГО НЕТТО</t>
        </is>
      </c>
      <c r="N463" s="627" t="n"/>
      <c r="O463" s="627" t="n"/>
      <c r="P463" s="627" t="n"/>
      <c r="Q463" s="627" t="n"/>
      <c r="R463" s="627" t="n"/>
      <c r="S463" s="628" t="n"/>
      <c r="T463" s="43" t="inlineStr">
        <is>
          <t>кг</t>
        </is>
      </c>
      <c r="U463" s="675">
        <f>IFERROR(U24+U33+U38+U42+U49+U56+U76+U86+U98+U108+U115+U123+U131+U143+U149+U154+U161+U181+U186+U205+U209+U216+U225+U232+U238+U244+U255+U260+U266+U272+U276+U280+U293+U298+U302+U306+U310+U318+U323+U330+U334+U341+U357+U364+U368+U374+U378+U384+U394+U398+U402+U416+U421+U430+U435+U442+U447+U452+U457+U462,"0")</f>
        <v/>
      </c>
      <c r="V463" s="675">
        <f>IFERROR(V24+V33+V38+V42+V49+V56+V76+V86+V98+V108+V115+V123+V131+V143+V149+V154+V161+V181+V186+V205+V209+V216+V225+V232+V238+V244+V255+V260+V266+V272+V276+V280+V293+V298+V302+V306+V310+V318+V323+V330+V334+V341+V357+V364+V368+V374+V378+V384+V394+V398+V402+V416+V421+V430+V435+V442+V447+V452+V457+V462,"0")</f>
        <v/>
      </c>
      <c r="W463" s="43" t="n"/>
      <c r="X463" s="676" t="n"/>
      <c r="Y463" s="676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633" t="n"/>
      <c r="M464" s="915" t="inlineStr">
        <is>
          <t>ИТОГО БРУТТО</t>
        </is>
      </c>
      <c r="N464" s="627" t="n"/>
      <c r="O464" s="627" t="n"/>
      <c r="P464" s="627" t="n"/>
      <c r="Q464" s="627" t="n"/>
      <c r="R464" s="627" t="n"/>
      <c r="S464" s="628" t="n"/>
      <c r="T464" s="43" t="inlineStr">
        <is>
          <t>кг</t>
        </is>
      </c>
      <c r="U464" s="675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84*I84/H84,"0")+IFERROR(U88*I88/H88,"0")+IFERROR(U89*I89/H89,"0")+IFERROR(U90*I90/H90,"0")+IFERROR(U91*I91/H91,"0")+IFERROR(U92*I92/H92,"0")+IFERROR(U93*I93/H93,"0")+IFERROR(U94*I94/H94,"0")+IFERROR(U95*I95/H95,"0")+IFERROR(U96*I96/H96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308*I308/H308,"0")+IFERROR(U313*I313/H313,"0")+IFERROR(U314*I314/H314,"0")+IFERROR(U315*I315/H315,"0")+IFERROR(U316*I316/H316,"0")+IFERROR(U320*I320/H320,"0")+IFERROR(U321*I321/H321,"0")+IFERROR(U325*I325/H325,"0")+IFERROR(U326*I326/H326,"0")+IFERROR(U327*I327/H327,"0")+IFERROR(U328*I328/H328,"0")+IFERROR(U332*I332/H332,"0")+IFERROR(U338*I338/H338,"0")+IFERROR(U339*I339/H339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359*I359/H359,"0")+IFERROR(U360*I360/H360,"0")+IFERROR(U361*I361/H361,"0")+IFERROR(U362*I362/H362,"0")+IFERROR(U366*I366/H366,"0")+IFERROR(U370*I370/H370,"0")+IFERROR(U371*I371/H371,"0")+IFERROR(U372*I372/H372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418*I418/H418,"0")+IFERROR(U419*I419/H419,"0")+IFERROR(U423*I423/H423,"0")+IFERROR(U424*I424/H424,"0")+IFERROR(U425*I425/H425,"0")+IFERROR(U426*I426/H426,"0")+IFERROR(U427*I427/H427,"0")+IFERROR(U428*I428/H428,"0")+IFERROR(U432*I432/H432,"0")+IFERROR(U433*I433/H433,"0")+IFERROR(U439*I439/H439,"0")+IFERROR(U440*I440/H440,"0")+IFERROR(U444*I444/H444,"0")+IFERROR(U445*I445/H445,"0")+IFERROR(U449*I449/H449,"0")+IFERROR(U450*I450/H450,"0")+IFERROR(U454*I454/H454,"0")+IFERROR(U455*I455/H455,"0")+IFERROR(U460*I460/H460,"0"),"0")</f>
        <v/>
      </c>
      <c r="V464" s="675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93*I93/H93,"0")+IFERROR(V94*I94/H94,"0")+IFERROR(V95*I95/H95,"0")+IFERROR(V96*I96/H96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308*I308/H308,"0")+IFERROR(V313*I313/H313,"0")+IFERROR(V314*I314/H314,"0")+IFERROR(V315*I315/H315,"0")+IFERROR(V316*I316/H316,"0")+IFERROR(V320*I320/H320,"0")+IFERROR(V321*I321/H321,"0")+IFERROR(V325*I325/H325,"0")+IFERROR(V326*I326/H326,"0")+IFERROR(V327*I327/H327,"0")+IFERROR(V328*I328/H328,"0")+IFERROR(V332*I332/H332,"0")+IFERROR(V338*I338/H338,"0")+IFERROR(V339*I339/H339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359*I359/H359,"0")+IFERROR(V360*I360/H360,"0")+IFERROR(V361*I361/H361,"0")+IFERROR(V362*I362/H362,"0")+IFERROR(V366*I366/H366,"0")+IFERROR(V370*I370/H370,"0")+IFERROR(V371*I371/H371,"0")+IFERROR(V372*I372/H372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418*I418/H418,"0")+IFERROR(V419*I419/H419,"0")+IFERROR(V423*I423/H423,"0")+IFERROR(V424*I424/H424,"0")+IFERROR(V425*I425/H425,"0")+IFERROR(V426*I426/H426,"0")+IFERROR(V427*I427/H427,"0")+IFERROR(V428*I428/H428,"0")+IFERROR(V432*I432/H432,"0")+IFERROR(V433*I433/H433,"0")+IFERROR(V439*I439/H439,"0")+IFERROR(V440*I440/H440,"0")+IFERROR(V444*I444/H444,"0")+IFERROR(V445*I445/H445,"0")+IFERROR(V449*I449/H449,"0")+IFERROR(V450*I450/H450,"0")+IFERROR(V454*I454/H454,"0")+IFERROR(V455*I455/H455,"0")+IFERROR(V460*I460/H460,"0"),"0")</f>
        <v/>
      </c>
      <c r="W464" s="43" t="n"/>
      <c r="X464" s="676" t="n"/>
      <c r="Y464" s="676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633" t="n"/>
      <c r="M465" s="915" t="inlineStr">
        <is>
          <t>Кол-во паллет</t>
        </is>
      </c>
      <c r="N465" s="627" t="n"/>
      <c r="O465" s="627" t="n"/>
      <c r="P465" s="627" t="n"/>
      <c r="Q465" s="627" t="n"/>
      <c r="R465" s="627" t="n"/>
      <c r="S465" s="628" t="n"/>
      <c r="T465" s="43" t="inlineStr">
        <is>
          <t>шт</t>
        </is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84*(U78:U84/H78:H84)),"0")+IFERROR(SUMPRODUCT(1/J88:J96*(U88:U96/H88:H96)),"0")+IFERROR(SUMPRODUCT(1/J100:J106*(U100:U106/H100:H106)),"0")+IFERROR(SUMPRODUCT(1/J110:J113*(U110:U113/H110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264*(U263:U264/H263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308:J308*(U308:U308/H308:H308)),"0")+IFERROR(SUMPRODUCT(1/J313:J316*(U313:U316/H313:H316)),"0")+IFERROR(SUMPRODUCT(1/J320:J321*(U320:U321/H320:H321)),"0")+IFERROR(SUMPRODUCT(1/J325:J328*(U325:U328/H325:H328)),"0")+IFERROR(SUMPRODUCT(1/J332:J332*(U332:U332/H332:H332)),"0")+IFERROR(SUMPRODUCT(1/J338:J339*(U338:U339/H338:H339)),"0")+IFERROR(SUMPRODUCT(1/J343:J355*(U343:U355/H343:H355)),"0")+IFERROR(SUMPRODUCT(1/J359:J362*(U359:U362/H359:H362)),"0")+IFERROR(SUMPRODUCT(1/J366:J366*(U366:U366/H366:H366)),"0")+IFERROR(SUMPRODUCT(1/J370:J372*(U370:U372/H370:H372)),"0")+IFERROR(SUMPRODUCT(1/J376:J376*(U376:U376/H376:H376)),"0")+IFERROR(SUMPRODUCT(1/J381:J382*(U381:U382/H381:H382)),"0")+IFERROR(SUMPRODUCT(1/J386:J392*(U386:U392/H386:H392)),"0")+IFERROR(SUMPRODUCT(1/J396:J396*(U396:U396/H396:H396)),"0")+IFERROR(SUMPRODUCT(1/J400:J400*(U400:U400/H400:H400)),"0")+IFERROR(SUMPRODUCT(1/J406:J414*(U406:U414/H406:H414)),"0")+IFERROR(SUMPRODUCT(1/J418:J419*(U418:U419/H418:H419)),"0")+IFERROR(SUMPRODUCT(1/J423:J428*(U423:U428/H423:H428)),"0")+IFERROR(SUMPRODUCT(1/J432:J433*(U432:U433/H432:H433)),"0")+IFERROR(SUMPRODUCT(1/J439:J440*(U439:U440/H439:H440)),"0")+IFERROR(SUMPRODUCT(1/J444:J445*(U444:U445/H444:H445)),"0")+IFERROR(SUMPRODUCT(1/J449:J450*(U449:U450/H449:H450)),"0")+IFERROR(SUMPRODUCT(1/J454:J455*(U454:U455/H454:H455)),"0")+IFERROR(SUMPRODUCT(1/J460:J460*(U460:U460/H460:H460)),"0"),0)</f>
        <v/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84*(V78:V84/H78:H84)),"0")+IFERROR(SUMPRODUCT(1/J88:J96*(V88:V96/H88:H96)),"0")+IFERROR(SUMPRODUCT(1/J100:J106*(V100:V106/H100:H106)),"0")+IFERROR(SUMPRODUCT(1/J110:J113*(V110:V113/H110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264*(V263:V264/H263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308:J308*(V308:V308/H308:H308)),"0")+IFERROR(SUMPRODUCT(1/J313:J316*(V313:V316/H313:H316)),"0")+IFERROR(SUMPRODUCT(1/J320:J321*(V320:V321/H320:H321)),"0")+IFERROR(SUMPRODUCT(1/J325:J328*(V325:V328/H325:H328)),"0")+IFERROR(SUMPRODUCT(1/J332:J332*(V332:V332/H332:H332)),"0")+IFERROR(SUMPRODUCT(1/J338:J339*(V338:V339/H338:H339)),"0")+IFERROR(SUMPRODUCT(1/J343:J355*(V343:V355/H343:H355)),"0")+IFERROR(SUMPRODUCT(1/J359:J362*(V359:V362/H359:H362)),"0")+IFERROR(SUMPRODUCT(1/J366:J366*(V366:V366/H366:H366)),"0")+IFERROR(SUMPRODUCT(1/J370:J372*(V370:V372/H370:H372)),"0")+IFERROR(SUMPRODUCT(1/J376:J376*(V376:V376/H376:H376)),"0")+IFERROR(SUMPRODUCT(1/J381:J382*(V381:V382/H381:H382)),"0")+IFERROR(SUMPRODUCT(1/J386:J392*(V386:V392/H386:H392)),"0")+IFERROR(SUMPRODUCT(1/J396:J396*(V396:V396/H396:H396)),"0")+IFERROR(SUMPRODUCT(1/J400:J400*(V400:V400/H400:H400)),"0")+IFERROR(SUMPRODUCT(1/J406:J414*(V406:V414/H406:H414)),"0")+IFERROR(SUMPRODUCT(1/J418:J419*(V418:V419/H418:H419)),"0")+IFERROR(SUMPRODUCT(1/J423:J428*(V423:V428/H423:H428)),"0")+IFERROR(SUMPRODUCT(1/J432:J433*(V432:V433/H432:H433)),"0")+IFERROR(SUMPRODUCT(1/J439:J440*(V439:V440/H439:H440)),"0")+IFERROR(SUMPRODUCT(1/J444:J445*(V444:V445/H444:H445)),"0")+IFERROR(SUMPRODUCT(1/J449:J450*(V449:V450/H449:H450)),"0")+IFERROR(SUMPRODUCT(1/J454:J455*(V454:V455/H454:H455)),"0")+IFERROR(SUMPRODUCT(1/J460:J460*(V460:V460/H460:H460)),"0"),0)</f>
        <v/>
      </c>
      <c r="W465" s="43" t="n"/>
      <c r="X465" s="676" t="n"/>
      <c r="Y465" s="676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633" t="n"/>
      <c r="M466" s="915" t="inlineStr">
        <is>
          <t>Вес брутто  с паллетами</t>
        </is>
      </c>
      <c r="N466" s="627" t="n"/>
      <c r="O466" s="627" t="n"/>
      <c r="P466" s="627" t="n"/>
      <c r="Q466" s="627" t="n"/>
      <c r="R466" s="627" t="n"/>
      <c r="S466" s="628" t="n"/>
      <c r="T466" s="43" t="inlineStr">
        <is>
          <t>кг</t>
        </is>
      </c>
      <c r="U466" s="675">
        <f>GrossWeightTotal+PalletQtyTotal*25</f>
        <v/>
      </c>
      <c r="V466" s="675">
        <f>GrossWeightTotalR+PalletQtyTotalR*25</f>
        <v/>
      </c>
      <c r="W466" s="43" t="n"/>
      <c r="X466" s="676" t="n"/>
      <c r="Y466" s="676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633" t="n"/>
      <c r="M467" s="915" t="inlineStr">
        <is>
          <t>Кол-во коробок</t>
        </is>
      </c>
      <c r="N467" s="627" t="n"/>
      <c r="O467" s="627" t="n"/>
      <c r="P467" s="627" t="n"/>
      <c r="Q467" s="627" t="n"/>
      <c r="R467" s="627" t="n"/>
      <c r="S467" s="628" t="n"/>
      <c r="T467" s="43" t="inlineStr">
        <is>
          <t>шт</t>
        </is>
      </c>
      <c r="U467" s="675">
        <f>IFERROR(U23+U32+U37+U41+U48+U55+U75+U85+U97+U107+U114+U122+U130+U142+U148+U153+U160+U180+U185+U204+U208+U215+U224+U231+U237+U243+U254+U259+U265+U271+U275+U279+U292+U297+U301+U305+U309+U317+U322+U329+U333+U340+U356+U363+U367+U373+U377+U383+U393+U397+U401+U415+U420+U429+U434+U441+U446+U451+U456+U461,"0")</f>
        <v/>
      </c>
      <c r="V467" s="675">
        <f>IFERROR(V23+V32+V37+V41+V48+V55+V75+V85+V97+V107+V114+V122+V130+V142+V148+V153+V160+V180+V185+V204+V208+V215+V224+V231+V237+V243+V254+V259+V265+V271+V275+V279+V292+V297+V301+V305+V309+V317+V322+V329+V333+V340+V356+V363+V367+V373+V377+V383+V393+V397+V401+V415+V420+V429+V434+V441+V446+V451+V456+V461,"0")</f>
        <v/>
      </c>
      <c r="W467" s="43" t="n"/>
      <c r="X467" s="676" t="n"/>
      <c r="Y467" s="676" t="n"/>
    </row>
    <row r="468" ht="14.2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633" t="n"/>
      <c r="M468" s="915" t="inlineStr">
        <is>
          <t>Объем заказа</t>
        </is>
      </c>
      <c r="N468" s="627" t="n"/>
      <c r="O468" s="627" t="n"/>
      <c r="P468" s="627" t="n"/>
      <c r="Q468" s="627" t="n"/>
      <c r="R468" s="627" t="n"/>
      <c r="S468" s="628" t="n"/>
      <c r="T468" s="46" t="inlineStr">
        <is>
          <t>м3</t>
        </is>
      </c>
      <c r="U468" s="43" t="n"/>
      <c r="V468" s="43" t="n"/>
      <c r="W468" s="43">
        <f>IFERROR(W23+W32+W37+W41+W48+W55+W75+W85+W97+W107+W114+W122+W130+W142+W148+W153+W160+W180+W185+W204+W208+W215+W224+W231+W237+W243+W254+W259+W265+W271+W275+W279+W292+W297+W301+W305+W309+W317+W322+W329+W333+W340+W356+W363+W367+W373+W377+W383+W393+W397+W401+W415+W420+W429+W434+W441+W446+W451+W456+W461,"0")</f>
        <v/>
      </c>
      <c r="X468" s="676" t="n"/>
      <c r="Y468" s="676" t="n"/>
    </row>
    <row r="469" ht="13.5" customHeight="1" thickBot="1"/>
    <row r="470" ht="27" customHeight="1" thickBot="1" thickTop="1">
      <c r="A470" s="47" t="inlineStr">
        <is>
          <t>ТОРГОВАЯ МАРКА</t>
        </is>
      </c>
      <c r="B470" s="312" t="inlineStr">
        <is>
          <t>Ядрена копоть</t>
        </is>
      </c>
      <c r="C470" s="312" t="inlineStr">
        <is>
          <t>Вязанка</t>
        </is>
      </c>
      <c r="D470" s="916" t="n"/>
      <c r="E470" s="916" t="n"/>
      <c r="F470" s="917" t="n"/>
      <c r="G470" s="312" t="inlineStr">
        <is>
          <t>Стародворье</t>
        </is>
      </c>
      <c r="H470" s="916" t="n"/>
      <c r="I470" s="916" t="n"/>
      <c r="J470" s="916" t="n"/>
      <c r="K470" s="916" t="n"/>
      <c r="L470" s="917" t="n"/>
      <c r="M470" s="312" t="inlineStr">
        <is>
          <t>Особый рецепт</t>
        </is>
      </c>
      <c r="N470" s="917" t="n"/>
      <c r="O470" s="312" t="inlineStr">
        <is>
          <t>Баварушка</t>
        </is>
      </c>
      <c r="P470" s="917" t="n"/>
      <c r="Q470" s="312" t="inlineStr">
        <is>
          <t>Дугушка</t>
        </is>
      </c>
      <c r="R470" s="312" t="inlineStr">
        <is>
          <t>Зареченские</t>
        </is>
      </c>
      <c r="S470" s="917" t="n"/>
      <c r="T470" s="1" t="n"/>
      <c r="Y470" s="61" t="n"/>
      <c r="AB470" s="1" t="n"/>
    </row>
    <row r="471" ht="14.25" customHeight="1" thickTop="1">
      <c r="A471" s="313" t="inlineStr">
        <is>
          <t>СЕРИЯ</t>
        </is>
      </c>
      <c r="B471" s="312" t="inlineStr">
        <is>
          <t>Ядрена копоть</t>
        </is>
      </c>
      <c r="C471" s="312" t="inlineStr">
        <is>
          <t>Столичная</t>
        </is>
      </c>
      <c r="D471" s="312" t="inlineStr">
        <is>
          <t>Классическая</t>
        </is>
      </c>
      <c r="E471" s="312" t="inlineStr">
        <is>
          <t>Вязанка</t>
        </is>
      </c>
      <c r="F471" s="312" t="inlineStr">
        <is>
          <t>Сливушки</t>
        </is>
      </c>
      <c r="G471" s="312" t="inlineStr">
        <is>
          <t>Золоченная в печи</t>
        </is>
      </c>
      <c r="H471" s="312" t="inlineStr">
        <is>
          <t>Мясорубская</t>
        </is>
      </c>
      <c r="I471" s="312" t="inlineStr">
        <is>
          <t>Сочинка</t>
        </is>
      </c>
      <c r="J471" s="312" t="inlineStr">
        <is>
          <t>Бордо</t>
        </is>
      </c>
      <c r="K471" s="312" t="inlineStr">
        <is>
          <t>Фирменная</t>
        </is>
      </c>
      <c r="L471" s="312" t="inlineStr">
        <is>
          <t>Бавария</t>
        </is>
      </c>
      <c r="M471" s="312" t="inlineStr">
        <is>
          <t>Особая</t>
        </is>
      </c>
      <c r="N471" s="312" t="inlineStr">
        <is>
          <t>Особая Без свинины</t>
        </is>
      </c>
      <c r="O471" s="312" t="inlineStr">
        <is>
          <t>Филейбургская</t>
        </is>
      </c>
      <c r="P471" s="312" t="inlineStr">
        <is>
          <t>Балыкбургская</t>
        </is>
      </c>
      <c r="Q471" s="312" t="inlineStr">
        <is>
          <t>Дугушка</t>
        </is>
      </c>
      <c r="R471" s="312" t="inlineStr">
        <is>
          <t>Зареченские продукты</t>
        </is>
      </c>
      <c r="S471" s="312" t="inlineStr">
        <is>
          <t>Выгодная цена</t>
        </is>
      </c>
      <c r="T471" s="1" t="n"/>
      <c r="Y471" s="61" t="n"/>
      <c r="AB471" s="1" t="n"/>
    </row>
    <row r="472" ht="13.5" customHeight="1" thickBot="1">
      <c r="A472" s="918" t="n"/>
      <c r="B472" s="919" t="n"/>
      <c r="C472" s="919" t="n"/>
      <c r="D472" s="919" t="n"/>
      <c r="E472" s="919" t="n"/>
      <c r="F472" s="919" t="n"/>
      <c r="G472" s="919" t="n"/>
      <c r="H472" s="919" t="n"/>
      <c r="I472" s="919" t="n"/>
      <c r="J472" s="919" t="n"/>
      <c r="K472" s="919" t="n"/>
      <c r="L472" s="919" t="n"/>
      <c r="M472" s="919" t="n"/>
      <c r="N472" s="919" t="n"/>
      <c r="O472" s="919" t="n"/>
      <c r="P472" s="919" t="n"/>
      <c r="Q472" s="919" t="n"/>
      <c r="R472" s="919" t="n"/>
      <c r="S472" s="919" t="n"/>
      <c r="T472" s="1" t="n"/>
      <c r="Y472" s="61" t="n"/>
      <c r="AB472" s="1" t="n"/>
    </row>
    <row r="473" ht="18" customHeight="1" thickBot="1" thickTop="1">
      <c r="A473" s="47" t="inlineStr">
        <is>
          <t>ИТОГО, кг</t>
        </is>
      </c>
      <c r="B473" s="53">
        <f>IFERROR(V22*1,"0")+IFERROR(V26*1,"0")+IFERROR(V27*1,"0")+IFERROR(V28*1,"0")+IFERROR(V29*1,"0")+IFERROR(V30*1,"0")+IFERROR(V31*1,"0")+IFERROR(V35*1,"0")+IFERROR(V36*1,"0")+IFERROR(V40*1,"0")</f>
        <v/>
      </c>
      <c r="C473" s="53">
        <f>IFERROR(V46*1,"0")+IFERROR(V47*1,"0")</f>
        <v/>
      </c>
      <c r="D473" s="53">
        <f>IFERROR(V52*1,"0")+IFERROR(V53*1,"0")+IFERROR(V54*1,"0")</f>
        <v/>
      </c>
      <c r="E473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84*1,"0")+IFERROR(V88*1,"0")+IFERROR(V89*1,"0")+IFERROR(V90*1,"0")+IFERROR(V91*1,"0")+IFERROR(V92*1,"0")+IFERROR(V93*1,"0")+IFERROR(V94*1,"0")+IFERROR(V95*1,"0")+IFERROR(V96*1,"0")+IFERROR(V100*1,"0")+IFERROR(V101*1,"0")+IFERROR(V102*1,"0")+IFERROR(V103*1,"0")+IFERROR(V104*1,"0")+IFERROR(V105*1,"0")+IFERROR(V106*1,"0")+IFERROR(V110*1,"0")+IFERROR(V111*1,"0")+IFERROR(V112*1,"0")+IFERROR(V113*1,"0")</f>
        <v/>
      </c>
      <c r="F473" s="53">
        <f>IFERROR(V118*1,"0")+IFERROR(V119*1,"0")+IFERROR(V120*1,"0")+IFERROR(V121*1,"0")</f>
        <v/>
      </c>
      <c r="G473" s="53">
        <f>IFERROR(V127*1,"0")+IFERROR(V128*1,"0")+IFERROR(V129*1,"0")</f>
        <v/>
      </c>
      <c r="H473" s="53">
        <f>IFERROR(V134*1,"0")+IFERROR(V135*1,"0")+IFERROR(V136*1,"0")+IFERROR(V137*1,"0")+IFERROR(V138*1,"0")+IFERROR(V139*1,"0")+IFERROR(V140*1,"0")+IFERROR(V141*1,"0")</f>
        <v/>
      </c>
      <c r="I473" s="53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/>
      </c>
      <c r="J473" s="53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/>
      </c>
      <c r="K473" s="53">
        <f>IFERROR(V247*1,"0")+IFERROR(V248*1,"0")+IFERROR(V249*1,"0")+IFERROR(V250*1,"0")+IFERROR(V251*1,"0")+IFERROR(V252*1,"0")+IFERROR(V253*1,"0")+IFERROR(V257*1,"0")+IFERROR(V258*1,"0")</f>
        <v/>
      </c>
      <c r="L473" s="53">
        <f>IFERROR(V263*1,"0")+IFERROR(V264*1,"0")+IFERROR(V268*1,"0")+IFERROR(V269*1,"0")+IFERROR(V270*1,"0")+IFERROR(V274*1,"0")+IFERROR(V278*1,"0")</f>
        <v/>
      </c>
      <c r="M473" s="53">
        <f>IFERROR(V284*1,"0")+IFERROR(V285*1,"0")+IFERROR(V286*1,"0")+IFERROR(V287*1,"0")+IFERROR(V288*1,"0")+IFERROR(V289*1,"0")+IFERROR(V290*1,"0")+IFERROR(V291*1,"0")+IFERROR(V295*1,"0")+IFERROR(V296*1,"0")+IFERROR(V300*1,"0")+IFERROR(V304*1,"0")+IFERROR(V308*1,"0")</f>
        <v/>
      </c>
      <c r="N473" s="53">
        <f>IFERROR(V313*1,"0")+IFERROR(V314*1,"0")+IFERROR(V315*1,"0")+IFERROR(V316*1,"0")+IFERROR(V320*1,"0")+IFERROR(V321*1,"0")+IFERROR(V325*1,"0")+IFERROR(V326*1,"0")+IFERROR(V327*1,"0")+IFERROR(V328*1,"0")+IFERROR(V332*1,"0")</f>
        <v/>
      </c>
      <c r="O473" s="53">
        <f>IFERROR(V338*1,"0")+IFERROR(V339*1,"0")+IFERROR(V343*1,"0")+IFERROR(V344*1,"0")+IFERROR(V345*1,"0")+IFERROR(V346*1,"0")+IFERROR(V347*1,"0")+IFERROR(V348*1,"0")+IFERROR(V349*1,"0")+IFERROR(V350*1,"0")+IFERROR(V351*1,"0")+IFERROR(V352*1,"0")+IFERROR(V353*1,"0")+IFERROR(V354*1,"0")+IFERROR(V355*1,"0")+IFERROR(V359*1,"0")+IFERROR(V360*1,"0")+IFERROR(V361*1,"0")+IFERROR(V362*1,"0")+IFERROR(V366*1,"0")+IFERROR(V370*1,"0")+IFERROR(V371*1,"0")+IFERROR(V372*1,"0")+IFERROR(V376*1,"0")</f>
        <v/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/>
      </c>
      <c r="Q473" s="53">
        <f>IFERROR(V406*1,"0")+IFERROR(V407*1,"0")+IFERROR(V408*1,"0")+IFERROR(V409*1,"0")+IFERROR(V410*1,"0")+IFERROR(V411*1,"0")+IFERROR(V412*1,"0")+IFERROR(V413*1,"0")+IFERROR(V414*1,"0")+IFERROR(V418*1,"0")+IFERROR(V419*1,"0")+IFERROR(V423*1,"0")+IFERROR(V424*1,"0")+IFERROR(V425*1,"0")+IFERROR(V426*1,"0")+IFERROR(V427*1,"0")+IFERROR(V428*1,"0")+IFERROR(V432*1,"0")+IFERROR(V433*1,"0")</f>
        <v/>
      </c>
      <c r="R473" s="53">
        <f>IFERROR(V439*1,"0")+IFERROR(V440*1,"0")+IFERROR(V444*1,"0")+IFERROR(V445*1,"0")+IFERROR(V449*1,"0")+IFERROR(V450*1,"0")+IFERROR(V454*1,"0")+IFERROR(V455*1,"0")</f>
        <v/>
      </c>
      <c r="S473" s="53">
        <f>IFERROR(V460*1,"0")</f>
        <v/>
      </c>
      <c r="T473" s="1" t="n"/>
      <c r="Y473" s="61" t="n"/>
      <c r="AB473" s="1" t="n"/>
    </row>
    <row r="4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UWc2QO0jrsOPWB2F45cWg==" formatRows="1" sort="0" spinCount="100000" hashValue="Z1ABVe0RDR5hISuEZcbN4REA6gkl6sQmIpiOgza2AZppeGL+XDD4QeIv3cKagleeYmeQyiaGYfz1adNb5uVKIA=="/>
  <autoFilter ref="B18:W468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84:E84"/>
    <mergeCell ref="M84:Q84"/>
    <mergeCell ref="M85:S85"/>
    <mergeCell ref="A85:L86"/>
    <mergeCell ref="M86:S86"/>
    <mergeCell ref="A87:W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M97:S97"/>
    <mergeCell ref="A97:L98"/>
    <mergeCell ref="M98:S98"/>
    <mergeCell ref="A99:W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A261:W261"/>
    <mergeCell ref="A262:W262"/>
    <mergeCell ref="D263:E263"/>
    <mergeCell ref="M263:Q263"/>
    <mergeCell ref="D264:E264"/>
    <mergeCell ref="M264:Q264"/>
    <mergeCell ref="M265:S265"/>
    <mergeCell ref="A265:L266"/>
    <mergeCell ref="M266:S266"/>
    <mergeCell ref="A267:W267"/>
    <mergeCell ref="D268:E268"/>
    <mergeCell ref="M268:Q268"/>
    <mergeCell ref="D269:E269"/>
    <mergeCell ref="M269:Q269"/>
    <mergeCell ref="D270:E270"/>
    <mergeCell ref="M270:Q270"/>
    <mergeCell ref="M271:S271"/>
    <mergeCell ref="A271:L272"/>
    <mergeCell ref="M272:S272"/>
    <mergeCell ref="A273:W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A281:W281"/>
    <mergeCell ref="A282:W282"/>
    <mergeCell ref="A283:W283"/>
    <mergeCell ref="D284:E284"/>
    <mergeCell ref="M284:Q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M297:S297"/>
    <mergeCell ref="A297:L298"/>
    <mergeCell ref="M298:S298"/>
    <mergeCell ref="A299:W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309:S309"/>
    <mergeCell ref="A309:L310"/>
    <mergeCell ref="M310:S310"/>
    <mergeCell ref="A311:W311"/>
    <mergeCell ref="A312:W312"/>
    <mergeCell ref="D313:E313"/>
    <mergeCell ref="M313:Q313"/>
    <mergeCell ref="D314:E314"/>
    <mergeCell ref="M314:Q314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D321:E321"/>
    <mergeCell ref="M321:Q321"/>
    <mergeCell ref="M322:S322"/>
    <mergeCell ref="A322:L323"/>
    <mergeCell ref="M323:S323"/>
    <mergeCell ref="A324:W324"/>
    <mergeCell ref="D325:E325"/>
    <mergeCell ref="M325:Q325"/>
    <mergeCell ref="D326:E326"/>
    <mergeCell ref="M326:Q326"/>
    <mergeCell ref="D327:E327"/>
    <mergeCell ref="M327:Q327"/>
    <mergeCell ref="D328:E328"/>
    <mergeCell ref="M328:Q328"/>
    <mergeCell ref="M329:S329"/>
    <mergeCell ref="A329:L330"/>
    <mergeCell ref="M330:S330"/>
    <mergeCell ref="A331:W331"/>
    <mergeCell ref="D332:E332"/>
    <mergeCell ref="M332:Q332"/>
    <mergeCell ref="M333:S333"/>
    <mergeCell ref="A333:L334"/>
    <mergeCell ref="M334:S334"/>
    <mergeCell ref="A335:W335"/>
    <mergeCell ref="A336:W336"/>
    <mergeCell ref="A337:W337"/>
    <mergeCell ref="D338:E338"/>
    <mergeCell ref="M338:Q338"/>
    <mergeCell ref="D339:E339"/>
    <mergeCell ref="M339:Q339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M356:S356"/>
    <mergeCell ref="A356:L357"/>
    <mergeCell ref="M357:S357"/>
    <mergeCell ref="A358:W358"/>
    <mergeCell ref="D359:E359"/>
    <mergeCell ref="M359:Q359"/>
    <mergeCell ref="D360:E360"/>
    <mergeCell ref="M360:Q360"/>
    <mergeCell ref="D361:E361"/>
    <mergeCell ref="M361:Q361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D371:E371"/>
    <mergeCell ref="M371:Q371"/>
    <mergeCell ref="D372:E372"/>
    <mergeCell ref="M372:Q372"/>
    <mergeCell ref="M373:S373"/>
    <mergeCell ref="A373:L374"/>
    <mergeCell ref="M374:S374"/>
    <mergeCell ref="A375:W375"/>
    <mergeCell ref="D376:E376"/>
    <mergeCell ref="M376:Q376"/>
    <mergeCell ref="M377:S377"/>
    <mergeCell ref="A377:L378"/>
    <mergeCell ref="M378:S378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M415:S415"/>
    <mergeCell ref="A415:L416"/>
    <mergeCell ref="M416:S416"/>
    <mergeCell ref="A417:W417"/>
    <mergeCell ref="D418:E418"/>
    <mergeCell ref="M418:Q418"/>
    <mergeCell ref="D419:E419"/>
    <mergeCell ref="M419:Q419"/>
    <mergeCell ref="M420:S420"/>
    <mergeCell ref="A420:L421"/>
    <mergeCell ref="M421:S421"/>
    <mergeCell ref="A422:W422"/>
    <mergeCell ref="D423:E423"/>
    <mergeCell ref="M423:Q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A436:W436"/>
    <mergeCell ref="A437:W437"/>
    <mergeCell ref="A438:W438"/>
    <mergeCell ref="D439:E439"/>
    <mergeCell ref="M439:Q439"/>
    <mergeCell ref="D440:E440"/>
    <mergeCell ref="M440:Q440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D454:E454"/>
    <mergeCell ref="M454:Q454"/>
    <mergeCell ref="D455:E455"/>
    <mergeCell ref="M455:Q455"/>
    <mergeCell ref="M456:S456"/>
    <mergeCell ref="A456:L457"/>
    <mergeCell ref="M457:S457"/>
    <mergeCell ref="A458:W458"/>
    <mergeCell ref="A459:W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C470:F470"/>
    <mergeCell ref="G470:L470"/>
    <mergeCell ref="M470:N470"/>
    <mergeCell ref="O470:P470"/>
    <mergeCell ref="R470:S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S471:S47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Строительный пер, д. 10А,</t>
        </is>
      </c>
      <c r="C11" s="54" t="inlineStr">
        <is>
          <t>590704_7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Краснодар г, им Вишняковой проезд, д. 1/5,</t>
        </is>
      </c>
      <c r="C12" s="54" t="inlineStr">
        <is>
          <t>590704_8</t>
        </is>
      </c>
      <c r="D12" s="54" t="inlineStr">
        <is>
          <t>7</t>
        </is>
      </c>
      <c r="E12" s="54" t="inlineStr"/>
    </row>
    <row r="13">
      <c r="B13" s="54" t="inlineStr">
        <is>
          <t>ЛП, ООО, Ростовская обл, Ростов-на-Дону г, Фермерский пер, д. 66, литер Д,</t>
        </is>
      </c>
      <c r="C13" s="54" t="inlineStr">
        <is>
          <t>590704_9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354068Российская Федерация, Краснодарский край, Сочи г, Строительный пер, д. 10А,</t>
        </is>
      </c>
      <c r="C25" s="54" t="inlineStr">
        <is>
          <t>590704_7</t>
        </is>
      </c>
      <c r="D25" s="54" t="inlineStr"/>
      <c r="E25" s="54" t="inlineStr"/>
    </row>
    <row r="27">
      <c r="B27" s="54" t="inlineStr">
        <is>
          <t>350001Российская Федерация, Краснодарский край, Краснодар г, им Вишняковой проезд, д. 1/5,</t>
        </is>
      </c>
      <c r="C27" s="54" t="inlineStr">
        <is>
          <t>590704_8</t>
        </is>
      </c>
      <c r="D27" s="54" t="inlineStr"/>
      <c r="E27" s="54" t="inlineStr"/>
    </row>
    <row r="29">
      <c r="B29" s="54" t="inlineStr">
        <is>
          <t>344055Российская Федерация, Ростовская обл, Ростов-на-Дону г, Фермерский пер, д. 66, литер Д,</t>
        </is>
      </c>
      <c r="C29" s="54" t="inlineStr">
        <is>
          <t>590704_9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iz50Cnjl97egeen3xW6s/Q==" formatRows="1" sort="0" spinCount="100000" hashValue="gBGY8YTEnzc1y3B/oZGwaYm2qLa0oz0QamHyMGFeZSnlv83ZrZucy5A+YoleRuWpQNZFUIRGZ/9l1jeyxjv7E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2023-09-01T06:13:37Z</dcterms:modified>
  <cp:lastModifiedBy>Uaer4</cp:lastModifiedBy>
</cp:coreProperties>
</file>