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15060" windowHeight="12030" tabRatio="420" firstSheet="0" activeTab="0" autoFilterDateGrouping="1"/>
  </bookViews>
  <sheets>
    <sheet xmlns:r="http://schemas.openxmlformats.org/officeDocument/2006/relationships" name="Бланк заказа" sheetId="1" state="visible" r:id="rId1"/>
    <sheet xmlns:r="http://schemas.openxmlformats.org/officeDocument/2006/relationships" name="Setting" sheetId="2" state="hidden" r:id="rId2"/>
  </sheets>
  <definedNames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заказа'!$U$461:$U$461</definedName>
    <definedName name="GrossWeightTotalR">'Бланк заказа'!$V$461:$V$461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заказа'!$U$462:$U$462</definedName>
    <definedName name="PalletQtyTotalR">'Бланк заказа'!$V$462:$V$462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заказа'!$B$190:$B$190</definedName>
    <definedName name="ProductId103">'Бланк заказа'!$B$191:$B$191</definedName>
    <definedName name="ProductId104">'Бланк заказа'!$B$192:$B$192</definedName>
    <definedName name="ProductId105">'Бланк заказа'!$B$193:$B$193</definedName>
    <definedName name="ProductId106">'Бланк заказа'!$B$194:$B$194</definedName>
    <definedName name="ProductId107">'Бланк заказа'!$B$195:$B$195</definedName>
    <definedName name="ProductId108">'Бланк заказа'!$B$196:$B$196</definedName>
    <definedName name="ProductId109">'Бланк заказа'!$B$197:$B$197</definedName>
    <definedName name="ProductId11">'Бланк заказа'!$B$46:$B$46</definedName>
    <definedName name="ProductId110">'Бланк заказа'!$B$198:$B$198</definedName>
    <definedName name="ProductId111">'Бланк заказа'!$B$199:$B$199</definedName>
    <definedName name="ProductId112">'Бланк заказа'!$B$200:$B$200</definedName>
    <definedName name="ProductId113">'Бланк заказа'!$B$201:$B$201</definedName>
    <definedName name="ProductId114">'Бланк заказа'!$B$202:$B$202</definedName>
    <definedName name="ProductId115">'Бланк заказа'!$B$203:$B$203</definedName>
    <definedName name="ProductId116">'Бланк заказа'!$B$204:$B$204</definedName>
    <definedName name="ProductId117">'Бланк заказа'!$B$208:$B$208</definedName>
    <definedName name="ProductId118">'Бланк заказа'!$B$212:$B$212</definedName>
    <definedName name="ProductId119">'Бланк заказа'!$B$213:$B$213</definedName>
    <definedName name="ProductId12">'Бланк заказа'!$B$47:$B$47</definedName>
    <definedName name="ProductId120">'Бланк заказа'!$B$214:$B$214</definedName>
    <definedName name="ProductId121">'Бланк заказа'!$B$215:$B$215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заказа'!$B$224:$B$224</definedName>
    <definedName name="ProductId128">'Бланк заказа'!$B$228:$B$228</definedName>
    <definedName name="ProductId129">'Бланк заказа'!$B$229:$B$229</definedName>
    <definedName name="ProductId13">'Бланк заказа'!$B$52:$B$52</definedName>
    <definedName name="ProductId130">'Бланк заказа'!$B$230:$B$230</definedName>
    <definedName name="ProductId131">'Бланк заказа'!$B$231:$B$231</definedName>
    <definedName name="ProductId132">'Бланк заказа'!$B$235:$B$235</definedName>
    <definedName name="ProductId133">'Бланк заказа'!$B$236:$B$236</definedName>
    <definedName name="ProductId134">'Бланк заказа'!$B$237:$B$237</definedName>
    <definedName name="ProductId135">'Бланк заказа'!$B$241:$B$241</definedName>
    <definedName name="ProductId136">'Бланк заказа'!$B$242:$B$242</definedName>
    <definedName name="ProductId137">'Бланк заказа'!$B$243:$B$243</definedName>
    <definedName name="ProductId138">'Бланк заказа'!$B$248:$B$248</definedName>
    <definedName name="ProductId139">'Бланк заказа'!$B$249:$B$249</definedName>
    <definedName name="ProductId14">'Бланк заказа'!$B$53:$B$53</definedName>
    <definedName name="ProductId140">'Бланк заказа'!$B$250:$B$250</definedName>
    <definedName name="ProductId141">'Бланк заказа'!$B$251:$B$251</definedName>
    <definedName name="ProductId142">'Бланк заказа'!$B$252:$B$252</definedName>
    <definedName name="ProductId143">'Бланк заказа'!$B$253:$B$253</definedName>
    <definedName name="ProductId144">'Бланк заказа'!$B$254:$B$254</definedName>
    <definedName name="ProductId145">'Бланк заказа'!$B$258:$B$258</definedName>
    <definedName name="ProductId146">'Бланк заказа'!$B$259:$B$259</definedName>
    <definedName name="ProductId147">'Бланк заказа'!$B$264:$B$264</definedName>
    <definedName name="ProductId148">'Бланк заказа'!$B$265:$B$265</definedName>
    <definedName name="ProductId149">'Бланк заказа'!$B$269:$B$269</definedName>
    <definedName name="ProductId15">'Бланк заказа'!$B$54:$B$54</definedName>
    <definedName name="ProductId150">'Бланк заказа'!$B$270:$B$270</definedName>
    <definedName name="ProductId151">'Бланк заказа'!$B$271:$B$271</definedName>
    <definedName name="ProductId152">'Бланк заказа'!$B$275:$B$275</definedName>
    <definedName name="ProductId153">'Бланк заказа'!$B$279:$B$279</definedName>
    <definedName name="ProductId154">'Бланк заказа'!$B$285:$B$285</definedName>
    <definedName name="ProductId155">'Бланк заказа'!$B$286:$B$286</definedName>
    <definedName name="ProductId156">'Бланк заказа'!$B$287:$B$287</definedName>
    <definedName name="ProductId157">'Бланк заказа'!$B$288:$B$288</definedName>
    <definedName name="ProductId158">'Бланк заказа'!$B$289:$B$289</definedName>
    <definedName name="ProductId159">'Бланк заказа'!$B$290:$B$290</definedName>
    <definedName name="ProductId16">'Бланк заказа'!$B$59:$B$59</definedName>
    <definedName name="ProductId160">'Бланк заказа'!$B$291:$B$291</definedName>
    <definedName name="ProductId161">'Бланк заказа'!$B$292:$B$292</definedName>
    <definedName name="ProductId162">'Бланк заказа'!$B$296:$B$296</definedName>
    <definedName name="ProductId163">'Бланк заказа'!$B$297:$B$297</definedName>
    <definedName name="ProductId164">'Бланк заказа'!$B$301:$B$301</definedName>
    <definedName name="ProductId165">'Бланк заказа'!$B$305:$B$305</definedName>
    <definedName name="ProductId166">'Бланк заказа'!$B$310:$B$310</definedName>
    <definedName name="ProductId167">'Бланк заказа'!$B$311:$B$311</definedName>
    <definedName name="ProductId168">'Бланк заказа'!$B$312:$B$312</definedName>
    <definedName name="ProductId169">'Бланк заказа'!$B$313:$B$313</definedName>
    <definedName name="ProductId17">'Бланк заказа'!$B$60:$B$60</definedName>
    <definedName name="ProductId170">'Бланк заказа'!$B$317:$B$317</definedName>
    <definedName name="ProductId171">'Бланк заказа'!$B$318:$B$318</definedName>
    <definedName name="ProductId172">'Бланк заказа'!$B$322:$B$322</definedName>
    <definedName name="ProductId173">'Бланк заказа'!$B$323:$B$323</definedName>
    <definedName name="ProductId174">'Бланк заказа'!$B$324:$B$324</definedName>
    <definedName name="ProductId175">'Бланк заказа'!$B$325:$B$325</definedName>
    <definedName name="ProductId176">'Бланк заказа'!$B$329:$B$329</definedName>
    <definedName name="ProductId177">'Бланк заказа'!$B$335:$B$335</definedName>
    <definedName name="ProductId178">'Бланк заказа'!$B$336:$B$336</definedName>
    <definedName name="ProductId179">'Бланк заказа'!$B$340:$B$340</definedName>
    <definedName name="ProductId18">'Бланк заказа'!$B$61:$B$61</definedName>
    <definedName name="ProductId180">'Бланк заказа'!$B$341:$B$341</definedName>
    <definedName name="ProductId181">'Бланк заказа'!$B$342:$B$342</definedName>
    <definedName name="ProductId182">'Бланк заказа'!$B$343:$B$343</definedName>
    <definedName name="ProductId183">'Бланк заказа'!$B$344:$B$344</definedName>
    <definedName name="ProductId184">'Бланк заказа'!$B$345:$B$345</definedName>
    <definedName name="ProductId185">'Бланк заказа'!$B$346:$B$346</definedName>
    <definedName name="ProductId186">'Бланк заказа'!$B$347:$B$347</definedName>
    <definedName name="ProductId187">'Бланк заказа'!$B$348:$B$348</definedName>
    <definedName name="ProductId188">'Бланк заказа'!$B$349:$B$349</definedName>
    <definedName name="ProductId189">'Бланк заказа'!$B$350:$B$350</definedName>
    <definedName name="ProductId19">'Бланк заказа'!$B$62:$B$62</definedName>
    <definedName name="ProductId190">'Бланк заказа'!$B$351:$B$351</definedName>
    <definedName name="ProductId191">'Бланк заказа'!$B$352:$B$352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заказа'!$B$363:$B$363</definedName>
    <definedName name="ProductId197">'Бланк заказа'!$B$367:$B$367</definedName>
    <definedName name="ProductId198">'Бланк заказа'!$B$368:$B$368</definedName>
    <definedName name="ProductId199">'Бланк заказа'!$B$369:$B$369</definedName>
    <definedName name="ProductId2">'Бланк заказа'!$B$26:$B$26</definedName>
    <definedName name="ProductId20">'Бланк заказа'!$B$63:$B$63</definedName>
    <definedName name="ProductId200">'Бланк заказа'!$B$373:$B$373</definedName>
    <definedName name="ProductId201">'Бланк заказа'!$B$378:$B$378</definedName>
    <definedName name="ProductId202">'Бланк заказа'!$B$379:$B$379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заказа'!$B$389:$B$389</definedName>
    <definedName name="ProductId21">'Бланк заказа'!$B$64:$B$64</definedName>
    <definedName name="ProductId210">'Бланк заказа'!$B$393:$B$393</definedName>
    <definedName name="ProductId211">'Бланк заказа'!$B$397:$B$397</definedName>
    <definedName name="ProductId212">'Бланк заказа'!$B$403:$B$403</definedName>
    <definedName name="ProductId213">'Бланк заказа'!$B$404:$B$404</definedName>
    <definedName name="ProductId214">'Бланк заказа'!$B$405:$B$405</definedName>
    <definedName name="ProductId215">'Бланк заказа'!$B$406:$B$406</definedName>
    <definedName name="ProductId216">'Бланк заказа'!$B$407:$B$407</definedName>
    <definedName name="ProductId217">'Бланк заказа'!$B$408:$B$408</definedName>
    <definedName name="ProductId218">'Бланк заказа'!$B$409:$B$409</definedName>
    <definedName name="ProductId219">'Бланк заказа'!$B$410:$B$410</definedName>
    <definedName name="ProductId22">'Бланк заказа'!$B$65:$B$65</definedName>
    <definedName name="ProductId220">'Бланк заказа'!$B$411:$B$411</definedName>
    <definedName name="ProductId221">'Бланк заказа'!$B$415:$B$415</definedName>
    <definedName name="ProductId222">'Бланк заказа'!$B$416:$B$416</definedName>
    <definedName name="ProductId223">'Бланк заказа'!$B$420:$B$420</definedName>
    <definedName name="ProductId224">'Бланк заказа'!$B$421:$B$421</definedName>
    <definedName name="ProductId225">'Бланк заказа'!$B$422:$B$422</definedName>
    <definedName name="ProductId226">'Бланк заказа'!$B$423:$B$423</definedName>
    <definedName name="ProductId227">'Бланк заказа'!$B$424:$B$424</definedName>
    <definedName name="ProductId228">'Бланк заказа'!$B$425:$B$425</definedName>
    <definedName name="ProductId229">'Бланк заказа'!$B$429:$B$429</definedName>
    <definedName name="ProductId23">'Бланк заказа'!$B$66:$B$66</definedName>
    <definedName name="ProductId230">'Бланк заказа'!$B$430:$B$430</definedName>
    <definedName name="ProductId231">'Бланк заказа'!$B$436:$B$436</definedName>
    <definedName name="ProductId232">'Бланк заказа'!$B$437:$B$437</definedName>
    <definedName name="ProductId233">'Бланк заказа'!$B$441:$B$441</definedName>
    <definedName name="ProductId234">'Бланк заказа'!$B$442:$B$442</definedName>
    <definedName name="ProductId235">'Бланк заказа'!$B$446:$B$446</definedName>
    <definedName name="ProductId236">'Бланк заказа'!$B$447:$B$447</definedName>
    <definedName name="ProductId237">'Бланк заказа'!$B$451:$B$451</definedName>
    <definedName name="ProductId238">'Бланк заказа'!$B$452:$B$452</definedName>
    <definedName name="ProductId239">'Бланк заказа'!$B$457:$B$457</definedName>
    <definedName name="ProductId24">'Бланк заказа'!$B$67:$B$67</definedName>
    <definedName name="ProductId25">'Бланк заказа'!$B$68:$B$68</definedName>
    <definedName name="ProductId26">'Бланк заказа'!$B$69:$B$69</definedName>
    <definedName name="ProductId27">'Бланк заказа'!$B$70:$B$70</definedName>
    <definedName name="ProductId28">'Бланк заказа'!$B$71:$B$71</definedName>
    <definedName name="ProductId29">'Бланк заказа'!$B$72:$B$72</definedName>
    <definedName name="ProductId3">'Бланк заказа'!$B$27:$B$27</definedName>
    <definedName name="ProductId30">'Бланк заказа'!$B$73:$B$73</definedName>
    <definedName name="ProductId31">'Бланк заказа'!$B$74:$B$74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заказа'!$B$95:$B$95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заказа'!$B$119:$B$119</definedName>
    <definedName name="ProductId61">'Бланк заказа'!$B$120:$B$120</definedName>
    <definedName name="ProductId62">'Бланк заказа'!$B$121:$B$121</definedName>
    <definedName name="ProductId63">'Бланк заказа'!$B$122:$B$122</definedName>
    <definedName name="ProductId64">'Бланк заказа'!$B$128:$B$128</definedName>
    <definedName name="ProductId65">'Бланк заказа'!$B$129:$B$129</definedName>
    <definedName name="ProductId66">'Бланк заказа'!$B$130:$B$130</definedName>
    <definedName name="ProductId67">'Бланк заказа'!$B$135:$B$135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заказа'!$B$138:$B$138</definedName>
    <definedName name="ProductId71">'Бланк заказа'!$B$139:$B$139</definedName>
    <definedName name="ProductId72">'Бланк заказа'!$B$140:$B$140</definedName>
    <definedName name="ProductId73">'Бланк заказа'!$B$141:$B$141</definedName>
    <definedName name="ProductId74">'Бланк заказа'!$B$142:$B$142</definedName>
    <definedName name="ProductId75">'Бланк заказа'!$B$147:$B$147</definedName>
    <definedName name="ProductId76">'Бланк заказа'!$B$148:$B$148</definedName>
    <definedName name="ProductId77">'Бланк заказа'!$B$152:$B$152</definedName>
    <definedName name="ProductId78">'Бланк заказа'!$B$153:$B$153</definedName>
    <definedName name="ProductId79">'Бланк заказа'!$B$157:$B$157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заказа'!$B$160:$B$160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заказа'!$U$184:$U$184</definedName>
    <definedName name="SalesQty101">'Бланк заказа'!$U$185:$U$185</definedName>
    <definedName name="SalesQty102">'Бланк заказа'!$U$190:$U$190</definedName>
    <definedName name="SalesQty103">'Бланк заказа'!$U$191:$U$191</definedName>
    <definedName name="SalesQty104">'Бланк заказа'!$U$192:$U$192</definedName>
    <definedName name="SalesQty105">'Бланк заказа'!$U$193:$U$193</definedName>
    <definedName name="SalesQty106">'Бланк заказа'!$U$194:$U$194</definedName>
    <definedName name="SalesQty107">'Бланк заказа'!$U$195:$U$195</definedName>
    <definedName name="SalesQty108">'Бланк заказа'!$U$196:$U$196</definedName>
    <definedName name="SalesQty109">'Бланк заказа'!$U$197:$U$197</definedName>
    <definedName name="SalesQty11">'Бланк заказа'!$U$46:$U$46</definedName>
    <definedName name="SalesQty110">'Бланк заказа'!$U$198:$U$198</definedName>
    <definedName name="SalesQty111">'Бланк заказа'!$U$199:$U$199</definedName>
    <definedName name="SalesQty112">'Бланк заказа'!$U$200:$U$200</definedName>
    <definedName name="SalesQty113">'Бланк заказа'!$U$201:$U$201</definedName>
    <definedName name="SalesQty114">'Бланк заказа'!$U$202:$U$202</definedName>
    <definedName name="SalesQty115">'Бланк заказа'!$U$203:$U$203</definedName>
    <definedName name="SalesQty116">'Бланк заказа'!$U$204:$U$204</definedName>
    <definedName name="SalesQty117">'Бланк заказа'!$U$208:$U$208</definedName>
    <definedName name="SalesQty118">'Бланк заказа'!$U$212:$U$212</definedName>
    <definedName name="SalesQty119">'Бланк заказа'!$U$213:$U$213</definedName>
    <definedName name="SalesQty12">'Бланк заказа'!$U$47:$U$47</definedName>
    <definedName name="SalesQty120">'Бланк заказа'!$U$214:$U$214</definedName>
    <definedName name="SalesQty121">'Бланк заказа'!$U$215:$U$215</definedName>
    <definedName name="SalesQty122">'Бланк заказа'!$U$219:$U$219</definedName>
    <definedName name="SalesQty123">'Бланк заказа'!$U$220:$U$220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заказа'!$U$224:$U$224</definedName>
    <definedName name="SalesQty128">'Бланк заказа'!$U$228:$U$228</definedName>
    <definedName name="SalesQty129">'Бланк заказа'!$U$229:$U$229</definedName>
    <definedName name="SalesQty13">'Бланк заказа'!$U$52:$U$52</definedName>
    <definedName name="SalesQty130">'Бланк заказа'!$U$230:$U$230</definedName>
    <definedName name="SalesQty131">'Бланк заказа'!$U$231:$U$231</definedName>
    <definedName name="SalesQty132">'Бланк заказа'!$U$235:$U$235</definedName>
    <definedName name="SalesQty133">'Бланк заказа'!$U$236:$U$236</definedName>
    <definedName name="SalesQty134">'Бланк заказа'!$U$237:$U$237</definedName>
    <definedName name="SalesQty135">'Бланк заказа'!$U$241:$U$241</definedName>
    <definedName name="SalesQty136">'Бланк заказа'!$U$242:$U$242</definedName>
    <definedName name="SalesQty137">'Бланк заказа'!$U$243:$U$243</definedName>
    <definedName name="SalesQty138">'Бланк заказа'!$U$248:$U$248</definedName>
    <definedName name="SalesQty139">'Бланк заказа'!$U$249:$U$249</definedName>
    <definedName name="SalesQty14">'Бланк заказа'!$U$53:$U$53</definedName>
    <definedName name="SalesQty140">'Бланк заказа'!$U$250:$U$250</definedName>
    <definedName name="SalesQty141">'Бланк заказа'!$U$251:$U$251</definedName>
    <definedName name="SalesQty142">'Бланк заказа'!$U$252:$U$252</definedName>
    <definedName name="SalesQty143">'Бланк заказа'!$U$253:$U$253</definedName>
    <definedName name="SalesQty144">'Бланк заказа'!$U$254:$U$254</definedName>
    <definedName name="SalesQty145">'Бланк заказа'!$U$258:$U$258</definedName>
    <definedName name="SalesQty146">'Бланк заказа'!$U$259:$U$259</definedName>
    <definedName name="SalesQty147">'Бланк заказа'!$U$264:$U$264</definedName>
    <definedName name="SalesQty148">'Бланк заказа'!$U$265:$U$265</definedName>
    <definedName name="SalesQty149">'Бланк заказа'!$U$269:$U$269</definedName>
    <definedName name="SalesQty15">'Бланк заказа'!$U$54:$U$54</definedName>
    <definedName name="SalesQty150">'Бланк заказа'!$U$270:$U$270</definedName>
    <definedName name="SalesQty151">'Бланк заказа'!$U$271:$U$271</definedName>
    <definedName name="SalesQty152">'Бланк заказа'!$U$275:$U$275</definedName>
    <definedName name="SalesQty153">'Бланк заказа'!$U$279:$U$279</definedName>
    <definedName name="SalesQty154">'Бланк заказа'!$U$285:$U$285</definedName>
    <definedName name="SalesQty155">'Бланк заказа'!$U$286:$U$286</definedName>
    <definedName name="SalesQty156">'Бланк заказа'!$U$287:$U$287</definedName>
    <definedName name="SalesQty157">'Бланк заказа'!$U$288:$U$288</definedName>
    <definedName name="SalesQty158">'Бланк заказа'!$U$289:$U$289</definedName>
    <definedName name="SalesQty159">'Бланк заказа'!$U$290:$U$290</definedName>
    <definedName name="SalesQty16">'Бланк заказа'!$U$59:$U$59</definedName>
    <definedName name="SalesQty160">'Бланк заказа'!$U$291:$U$291</definedName>
    <definedName name="SalesQty161">'Бланк заказа'!$U$292:$U$292</definedName>
    <definedName name="SalesQty162">'Бланк заказа'!$U$296:$U$296</definedName>
    <definedName name="SalesQty163">'Бланк заказа'!$U$297:$U$297</definedName>
    <definedName name="SalesQty164">'Бланк заказа'!$U$301:$U$301</definedName>
    <definedName name="SalesQty165">'Бланк заказа'!$U$305:$U$305</definedName>
    <definedName name="SalesQty166">'Бланк заказа'!$U$310:$U$310</definedName>
    <definedName name="SalesQty167">'Бланк заказа'!$U$311:$U$311</definedName>
    <definedName name="SalesQty168">'Бланк заказа'!$U$312:$U$312</definedName>
    <definedName name="SalesQty169">'Бланк заказа'!$U$313:$U$313</definedName>
    <definedName name="SalesQty17">'Бланк заказа'!$U$60:$U$60</definedName>
    <definedName name="SalesQty170">'Бланк заказа'!$U$317:$U$317</definedName>
    <definedName name="SalesQty171">'Бланк заказа'!$U$318:$U$318</definedName>
    <definedName name="SalesQty172">'Бланк заказа'!$U$322:$U$322</definedName>
    <definedName name="SalesQty173">'Бланк заказа'!$U$323:$U$323</definedName>
    <definedName name="SalesQty174">'Бланк заказа'!$U$324:$U$324</definedName>
    <definedName name="SalesQty175">'Бланк заказа'!$U$325:$U$325</definedName>
    <definedName name="SalesQty176">'Бланк заказа'!$U$329:$U$329</definedName>
    <definedName name="SalesQty177">'Бланк заказа'!$U$335:$U$335</definedName>
    <definedName name="SalesQty178">'Бланк заказа'!$U$336:$U$336</definedName>
    <definedName name="SalesQty179">'Бланк заказа'!$U$340:$U$340</definedName>
    <definedName name="SalesQty18">'Бланк заказа'!$U$61:$U$61</definedName>
    <definedName name="SalesQty180">'Бланк заказа'!$U$341:$U$341</definedName>
    <definedName name="SalesQty181">'Бланк заказа'!$U$342:$U$342</definedName>
    <definedName name="SalesQty182">'Бланк заказа'!$U$343:$U$343</definedName>
    <definedName name="SalesQty183">'Бланк заказа'!$U$344:$U$344</definedName>
    <definedName name="SalesQty184">'Бланк заказа'!$U$345:$U$345</definedName>
    <definedName name="SalesQty185">'Бланк заказа'!$U$346:$U$346</definedName>
    <definedName name="SalesQty186">'Бланк заказа'!$U$347:$U$347</definedName>
    <definedName name="SalesQty187">'Бланк заказа'!$U$348:$U$348</definedName>
    <definedName name="SalesQty188">'Бланк заказа'!$U$349:$U$349</definedName>
    <definedName name="SalesQty189">'Бланк заказа'!$U$350:$U$350</definedName>
    <definedName name="SalesQty19">'Бланк заказа'!$U$62:$U$62</definedName>
    <definedName name="SalesQty190">'Бланк заказа'!$U$351:$U$351</definedName>
    <definedName name="SalesQty191">'Бланк заказа'!$U$352:$U$352</definedName>
    <definedName name="SalesQty192">'Бланк заказа'!$U$356:$U$356</definedName>
    <definedName name="SalesQty193">'Бланк заказа'!$U$357:$U$357</definedName>
    <definedName name="SalesQty194">'Бланк заказа'!$U$358:$U$358</definedName>
    <definedName name="SalesQty195">'Бланк заказа'!$U$359:$U$359</definedName>
    <definedName name="SalesQty196">'Бланк заказа'!$U$363:$U$363</definedName>
    <definedName name="SalesQty197">'Бланк заказа'!$U$367:$U$367</definedName>
    <definedName name="SalesQty198">'Бланк заказа'!$U$368:$U$368</definedName>
    <definedName name="SalesQty199">'Бланк заказа'!$U$369:$U$369</definedName>
    <definedName name="SalesQty2">'Бланк заказа'!$U$26:$U$26</definedName>
    <definedName name="SalesQty20">'Бланк заказа'!$U$63:$U$63</definedName>
    <definedName name="SalesQty200">'Бланк заказа'!$U$373:$U$373</definedName>
    <definedName name="SalesQty201">'Бланк заказа'!$U$378:$U$378</definedName>
    <definedName name="SalesQty202">'Бланк заказа'!$U$379:$U$379</definedName>
    <definedName name="SalesQty203">'Бланк заказа'!$U$383:$U$383</definedName>
    <definedName name="SalesQty204">'Бланк заказа'!$U$384:$U$384</definedName>
    <definedName name="SalesQty205">'Бланк заказа'!$U$385:$U$385</definedName>
    <definedName name="SalesQty206">'Бланк заказа'!$U$386:$U$386</definedName>
    <definedName name="SalesQty207">'Бланк заказа'!$U$387:$U$387</definedName>
    <definedName name="SalesQty208">'Бланк заказа'!$U$388:$U$388</definedName>
    <definedName name="SalesQty209">'Бланк заказа'!$U$389:$U$389</definedName>
    <definedName name="SalesQty21">'Бланк заказа'!$U$64:$U$64</definedName>
    <definedName name="SalesQty210">'Бланк заказа'!$U$393:$U$393</definedName>
    <definedName name="SalesQty211">'Бланк заказа'!$U$397:$U$397</definedName>
    <definedName name="SalesQty212">'Бланк заказа'!$U$403:$U$403</definedName>
    <definedName name="SalesQty213">'Бланк заказа'!$U$404:$U$404</definedName>
    <definedName name="SalesQty214">'Бланк заказа'!$U$405:$U$405</definedName>
    <definedName name="SalesQty215">'Бланк заказа'!$U$406:$U$406</definedName>
    <definedName name="SalesQty216">'Бланк заказа'!$U$407:$U$407</definedName>
    <definedName name="SalesQty217">'Бланк заказа'!$U$408:$U$408</definedName>
    <definedName name="SalesQty218">'Бланк заказа'!$U$409:$U$409</definedName>
    <definedName name="SalesQty219">'Бланк заказа'!$U$410:$U$410</definedName>
    <definedName name="SalesQty22">'Бланк заказа'!$U$65:$U$65</definedName>
    <definedName name="SalesQty220">'Бланк заказа'!$U$411:$U$411</definedName>
    <definedName name="SalesQty221">'Бланк заказа'!$U$415:$U$415</definedName>
    <definedName name="SalesQty222">'Бланк заказа'!$U$416:$U$416</definedName>
    <definedName name="SalesQty223">'Бланк заказа'!$U$420:$U$420</definedName>
    <definedName name="SalesQty224">'Бланк заказа'!$U$421:$U$421</definedName>
    <definedName name="SalesQty225">'Бланк заказа'!$U$422:$U$422</definedName>
    <definedName name="SalesQty226">'Бланк заказа'!$U$423:$U$423</definedName>
    <definedName name="SalesQty227">'Бланк заказа'!$U$424:$U$424</definedName>
    <definedName name="SalesQty228">'Бланк заказа'!$U$425:$U$425</definedName>
    <definedName name="SalesQty229">'Бланк заказа'!$U$429:$U$429</definedName>
    <definedName name="SalesQty23">'Бланк заказа'!$U$66:$U$66</definedName>
    <definedName name="SalesQty230">'Бланк заказа'!$U$430:$U$430</definedName>
    <definedName name="SalesQty231">'Бланк заказа'!$U$436:$U$436</definedName>
    <definedName name="SalesQty232">'Бланк заказа'!$U$437:$U$437</definedName>
    <definedName name="SalesQty233">'Бланк заказа'!$U$441:$U$441</definedName>
    <definedName name="SalesQty234">'Бланк заказа'!$U$442:$U$442</definedName>
    <definedName name="SalesQty235">'Бланк заказа'!$U$446:$U$446</definedName>
    <definedName name="SalesQty236">'Бланк заказа'!$U$447:$U$447</definedName>
    <definedName name="SalesQty237">'Бланк заказа'!$U$451:$U$451</definedName>
    <definedName name="SalesQty238">'Бланк заказа'!$U$452:$U$452</definedName>
    <definedName name="SalesQty239">'Бланк заказа'!$U$457:$U$457</definedName>
    <definedName name="SalesQty24">'Бланк заказа'!$U$67:$U$67</definedName>
    <definedName name="SalesQty25">'Бланк заказа'!$U$68:$U$68</definedName>
    <definedName name="SalesQty26">'Бланк заказа'!$U$69:$U$69</definedName>
    <definedName name="SalesQty27">'Бланк заказа'!$U$70:$U$70</definedName>
    <definedName name="SalesQty28">'Бланк заказа'!$U$71:$U$71</definedName>
    <definedName name="SalesQty29">'Бланк заказа'!$U$72:$U$72</definedName>
    <definedName name="SalesQty3">'Бланк заказа'!$U$27:$U$27</definedName>
    <definedName name="SalesQty30">'Бланк заказа'!$U$73:$U$73</definedName>
    <definedName name="SalesQty31">'Бланк заказа'!$U$74:$U$74</definedName>
    <definedName name="SalesQty32">'Бланк заказа'!$U$78:$U$78</definedName>
    <definedName name="SalesQty33">'Бланк заказа'!$U$79:$U$79</definedName>
    <definedName name="SalesQty34">'Бланк заказа'!$U$80:$U$80</definedName>
    <definedName name="SalesQty35">'Бланк заказа'!$U$81:$U$81</definedName>
    <definedName name="SalesQty36">'Бланк заказа'!$U$82:$U$82</definedName>
    <definedName name="SalesQty37">'Бланк заказа'!$U$83:$U$83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заказа'!$U$89:$U$89</definedName>
    <definedName name="SalesQty41">'Бланк заказа'!$U$90:$U$90</definedName>
    <definedName name="SalesQty42">'Бланк заказа'!$U$91:$U$91</definedName>
    <definedName name="SalesQty43">'Бланк заказа'!$U$92:$U$92</definedName>
    <definedName name="SalesQty44">'Бланк заказа'!$U$93:$U$93</definedName>
    <definedName name="SalesQty45">'Бланк заказа'!$U$94:$U$94</definedName>
    <definedName name="SalesQty46">'Бланк заказа'!$U$95:$U$95</definedName>
    <definedName name="SalesQty47">'Бланк заказа'!$U$99:$U$99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заказа'!$U$102:$U$102</definedName>
    <definedName name="SalesQty51">'Бланк заказа'!$U$103:$U$103</definedName>
    <definedName name="SalesQty52">'Бланк заказа'!$U$104:$U$104</definedName>
    <definedName name="SalesQty53">'Бланк заказа'!$U$105:$U$105</definedName>
    <definedName name="SalesQty54">'Бланк заказа'!$U$106:$U$106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заказа'!$U$114:$U$114</definedName>
    <definedName name="SalesQty6">'Бланк заказа'!$U$30:$U$30</definedName>
    <definedName name="SalesQty60">'Бланк заказа'!$U$119:$U$119</definedName>
    <definedName name="SalesQty61">'Бланк заказа'!$U$120:$U$120</definedName>
    <definedName name="SalesQty62">'Бланк заказа'!$U$121:$U$121</definedName>
    <definedName name="SalesQty63">'Бланк заказа'!$U$122:$U$122</definedName>
    <definedName name="SalesQty64">'Бланк заказа'!$U$128:$U$128</definedName>
    <definedName name="SalesQty65">'Бланк заказа'!$U$129:$U$129</definedName>
    <definedName name="SalesQty66">'Бланк заказа'!$U$130:$U$130</definedName>
    <definedName name="SalesQty67">'Бланк заказа'!$U$135:$U$135</definedName>
    <definedName name="SalesQty68">'Бланк заказа'!$U$136:$U$136</definedName>
    <definedName name="SalesQty69">'Бланк заказа'!$U$137:$U$137</definedName>
    <definedName name="SalesQty7">'Бланк заказа'!$U$31:$U$31</definedName>
    <definedName name="SalesQty70">'Бланк заказа'!$U$138:$U$138</definedName>
    <definedName name="SalesQty71">'Бланк заказа'!$U$139:$U$139</definedName>
    <definedName name="SalesQty72">'Бланк заказа'!$U$140:$U$140</definedName>
    <definedName name="SalesQty73">'Бланк заказа'!$U$141:$U$141</definedName>
    <definedName name="SalesQty74">'Бланк заказа'!$U$142:$U$142</definedName>
    <definedName name="SalesQty75">'Бланк заказа'!$U$147:$U$147</definedName>
    <definedName name="SalesQty76">'Бланк заказа'!$U$148:$U$148</definedName>
    <definedName name="SalesQty77">'Бланк заказа'!$U$152:$U$152</definedName>
    <definedName name="SalesQty78">'Бланк заказа'!$U$153:$U$153</definedName>
    <definedName name="SalesQty79">'Бланк заказа'!$U$157:$U$157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заказа'!$U$160:$U$160</definedName>
    <definedName name="SalesQty83">'Бланк заказа'!$U$164:$U$164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заказа'!$U$169:$U$169</definedName>
    <definedName name="SalesQty89">'Бланк заказа'!$U$170:$U$170</definedName>
    <definedName name="SalesQty9">'Бланк заказа'!$U$36:$U$36</definedName>
    <definedName name="SalesQty90">'Бланк заказа'!$U$171:$U$171</definedName>
    <definedName name="SalesQty91">'Бланк заказа'!$U$172:$U$172</definedName>
    <definedName name="SalesQty92">'Бланк заказа'!$U$173:$U$173</definedName>
    <definedName name="SalesQty93">'Бланк заказа'!$U$174:$U$174</definedName>
    <definedName name="SalesQty94">'Бланк заказа'!$U$175:$U$175</definedName>
    <definedName name="SalesQty95">'Бланк заказа'!$U$176:$U$176</definedName>
    <definedName name="SalesQty96">'Бланк заказа'!$U$177:$U$177</definedName>
    <definedName name="SalesQty97">'Бланк заказа'!$U$178:$U$178</definedName>
    <definedName name="SalesQty98">'Бланк заказа'!$U$179:$U$179</definedName>
    <definedName name="SalesQty99">'Бланк заказа'!$U$180:$U$180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заказа'!$V$184:$V$184</definedName>
    <definedName name="SalesRoundBox101">'Бланк заказа'!$V$185:$V$185</definedName>
    <definedName name="SalesRoundBox102">'Бланк заказа'!$V$190:$V$190</definedName>
    <definedName name="SalesRoundBox103">'Бланк заказа'!$V$191:$V$191</definedName>
    <definedName name="SalesRoundBox104">'Бланк заказа'!$V$192:$V$192</definedName>
    <definedName name="SalesRoundBox105">'Бланк заказа'!$V$193:$V$193</definedName>
    <definedName name="SalesRoundBox106">'Бланк заказа'!$V$194:$V$194</definedName>
    <definedName name="SalesRoundBox107">'Бланк заказа'!$V$195:$V$195</definedName>
    <definedName name="SalesRoundBox108">'Бланк заказа'!$V$196:$V$196</definedName>
    <definedName name="SalesRoundBox109">'Бланк заказа'!$V$197:$V$197</definedName>
    <definedName name="SalesRoundBox11">'Бланк заказа'!$V$46:$V$46</definedName>
    <definedName name="SalesRoundBox110">'Бланк заказа'!$V$198:$V$198</definedName>
    <definedName name="SalesRoundBox111">'Бланк заказа'!$V$199:$V$199</definedName>
    <definedName name="SalesRoundBox112">'Бланк заказа'!$V$200:$V$200</definedName>
    <definedName name="SalesRoundBox113">'Бланк заказа'!$V$201:$V$201</definedName>
    <definedName name="SalesRoundBox114">'Бланк заказа'!$V$202:$V$202</definedName>
    <definedName name="SalesRoundBox115">'Бланк заказа'!$V$203:$V$203</definedName>
    <definedName name="SalesRoundBox116">'Бланк заказа'!$V$204:$V$204</definedName>
    <definedName name="SalesRoundBox117">'Бланк заказа'!$V$208:$V$208</definedName>
    <definedName name="SalesRoundBox118">'Бланк заказа'!$V$212:$V$212</definedName>
    <definedName name="SalesRoundBox119">'Бланк заказа'!$V$213:$V$213</definedName>
    <definedName name="SalesRoundBox12">'Бланк заказа'!$V$47:$V$47</definedName>
    <definedName name="SalesRoundBox120">'Бланк заказа'!$V$214:$V$214</definedName>
    <definedName name="SalesRoundBox121">'Бланк заказа'!$V$215:$V$215</definedName>
    <definedName name="SalesRoundBox122">'Бланк заказа'!$V$219:$V$219</definedName>
    <definedName name="SalesRoundBox123">'Бланк заказа'!$V$220:$V$220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заказа'!$V$224:$V$224</definedName>
    <definedName name="SalesRoundBox128">'Бланк заказа'!$V$228:$V$228</definedName>
    <definedName name="SalesRoundBox129">'Бланк заказа'!$V$229:$V$229</definedName>
    <definedName name="SalesRoundBox13">'Бланк заказа'!$V$52:$V$52</definedName>
    <definedName name="SalesRoundBox130">'Бланк заказа'!$V$230:$V$230</definedName>
    <definedName name="SalesRoundBox131">'Бланк заказа'!$V$231:$V$231</definedName>
    <definedName name="SalesRoundBox132">'Бланк заказа'!$V$235:$V$235</definedName>
    <definedName name="SalesRoundBox133">'Бланк заказа'!$V$236:$V$236</definedName>
    <definedName name="SalesRoundBox134">'Бланк заказа'!$V$237:$V$237</definedName>
    <definedName name="SalesRoundBox135">'Бланк заказа'!$V$241:$V$241</definedName>
    <definedName name="SalesRoundBox136">'Бланк заказа'!$V$242:$V$242</definedName>
    <definedName name="SalesRoundBox137">'Бланк заказа'!$V$243:$V$243</definedName>
    <definedName name="SalesRoundBox138">'Бланк заказа'!$V$248:$V$248</definedName>
    <definedName name="SalesRoundBox139">'Бланк заказа'!$V$249:$V$249</definedName>
    <definedName name="SalesRoundBox14">'Бланк заказа'!$V$53:$V$53</definedName>
    <definedName name="SalesRoundBox140">'Бланк заказа'!$V$250:$V$250</definedName>
    <definedName name="SalesRoundBox141">'Бланк заказа'!$V$251:$V$251</definedName>
    <definedName name="SalesRoundBox142">'Бланк заказа'!$V$252:$V$252</definedName>
    <definedName name="SalesRoundBox143">'Бланк заказа'!$V$253:$V$253</definedName>
    <definedName name="SalesRoundBox144">'Бланк заказа'!$V$254:$V$254</definedName>
    <definedName name="SalesRoundBox145">'Бланк заказа'!$V$258:$V$258</definedName>
    <definedName name="SalesRoundBox146">'Бланк заказа'!$V$259:$V$259</definedName>
    <definedName name="SalesRoundBox147">'Бланк заказа'!$V$264:$V$264</definedName>
    <definedName name="SalesRoundBox148">'Бланк заказа'!$V$265:$V$265</definedName>
    <definedName name="SalesRoundBox149">'Бланк заказа'!$V$269:$V$269</definedName>
    <definedName name="SalesRoundBox15">'Бланк заказа'!$V$54:$V$54</definedName>
    <definedName name="SalesRoundBox150">'Бланк заказа'!$V$270:$V$270</definedName>
    <definedName name="SalesRoundBox151">'Бланк заказа'!$V$271:$V$271</definedName>
    <definedName name="SalesRoundBox152">'Бланк заказа'!$V$275:$V$275</definedName>
    <definedName name="SalesRoundBox153">'Бланк заказа'!$V$279:$V$279</definedName>
    <definedName name="SalesRoundBox154">'Бланк заказа'!$V$285:$V$285</definedName>
    <definedName name="SalesRoundBox155">'Бланк заказа'!$V$286:$V$286</definedName>
    <definedName name="SalesRoundBox156">'Бланк заказа'!$V$287:$V$287</definedName>
    <definedName name="SalesRoundBox157">'Бланк заказа'!$V$288:$V$288</definedName>
    <definedName name="SalesRoundBox158">'Бланк заказа'!$V$289:$V$289</definedName>
    <definedName name="SalesRoundBox159">'Бланк заказа'!$V$290:$V$290</definedName>
    <definedName name="SalesRoundBox16">'Бланк заказа'!$V$59:$V$59</definedName>
    <definedName name="SalesRoundBox160">'Бланк заказа'!$V$291:$V$291</definedName>
    <definedName name="SalesRoundBox161">'Бланк заказа'!$V$292:$V$292</definedName>
    <definedName name="SalesRoundBox162">'Бланк заказа'!$V$296:$V$296</definedName>
    <definedName name="SalesRoundBox163">'Бланк заказа'!$V$297:$V$297</definedName>
    <definedName name="SalesRoundBox164">'Бланк заказа'!$V$301:$V$301</definedName>
    <definedName name="SalesRoundBox165">'Бланк заказа'!$V$305:$V$305</definedName>
    <definedName name="SalesRoundBox166">'Бланк заказа'!$V$310:$V$310</definedName>
    <definedName name="SalesRoundBox167">'Бланк заказа'!$V$311:$V$311</definedName>
    <definedName name="SalesRoundBox168">'Бланк заказа'!$V$312:$V$312</definedName>
    <definedName name="SalesRoundBox169">'Бланк заказа'!$V$313:$V$313</definedName>
    <definedName name="SalesRoundBox17">'Бланк заказа'!$V$60:$V$60</definedName>
    <definedName name="SalesRoundBox170">'Бланк заказа'!$V$317:$V$317</definedName>
    <definedName name="SalesRoundBox171">'Бланк заказа'!$V$318:$V$318</definedName>
    <definedName name="SalesRoundBox172">'Бланк заказа'!$V$322:$V$322</definedName>
    <definedName name="SalesRoundBox173">'Бланк заказа'!$V$323:$V$323</definedName>
    <definedName name="SalesRoundBox174">'Бланк заказа'!$V$324:$V$324</definedName>
    <definedName name="SalesRoundBox175">'Бланк заказа'!$V$325:$V$325</definedName>
    <definedName name="SalesRoundBox176">'Бланк заказа'!$V$329:$V$329</definedName>
    <definedName name="SalesRoundBox177">'Бланк заказа'!$V$335:$V$335</definedName>
    <definedName name="SalesRoundBox178">'Бланк заказа'!$V$336:$V$336</definedName>
    <definedName name="SalesRoundBox179">'Бланк заказа'!$V$340:$V$340</definedName>
    <definedName name="SalesRoundBox18">'Бланк заказа'!$V$61:$V$61</definedName>
    <definedName name="SalesRoundBox180">'Бланк заказа'!$V$341:$V$341</definedName>
    <definedName name="SalesRoundBox181">'Бланк заказа'!$V$342:$V$342</definedName>
    <definedName name="SalesRoundBox182">'Бланк заказа'!$V$343:$V$343</definedName>
    <definedName name="SalesRoundBox183">'Бланк заказа'!$V$344:$V$344</definedName>
    <definedName name="SalesRoundBox184">'Бланк заказа'!$V$345:$V$345</definedName>
    <definedName name="SalesRoundBox185">'Бланк заказа'!$V$346:$V$346</definedName>
    <definedName name="SalesRoundBox186">'Бланк заказа'!$V$347:$V$347</definedName>
    <definedName name="SalesRoundBox187">'Бланк заказа'!$V$348:$V$348</definedName>
    <definedName name="SalesRoundBox188">'Бланк заказа'!$V$349:$V$349</definedName>
    <definedName name="SalesRoundBox189">'Бланк заказа'!$V$350:$V$350</definedName>
    <definedName name="SalesRoundBox19">'Бланк заказа'!$V$62:$V$62</definedName>
    <definedName name="SalesRoundBox190">'Бланк заказа'!$V$351:$V$351</definedName>
    <definedName name="SalesRoundBox191">'Бланк заказа'!$V$352:$V$352</definedName>
    <definedName name="SalesRoundBox192">'Бланк заказа'!$V$356:$V$356</definedName>
    <definedName name="SalesRoundBox193">'Бланк заказа'!$V$357:$V$357</definedName>
    <definedName name="SalesRoundBox194">'Бланк заказа'!$V$358:$V$358</definedName>
    <definedName name="SalesRoundBox195">'Бланк заказа'!$V$359:$V$359</definedName>
    <definedName name="SalesRoundBox196">'Бланк заказа'!$V$363:$V$363</definedName>
    <definedName name="SalesRoundBox197">'Бланк заказа'!$V$367:$V$367</definedName>
    <definedName name="SalesRoundBox198">'Бланк заказа'!$V$368:$V$368</definedName>
    <definedName name="SalesRoundBox199">'Бланк заказа'!$V$369:$V$369</definedName>
    <definedName name="SalesRoundBox2">'Бланк заказа'!$V$26:$V$26</definedName>
    <definedName name="SalesRoundBox20">'Бланк заказа'!$V$63:$V$63</definedName>
    <definedName name="SalesRoundBox200">'Бланк заказа'!$V$373:$V$373</definedName>
    <definedName name="SalesRoundBox201">'Бланк заказа'!$V$378:$V$378</definedName>
    <definedName name="SalesRoundBox202">'Бланк заказа'!$V$379:$V$379</definedName>
    <definedName name="SalesRoundBox203">'Бланк заказа'!$V$383:$V$383</definedName>
    <definedName name="SalesRoundBox204">'Бланк заказа'!$V$384:$V$384</definedName>
    <definedName name="SalesRoundBox205">'Бланк заказа'!$V$385:$V$385</definedName>
    <definedName name="SalesRoundBox206">'Бланк заказа'!$V$386:$V$386</definedName>
    <definedName name="SalesRoundBox207">'Бланк заказа'!$V$387:$V$387</definedName>
    <definedName name="SalesRoundBox208">'Бланк заказа'!$V$388:$V$388</definedName>
    <definedName name="SalesRoundBox209">'Бланк заказа'!$V$389:$V$389</definedName>
    <definedName name="SalesRoundBox21">'Бланк заказа'!$V$64:$V$64</definedName>
    <definedName name="SalesRoundBox210">'Бланк заказа'!$V$393:$V$393</definedName>
    <definedName name="SalesRoundBox211">'Бланк заказа'!$V$397:$V$397</definedName>
    <definedName name="SalesRoundBox212">'Бланк заказа'!$V$403:$V$403</definedName>
    <definedName name="SalesRoundBox213">'Бланк заказа'!$V$404:$V$404</definedName>
    <definedName name="SalesRoundBox214">'Бланк заказа'!$V$405:$V$405</definedName>
    <definedName name="SalesRoundBox215">'Бланк заказа'!$V$406:$V$406</definedName>
    <definedName name="SalesRoundBox216">'Бланк заказа'!$V$407:$V$407</definedName>
    <definedName name="SalesRoundBox217">'Бланк заказа'!$V$408:$V$408</definedName>
    <definedName name="SalesRoundBox218">'Бланк заказа'!$V$409:$V$409</definedName>
    <definedName name="SalesRoundBox219">'Бланк заказа'!$V$410:$V$410</definedName>
    <definedName name="SalesRoundBox22">'Бланк заказа'!$V$65:$V$65</definedName>
    <definedName name="SalesRoundBox220">'Бланк заказа'!$V$411:$V$411</definedName>
    <definedName name="SalesRoundBox221">'Бланк заказа'!$V$415:$V$415</definedName>
    <definedName name="SalesRoundBox222">'Бланк заказа'!$V$416:$V$416</definedName>
    <definedName name="SalesRoundBox223">'Бланк заказа'!$V$420:$V$420</definedName>
    <definedName name="SalesRoundBox224">'Бланк заказа'!$V$421:$V$421</definedName>
    <definedName name="SalesRoundBox225">'Бланк заказа'!$V$422:$V$422</definedName>
    <definedName name="SalesRoundBox226">'Бланк заказа'!$V$423:$V$423</definedName>
    <definedName name="SalesRoundBox227">'Бланк заказа'!$V$424:$V$424</definedName>
    <definedName name="SalesRoundBox228">'Бланк заказа'!$V$425:$V$425</definedName>
    <definedName name="SalesRoundBox229">'Бланк заказа'!$V$429:$V$429</definedName>
    <definedName name="SalesRoundBox23">'Бланк заказа'!$V$66:$V$66</definedName>
    <definedName name="SalesRoundBox230">'Бланк заказа'!$V$430:$V$430</definedName>
    <definedName name="SalesRoundBox231">'Бланк заказа'!$V$436:$V$436</definedName>
    <definedName name="SalesRoundBox232">'Бланк заказа'!$V$437:$V$437</definedName>
    <definedName name="SalesRoundBox233">'Бланк заказа'!$V$441:$V$441</definedName>
    <definedName name="SalesRoundBox234">'Бланк заказа'!$V$442:$V$442</definedName>
    <definedName name="SalesRoundBox235">'Бланк заказа'!$V$446:$V$446</definedName>
    <definedName name="SalesRoundBox236">'Бланк заказа'!$V$447:$V$447</definedName>
    <definedName name="SalesRoundBox237">'Бланк заказа'!$V$451:$V$451</definedName>
    <definedName name="SalesRoundBox238">'Бланк заказа'!$V$452:$V$452</definedName>
    <definedName name="SalesRoundBox239">'Бланк заказа'!$V$457:$V$457</definedName>
    <definedName name="SalesRoundBox24">'Бланк заказа'!$V$67:$V$67</definedName>
    <definedName name="SalesRoundBox25">'Бланк заказа'!$V$68:$V$68</definedName>
    <definedName name="SalesRoundBox26">'Бланк заказа'!$V$69:$V$69</definedName>
    <definedName name="SalesRoundBox27">'Бланк заказа'!$V$70:$V$70</definedName>
    <definedName name="SalesRoundBox28">'Бланк заказа'!$V$71:$V$71</definedName>
    <definedName name="SalesRoundBox29">'Бланк заказа'!$V$72:$V$72</definedName>
    <definedName name="SalesRoundBox3">'Бланк заказа'!$V$27:$V$27</definedName>
    <definedName name="SalesRoundBox30">'Бланк заказа'!$V$73:$V$73</definedName>
    <definedName name="SalesRoundBox31">'Бланк заказа'!$V$74:$V$74</definedName>
    <definedName name="SalesRoundBox32">'Бланк заказа'!$V$78:$V$78</definedName>
    <definedName name="SalesRoundBox33">'Бланк заказа'!$V$79:$V$79</definedName>
    <definedName name="SalesRoundBox34">'Бланк заказа'!$V$80:$V$80</definedName>
    <definedName name="SalesRoundBox35">'Бланк заказа'!$V$81:$V$81</definedName>
    <definedName name="SalesRoundBox36">'Бланк заказа'!$V$82:$V$82</definedName>
    <definedName name="SalesRoundBox37">'Бланк заказа'!$V$83:$V$83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заказа'!$V$89:$V$89</definedName>
    <definedName name="SalesRoundBox41">'Бланк заказа'!$V$90:$V$90</definedName>
    <definedName name="SalesRoundBox42">'Бланк заказа'!$V$91:$V$91</definedName>
    <definedName name="SalesRoundBox43">'Бланк заказа'!$V$92:$V$92</definedName>
    <definedName name="SalesRoundBox44">'Бланк заказа'!$V$93:$V$93</definedName>
    <definedName name="SalesRoundBox45">'Бланк заказа'!$V$94:$V$94</definedName>
    <definedName name="SalesRoundBox46">'Бланк заказа'!$V$95:$V$95</definedName>
    <definedName name="SalesRoundBox47">'Бланк заказа'!$V$99:$V$99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заказа'!$V$102:$V$102</definedName>
    <definedName name="SalesRoundBox51">'Бланк заказа'!$V$103:$V$103</definedName>
    <definedName name="SalesRoundBox52">'Бланк заказа'!$V$104:$V$104</definedName>
    <definedName name="SalesRoundBox53">'Бланк заказа'!$V$105:$V$105</definedName>
    <definedName name="SalesRoundBox54">'Бланк заказа'!$V$106:$V$106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заказа'!$V$114:$V$114</definedName>
    <definedName name="SalesRoundBox6">'Бланк заказа'!$V$30:$V$30</definedName>
    <definedName name="SalesRoundBox60">'Бланк заказа'!$V$119:$V$119</definedName>
    <definedName name="SalesRoundBox61">'Бланк заказа'!$V$120:$V$120</definedName>
    <definedName name="SalesRoundBox62">'Бланк заказа'!$V$121:$V$121</definedName>
    <definedName name="SalesRoundBox63">'Бланк заказа'!$V$122:$V$122</definedName>
    <definedName name="SalesRoundBox64">'Бланк заказа'!$V$128:$V$128</definedName>
    <definedName name="SalesRoundBox65">'Бланк заказа'!$V$129:$V$129</definedName>
    <definedName name="SalesRoundBox66">'Бланк заказа'!$V$130:$V$130</definedName>
    <definedName name="SalesRoundBox67">'Бланк заказа'!$V$135:$V$135</definedName>
    <definedName name="SalesRoundBox68">'Бланк заказа'!$V$136:$V$136</definedName>
    <definedName name="SalesRoundBox69">'Бланк заказа'!$V$137:$V$137</definedName>
    <definedName name="SalesRoundBox7">'Бланк заказа'!$V$31:$V$31</definedName>
    <definedName name="SalesRoundBox70">'Бланк заказа'!$V$138:$V$138</definedName>
    <definedName name="SalesRoundBox71">'Бланк заказа'!$V$139:$V$139</definedName>
    <definedName name="SalesRoundBox72">'Бланк заказа'!$V$140:$V$140</definedName>
    <definedName name="SalesRoundBox73">'Бланк заказа'!$V$141:$V$141</definedName>
    <definedName name="SalesRoundBox74">'Бланк заказа'!$V$142:$V$142</definedName>
    <definedName name="SalesRoundBox75">'Бланк заказа'!$V$147:$V$147</definedName>
    <definedName name="SalesRoundBox76">'Бланк заказа'!$V$148:$V$148</definedName>
    <definedName name="SalesRoundBox77">'Бланк заказа'!$V$152:$V$152</definedName>
    <definedName name="SalesRoundBox78">'Бланк заказа'!$V$153:$V$153</definedName>
    <definedName name="SalesRoundBox79">'Бланк заказа'!$V$157:$V$157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заказа'!$V$160:$V$160</definedName>
    <definedName name="SalesRoundBox83">'Бланк заказа'!$V$164:$V$164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заказа'!$V$169:$V$169</definedName>
    <definedName name="SalesRoundBox89">'Бланк заказа'!$V$170:$V$170</definedName>
    <definedName name="SalesRoundBox9">'Бланк заказа'!$V$36:$V$36</definedName>
    <definedName name="SalesRoundBox90">'Бланк заказа'!$V$171:$V$171</definedName>
    <definedName name="SalesRoundBox91">'Бланк заказа'!$V$172:$V$172</definedName>
    <definedName name="SalesRoundBox92">'Бланк заказа'!$V$173:$V$173</definedName>
    <definedName name="SalesRoundBox93">'Бланк заказа'!$V$174:$V$174</definedName>
    <definedName name="SalesRoundBox94">'Бланк заказа'!$V$175:$V$175</definedName>
    <definedName name="SalesRoundBox95">'Бланк заказа'!$V$176:$V$176</definedName>
    <definedName name="SalesRoundBox96">'Бланк заказа'!$V$177:$V$177</definedName>
    <definedName name="SalesRoundBox97">'Бланк заказа'!$V$178:$V$178</definedName>
    <definedName name="SalesRoundBox98">'Бланк заказа'!$V$179:$V$179</definedName>
    <definedName name="SalesRoundBox99">'Бланк заказа'!$V$180:$V$180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заказа'!$T$184:$T$184</definedName>
    <definedName name="UnitOfMeasure101">'Бланк заказа'!$T$185:$T$185</definedName>
    <definedName name="UnitOfMeasure102">'Бланк заказа'!$T$190:$T$190</definedName>
    <definedName name="UnitOfMeasure103">'Бланк заказа'!$T$191:$T$191</definedName>
    <definedName name="UnitOfMeasure104">'Бланк заказа'!$T$192:$T$192</definedName>
    <definedName name="UnitOfMeasure105">'Бланк заказа'!$T$193:$T$193</definedName>
    <definedName name="UnitOfMeasure106">'Бланк заказа'!$T$194:$T$194</definedName>
    <definedName name="UnitOfMeasure107">'Бланк заказа'!$T$195:$T$195</definedName>
    <definedName name="UnitOfMeasure108">'Бланк заказа'!$T$196:$T$196</definedName>
    <definedName name="UnitOfMeasure109">'Бланк заказа'!$T$197:$T$197</definedName>
    <definedName name="UnitOfMeasure11">'Бланк заказа'!$T$46:$T$46</definedName>
    <definedName name="UnitOfMeasure110">'Бланк заказа'!$T$198:$T$198</definedName>
    <definedName name="UnitOfMeasure111">'Бланк заказа'!$T$199:$T$199</definedName>
    <definedName name="UnitOfMeasure112">'Бланк заказа'!$T$200:$T$200</definedName>
    <definedName name="UnitOfMeasure113">'Бланк заказа'!$T$201:$T$201</definedName>
    <definedName name="UnitOfMeasure114">'Бланк заказа'!$T$202:$T$202</definedName>
    <definedName name="UnitOfMeasure115">'Бланк заказа'!$T$203:$T$203</definedName>
    <definedName name="UnitOfMeasure116">'Бланк заказа'!$T$204:$T$204</definedName>
    <definedName name="UnitOfMeasure117">'Бланк заказа'!$T$208:$T$208</definedName>
    <definedName name="UnitOfMeasure118">'Бланк заказа'!$T$212:$T$212</definedName>
    <definedName name="UnitOfMeasure119">'Бланк заказа'!$T$213:$T$213</definedName>
    <definedName name="UnitOfMeasure12">'Бланк заказа'!$T$47:$T$47</definedName>
    <definedName name="UnitOfMeasure120">'Бланк заказа'!$T$214:$T$214</definedName>
    <definedName name="UnitOfMeasure121">'Бланк заказа'!$T$215:$T$215</definedName>
    <definedName name="UnitOfMeasure122">'Бланк заказа'!$T$219:$T$219</definedName>
    <definedName name="UnitOfMeasure123">'Бланк заказа'!$T$220:$T$220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заказа'!$T$224:$T$224</definedName>
    <definedName name="UnitOfMeasure128">'Бланк заказа'!$T$228:$T$228</definedName>
    <definedName name="UnitOfMeasure129">'Бланк заказа'!$T$229:$T$229</definedName>
    <definedName name="UnitOfMeasure13">'Бланк заказа'!$T$52:$T$52</definedName>
    <definedName name="UnitOfMeasure130">'Бланк заказа'!$T$230:$T$230</definedName>
    <definedName name="UnitOfMeasure131">'Бланк заказа'!$T$231:$T$231</definedName>
    <definedName name="UnitOfMeasure132">'Бланк заказа'!$T$235:$T$235</definedName>
    <definedName name="UnitOfMeasure133">'Бланк заказа'!$T$236:$T$236</definedName>
    <definedName name="UnitOfMeasure134">'Бланк заказа'!$T$237:$T$237</definedName>
    <definedName name="UnitOfMeasure135">'Бланк заказа'!$T$241:$T$241</definedName>
    <definedName name="UnitOfMeasure136">'Бланк заказа'!$T$242:$T$242</definedName>
    <definedName name="UnitOfMeasure137">'Бланк заказа'!$T$243:$T$243</definedName>
    <definedName name="UnitOfMeasure138">'Бланк заказа'!$T$248:$T$248</definedName>
    <definedName name="UnitOfMeasure139">'Бланк заказа'!$T$249:$T$249</definedName>
    <definedName name="UnitOfMeasure14">'Бланк заказа'!$T$53:$T$53</definedName>
    <definedName name="UnitOfMeasure140">'Бланк заказа'!$T$250:$T$250</definedName>
    <definedName name="UnitOfMeasure141">'Бланк заказа'!$T$251:$T$251</definedName>
    <definedName name="UnitOfMeasure142">'Бланк заказа'!$T$252:$T$252</definedName>
    <definedName name="UnitOfMeasure143">'Бланк заказа'!$T$253:$T$253</definedName>
    <definedName name="UnitOfMeasure144">'Бланк заказа'!$T$254:$T$254</definedName>
    <definedName name="UnitOfMeasure145">'Бланк заказа'!$T$258:$T$258</definedName>
    <definedName name="UnitOfMeasure146">'Бланк заказа'!$T$259:$T$259</definedName>
    <definedName name="UnitOfMeasure147">'Бланк заказа'!$T$264:$T$264</definedName>
    <definedName name="UnitOfMeasure148">'Бланк заказа'!$T$265:$T$265</definedName>
    <definedName name="UnitOfMeasure149">'Бланк заказа'!$T$269:$T$269</definedName>
    <definedName name="UnitOfMeasure15">'Бланк заказа'!$T$54:$T$54</definedName>
    <definedName name="UnitOfMeasure150">'Бланк заказа'!$T$270:$T$270</definedName>
    <definedName name="UnitOfMeasure151">'Бланк заказа'!$T$271:$T$271</definedName>
    <definedName name="UnitOfMeasure152">'Бланк заказа'!$T$275:$T$275</definedName>
    <definedName name="UnitOfMeasure153">'Бланк заказа'!$T$279:$T$279</definedName>
    <definedName name="UnitOfMeasure154">'Бланк заказа'!$T$285:$T$285</definedName>
    <definedName name="UnitOfMeasure155">'Бланк заказа'!$T$286:$T$286</definedName>
    <definedName name="UnitOfMeasure156">'Бланк заказа'!$T$287:$T$287</definedName>
    <definedName name="UnitOfMeasure157">'Бланк заказа'!$T$288:$T$288</definedName>
    <definedName name="UnitOfMeasure158">'Бланк заказа'!$T$289:$T$289</definedName>
    <definedName name="UnitOfMeasure159">'Бланк заказа'!$T$290:$T$290</definedName>
    <definedName name="UnitOfMeasure16">'Бланк заказа'!$T$59:$T$59</definedName>
    <definedName name="UnitOfMeasure160">'Бланк заказа'!$T$291:$T$291</definedName>
    <definedName name="UnitOfMeasure161">'Бланк заказа'!$T$292:$T$292</definedName>
    <definedName name="UnitOfMeasure162">'Бланк заказа'!$T$296:$T$296</definedName>
    <definedName name="UnitOfMeasure163">'Бланк заказа'!$T$297:$T$297</definedName>
    <definedName name="UnitOfMeasure164">'Бланк заказа'!$T$301:$T$301</definedName>
    <definedName name="UnitOfMeasure165">'Бланк заказа'!$T$305:$T$305</definedName>
    <definedName name="UnitOfMeasure166">'Бланк заказа'!$T$310:$T$310</definedName>
    <definedName name="UnitOfMeasure167">'Бланк заказа'!$T$311:$T$311</definedName>
    <definedName name="UnitOfMeasure168">'Бланк заказа'!$T$312:$T$312</definedName>
    <definedName name="UnitOfMeasure169">'Бланк заказа'!$T$313:$T$313</definedName>
    <definedName name="UnitOfMeasure17">'Бланк заказа'!$T$60:$T$60</definedName>
    <definedName name="UnitOfMeasure170">'Бланк заказа'!$T$317:$T$317</definedName>
    <definedName name="UnitOfMeasure171">'Бланк заказа'!$T$318:$T$318</definedName>
    <definedName name="UnitOfMeasure172">'Бланк заказа'!$T$322:$T$322</definedName>
    <definedName name="UnitOfMeasure173">'Бланк заказа'!$T$323:$T$323</definedName>
    <definedName name="UnitOfMeasure174">'Бланк заказа'!$T$324:$T$324</definedName>
    <definedName name="UnitOfMeasure175">'Бланк заказа'!$T$325:$T$325</definedName>
    <definedName name="UnitOfMeasure176">'Бланк заказа'!$T$329:$T$329</definedName>
    <definedName name="UnitOfMeasure177">'Бланк заказа'!$T$335:$T$335</definedName>
    <definedName name="UnitOfMeasure178">'Бланк заказа'!$T$336:$T$336</definedName>
    <definedName name="UnitOfMeasure179">'Бланк заказа'!$T$340:$T$340</definedName>
    <definedName name="UnitOfMeasure18">'Бланк заказа'!$T$61:$T$61</definedName>
    <definedName name="UnitOfMeasure180">'Бланк заказа'!$T$341:$T$341</definedName>
    <definedName name="UnitOfMeasure181">'Бланк заказа'!$T$342:$T$342</definedName>
    <definedName name="UnitOfMeasure182">'Бланк заказа'!$T$343:$T$343</definedName>
    <definedName name="UnitOfMeasure183">'Бланк заказа'!$T$344:$T$344</definedName>
    <definedName name="UnitOfMeasure184">'Бланк заказа'!$T$345:$T$345</definedName>
    <definedName name="UnitOfMeasure185">'Бланк заказа'!$T$346:$T$346</definedName>
    <definedName name="UnitOfMeasure186">'Бланк заказа'!$T$347:$T$347</definedName>
    <definedName name="UnitOfMeasure187">'Бланк заказа'!$T$348:$T$348</definedName>
    <definedName name="UnitOfMeasure188">'Бланк заказа'!$T$349:$T$349</definedName>
    <definedName name="UnitOfMeasure189">'Бланк заказа'!$T$350:$T$350</definedName>
    <definedName name="UnitOfMeasure19">'Бланк заказа'!$T$62:$T$62</definedName>
    <definedName name="UnitOfMeasure190">'Бланк заказа'!$T$351:$T$351</definedName>
    <definedName name="UnitOfMeasure191">'Бланк заказа'!$T$352:$T$352</definedName>
    <definedName name="UnitOfMeasure192">'Бланк заказа'!$T$356:$T$356</definedName>
    <definedName name="UnitOfMeasure193">'Бланк заказа'!$T$357:$T$357</definedName>
    <definedName name="UnitOfMeasure194">'Бланк заказа'!$T$358:$T$358</definedName>
    <definedName name="UnitOfMeasure195">'Бланк заказа'!$T$359:$T$359</definedName>
    <definedName name="UnitOfMeasure196">'Бланк заказа'!$T$363:$T$363</definedName>
    <definedName name="UnitOfMeasure197">'Бланк заказа'!$T$367:$T$367</definedName>
    <definedName name="UnitOfMeasure198">'Бланк заказа'!$T$368:$T$368</definedName>
    <definedName name="UnitOfMeasure199">'Бланк заказа'!$T$369:$T$369</definedName>
    <definedName name="UnitOfMeasure2">'Бланк заказа'!$T$26:$T$26</definedName>
    <definedName name="UnitOfMeasure20">'Бланк заказа'!$T$63:$T$63</definedName>
    <definedName name="UnitOfMeasure200">'Бланк заказа'!$T$373:$T$373</definedName>
    <definedName name="UnitOfMeasure201">'Бланк заказа'!$T$378:$T$378</definedName>
    <definedName name="UnitOfMeasure202">'Бланк заказа'!$T$379:$T$379</definedName>
    <definedName name="UnitOfMeasure203">'Бланк заказа'!$T$383:$T$383</definedName>
    <definedName name="UnitOfMeasure204">'Бланк заказа'!$T$384:$T$384</definedName>
    <definedName name="UnitOfMeasure205">'Бланк заказа'!$T$385:$T$385</definedName>
    <definedName name="UnitOfMeasure206">'Бланк заказа'!$T$386:$T$386</definedName>
    <definedName name="UnitOfMeasure207">'Бланк заказа'!$T$387:$T$387</definedName>
    <definedName name="UnitOfMeasure208">'Бланк заказа'!$T$388:$T$388</definedName>
    <definedName name="UnitOfMeasure209">'Бланк заказа'!$T$389:$T$389</definedName>
    <definedName name="UnitOfMeasure21">'Бланк заказа'!$T$64:$T$64</definedName>
    <definedName name="UnitOfMeasure210">'Бланк заказа'!$T$393:$T$393</definedName>
    <definedName name="UnitOfMeasure211">'Бланк заказа'!$T$397:$T$397</definedName>
    <definedName name="UnitOfMeasure212">'Бланк заказа'!$T$403:$T$403</definedName>
    <definedName name="UnitOfMeasure213">'Бланк заказа'!$T$404:$T$404</definedName>
    <definedName name="UnitOfMeasure214">'Бланк заказа'!$T$405:$T$405</definedName>
    <definedName name="UnitOfMeasure215">'Бланк заказа'!$T$406:$T$406</definedName>
    <definedName name="UnitOfMeasure216">'Бланк заказа'!$T$407:$T$407</definedName>
    <definedName name="UnitOfMeasure217">'Бланк заказа'!$T$408:$T$408</definedName>
    <definedName name="UnitOfMeasure218">'Бланк заказа'!$T$409:$T$409</definedName>
    <definedName name="UnitOfMeasure219">'Бланк заказа'!$T$410:$T$410</definedName>
    <definedName name="UnitOfMeasure22">'Бланк заказа'!$T$65:$T$65</definedName>
    <definedName name="UnitOfMeasure220">'Бланк заказа'!$T$411:$T$411</definedName>
    <definedName name="UnitOfMeasure221">'Бланк заказа'!$T$415:$T$415</definedName>
    <definedName name="UnitOfMeasure222">'Бланк заказа'!$T$416:$T$416</definedName>
    <definedName name="UnitOfMeasure223">'Бланк заказа'!$T$420:$T$420</definedName>
    <definedName name="UnitOfMeasure224">'Бланк заказа'!$T$421:$T$421</definedName>
    <definedName name="UnitOfMeasure225">'Бланк заказа'!$T$422:$T$422</definedName>
    <definedName name="UnitOfMeasure226">'Бланк заказа'!$T$423:$T$423</definedName>
    <definedName name="UnitOfMeasure227">'Бланк заказа'!$T$424:$T$424</definedName>
    <definedName name="UnitOfMeasure228">'Бланк заказа'!$T$425:$T$425</definedName>
    <definedName name="UnitOfMeasure229">'Бланк заказа'!$T$429:$T$429</definedName>
    <definedName name="UnitOfMeasure23">'Бланк заказа'!$T$66:$T$66</definedName>
    <definedName name="UnitOfMeasure230">'Бланк заказа'!$T$430:$T$430</definedName>
    <definedName name="UnitOfMeasure231">'Бланк заказа'!$T$436:$T$436</definedName>
    <definedName name="UnitOfMeasure232">'Бланк заказа'!$T$437:$T$437</definedName>
    <definedName name="UnitOfMeasure233">'Бланк заказа'!$T$441:$T$441</definedName>
    <definedName name="UnitOfMeasure234">'Бланк заказа'!$T$442:$T$442</definedName>
    <definedName name="UnitOfMeasure235">'Бланк заказа'!$T$446:$T$446</definedName>
    <definedName name="UnitOfMeasure236">'Бланк заказа'!$T$447:$T$447</definedName>
    <definedName name="UnitOfMeasure237">'Бланк заказа'!$T$451:$T$451</definedName>
    <definedName name="UnitOfMeasure238">'Бланк заказа'!$T$452:$T$452</definedName>
    <definedName name="UnitOfMeasure239">'Бланк заказа'!$T$457:$T$457</definedName>
    <definedName name="UnitOfMeasure24">'Бланк заказа'!$T$67:$T$67</definedName>
    <definedName name="UnitOfMeasure25">'Бланк заказа'!$T$68:$T$68</definedName>
    <definedName name="UnitOfMeasure26">'Бланк заказа'!$T$69:$T$69</definedName>
    <definedName name="UnitOfMeasure27">'Бланк заказа'!$T$70:$T$70</definedName>
    <definedName name="UnitOfMeasure28">'Бланк заказа'!$T$71:$T$71</definedName>
    <definedName name="UnitOfMeasure29">'Бланк заказа'!$T$72:$T$72</definedName>
    <definedName name="UnitOfMeasure3">'Бланк заказа'!$T$27:$T$27</definedName>
    <definedName name="UnitOfMeasure30">'Бланк заказа'!$T$73:$T$73</definedName>
    <definedName name="UnitOfMeasure31">'Бланк заказа'!$T$74:$T$74</definedName>
    <definedName name="UnitOfMeasure32">'Бланк заказа'!$T$78:$T$78</definedName>
    <definedName name="UnitOfMeasure33">'Бланк заказа'!$T$79:$T$79</definedName>
    <definedName name="UnitOfMeasure34">'Бланк заказа'!$T$80:$T$80</definedName>
    <definedName name="UnitOfMeasure35">'Бланк заказа'!$T$81:$T$81</definedName>
    <definedName name="UnitOfMeasure36">'Бланк заказа'!$T$82:$T$82</definedName>
    <definedName name="UnitOfMeasure37">'Бланк заказа'!$T$83:$T$83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заказа'!$T$89:$T$89</definedName>
    <definedName name="UnitOfMeasure41">'Бланк заказа'!$T$90:$T$90</definedName>
    <definedName name="UnitOfMeasure42">'Бланк заказа'!$T$91:$T$91</definedName>
    <definedName name="UnitOfMeasure43">'Бланк заказа'!$T$92:$T$92</definedName>
    <definedName name="UnitOfMeasure44">'Бланк заказа'!$T$93:$T$93</definedName>
    <definedName name="UnitOfMeasure45">'Бланк заказа'!$T$94:$T$94</definedName>
    <definedName name="UnitOfMeasure46">'Бланк заказа'!$T$95:$T$95</definedName>
    <definedName name="UnitOfMeasure47">'Бланк заказа'!$T$99:$T$99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заказа'!$T$102:$T$102</definedName>
    <definedName name="UnitOfMeasure51">'Бланк заказа'!$T$103:$T$103</definedName>
    <definedName name="UnitOfMeasure52">'Бланк заказа'!$T$104:$T$104</definedName>
    <definedName name="UnitOfMeasure53">'Бланк заказа'!$T$105:$T$105</definedName>
    <definedName name="UnitOfMeasure54">'Бланк заказа'!$T$106:$T$106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заказа'!$T$114:$T$114</definedName>
    <definedName name="UnitOfMeasure6">'Бланк заказа'!$T$30:$T$30</definedName>
    <definedName name="UnitOfMeasure60">'Бланк заказа'!$T$119:$T$119</definedName>
    <definedName name="UnitOfMeasure61">'Бланк заказа'!$T$120:$T$120</definedName>
    <definedName name="UnitOfMeasure62">'Бланк заказа'!$T$121:$T$121</definedName>
    <definedName name="UnitOfMeasure63">'Бланк заказа'!$T$122:$T$122</definedName>
    <definedName name="UnitOfMeasure64">'Бланк заказа'!$T$128:$T$128</definedName>
    <definedName name="UnitOfMeasure65">'Бланк заказа'!$T$129:$T$129</definedName>
    <definedName name="UnitOfMeasure66">'Бланк заказа'!$T$130:$T$130</definedName>
    <definedName name="UnitOfMeasure67">'Бланк заказа'!$T$135:$T$135</definedName>
    <definedName name="UnitOfMeasure68">'Бланк заказа'!$T$136:$T$136</definedName>
    <definedName name="UnitOfMeasure69">'Бланк заказа'!$T$137:$T$137</definedName>
    <definedName name="UnitOfMeasure7">'Бланк заказа'!$T$31:$T$31</definedName>
    <definedName name="UnitOfMeasure70">'Бланк заказа'!$T$138:$T$138</definedName>
    <definedName name="UnitOfMeasure71">'Бланк заказа'!$T$139:$T$139</definedName>
    <definedName name="UnitOfMeasure72">'Бланк заказа'!$T$140:$T$140</definedName>
    <definedName name="UnitOfMeasure73">'Бланк заказа'!$T$141:$T$141</definedName>
    <definedName name="UnitOfMeasure74">'Бланк заказа'!$T$142:$T$142</definedName>
    <definedName name="UnitOfMeasure75">'Бланк заказа'!$T$147:$T$147</definedName>
    <definedName name="UnitOfMeasure76">'Бланк заказа'!$T$148:$T$148</definedName>
    <definedName name="UnitOfMeasure77">'Бланк заказа'!$T$152:$T$152</definedName>
    <definedName name="UnitOfMeasure78">'Бланк заказа'!$T$153:$T$153</definedName>
    <definedName name="UnitOfMeasure79">'Бланк заказа'!$T$157:$T$157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заказа'!$T$160:$T$160</definedName>
    <definedName name="UnitOfMeasure83">'Бланк заказа'!$T$164:$T$164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заказа'!$T$169:$T$169</definedName>
    <definedName name="UnitOfMeasure89">'Бланк заказа'!$T$170:$T$170</definedName>
    <definedName name="UnitOfMeasure9">'Бланк заказа'!$T$36:$T$36</definedName>
    <definedName name="UnitOfMeasure90">'Бланк заказа'!$T$171:$T$171</definedName>
    <definedName name="UnitOfMeasure91">'Бланк заказа'!$T$172:$T$172</definedName>
    <definedName name="UnitOfMeasure92">'Бланк заказа'!$T$173:$T$173</definedName>
    <definedName name="UnitOfMeasure93">'Бланк заказа'!$T$174:$T$174</definedName>
    <definedName name="UnitOfMeasure94">'Бланк заказа'!$T$175:$T$175</definedName>
    <definedName name="UnitOfMeasure95">'Бланк заказа'!$T$176:$T$176</definedName>
    <definedName name="UnitOfMeasure96">'Бланк заказа'!$T$177:$T$177</definedName>
    <definedName name="UnitOfMeasure97">'Бланк заказа'!$T$178:$T$178</definedName>
    <definedName name="UnitOfMeasure98">'Бланк заказа'!$T$179:$T$179</definedName>
    <definedName name="UnitOfMeasure99">'Бланк заказа'!$T$180:$T$180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  <definedName name="_xlnm._FilterDatabase" localSheetId="0" hidden="1">'Бланк заказа'!$B$18:$W$18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9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20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535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0" fontId="53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8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AZ470"/>
  <sheetViews>
    <sheetView showGridLines="0" tabSelected="1" topLeftCell="F1" zoomScaleNormal="100" zoomScaleSheetLayoutView="100" workbookViewId="0">
      <selection activeCell="U22" sqref="U22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9.42578125" customWidth="1" style="5" min="11" max="11"/>
    <col width="10.42578125" customWidth="1" style="4" min="12" max="12"/>
    <col width="7.42578125" customWidth="1" style="2" min="13" max="13"/>
    <col width="15.5703125" customWidth="1" style="2" min="14" max="14"/>
    <col width="8.140625" customWidth="1" style="1" min="15" max="15"/>
    <col width="6.140625" customWidth="1" style="1" min="16" max="16"/>
    <col width="10.85546875" customWidth="1" style="3" min="17" max="17"/>
    <col width="10.42578125" customWidth="1" style="3" min="18" max="18"/>
    <col width="9.42578125" customWidth="1" style="3" min="19" max="19"/>
    <col width="8.42578125" customWidth="1" style="3" min="20" max="20"/>
    <col width="10" customWidth="1" style="1" min="21" max="21"/>
    <col width="11" customWidth="1" style="1" min="22" max="22"/>
    <col width="10" customWidth="1" style="1" min="23" max="23"/>
    <col width="11.5703125" customWidth="1" style="1" min="24" max="24"/>
    <col width="10.42578125" customWidth="1" style="1" min="25" max="25"/>
    <col width="11.42578125" bestFit="1" customWidth="1" style="61" min="26" max="26"/>
    <col width="9.140625" customWidth="1" style="61" min="27" max="27"/>
    <col width="8.85546875" customWidth="1" style="61" min="28" max="28"/>
    <col width="13.5703125" customWidth="1" style="1" min="29" max="29"/>
    <col width="9.140625" customWidth="1" style="1" min="30" max="16384"/>
  </cols>
  <sheetData>
    <row r="1" ht="45" customFormat="1" customHeight="1" s="598">
      <c r="A1" s="48" t="n"/>
      <c r="B1" s="48" t="n"/>
      <c r="C1" s="48" t="n"/>
      <c r="D1" s="617" t="inlineStr">
        <is>
          <t xml:space="preserve">  БЛАНК ЗАКАЗА </t>
        </is>
      </c>
      <c r="G1" s="14" t="inlineStr">
        <is>
          <t>КИ</t>
        </is>
      </c>
      <c r="H1" s="617" t="inlineStr">
        <is>
          <t>на отгрузку продукции с ООО Трейд-Сервис с</t>
        </is>
      </c>
      <c r="O1" s="618" t="inlineStr">
        <is>
          <t>11.09.2023</t>
        </is>
      </c>
      <c r="R1" s="15" t="n"/>
      <c r="S1" s="15" t="n"/>
      <c r="T1" s="15" t="n"/>
      <c r="U1" s="15" t="n"/>
      <c r="V1" s="15" t="n"/>
      <c r="W1" s="15" t="n"/>
      <c r="X1" s="15" t="n"/>
      <c r="Y1" s="62" t="n"/>
      <c r="Z1" s="62" t="n"/>
      <c r="AA1" s="62" t="n"/>
      <c r="AB1" s="62" t="n"/>
    </row>
    <row r="2" ht="16.5" customFormat="1" customHeight="1" s="598">
      <c r="A2" s="34" t="inlineStr">
        <is>
          <t>бланк создан</t>
        </is>
      </c>
      <c r="B2" s="35" t="inlineStr">
        <is>
          <t>06.09.2023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620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" t="n"/>
      <c r="O2" s="1" t="n"/>
      <c r="P2" s="1" t="n"/>
      <c r="Q2" s="1" t="n"/>
      <c r="R2" s="1" t="n"/>
      <c r="S2" s="1" t="n"/>
      <c r="T2" s="1" t="n"/>
      <c r="U2" s="19" t="n"/>
      <c r="V2" s="19" t="n"/>
      <c r="W2" s="19" t="n"/>
      <c r="X2" s="19" t="n"/>
      <c r="Y2" s="60" t="n"/>
      <c r="Z2" s="60" t="n"/>
      <c r="AA2" s="60" t="n"/>
    </row>
    <row r="3" ht="11.25" customFormat="1" customHeight="1" s="598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18" t="n"/>
      <c r="L3" s="18" t="n"/>
      <c r="M3" s="1" t="n"/>
      <c r="N3" s="1" t="n"/>
      <c r="O3" s="1" t="n"/>
      <c r="P3" s="1" t="n"/>
      <c r="Q3" s="1" t="n"/>
      <c r="R3" s="1" t="n"/>
      <c r="S3" s="1" t="n"/>
      <c r="T3" s="1" t="n"/>
      <c r="U3" s="19" t="n"/>
      <c r="V3" s="19" t="n"/>
      <c r="W3" s="19" t="n"/>
      <c r="X3" s="19" t="n"/>
      <c r="Y3" s="60" t="n"/>
      <c r="Z3" s="60" t="n"/>
      <c r="AA3" s="60" t="n"/>
    </row>
    <row r="4" ht="9" customFormat="1" customHeight="1" s="598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3" t="n"/>
      <c r="O4" s="23" t="n"/>
      <c r="P4" s="23" t="n"/>
      <c r="Q4" s="23" t="n"/>
      <c r="R4" s="23" t="n"/>
      <c r="S4" s="24" t="n"/>
      <c r="T4" s="25" t="n"/>
      <c r="U4" s="25" t="n"/>
      <c r="V4" s="25" t="n"/>
      <c r="W4" s="25" t="n"/>
      <c r="X4" s="25" t="n"/>
      <c r="Y4" s="60" t="n"/>
      <c r="Z4" s="60" t="n"/>
      <c r="AA4" s="60" t="n"/>
    </row>
    <row r="5" ht="23.45" customFormat="1" customHeight="1" s="598">
      <c r="A5" s="599" t="inlineStr">
        <is>
          <t xml:space="preserve">Ваш контактный телефон и имя: </t>
        </is>
      </c>
      <c r="B5" s="627" t="n"/>
      <c r="C5" s="628" t="n"/>
      <c r="D5" s="621" t="n"/>
      <c r="E5" s="629" t="n"/>
      <c r="F5" s="622" t="inlineStr">
        <is>
          <t>Комментарий к заказу:</t>
        </is>
      </c>
      <c r="G5" s="628" t="n"/>
      <c r="H5" s="621" t="n"/>
      <c r="I5" s="630" t="n"/>
      <c r="J5" s="630" t="n"/>
      <c r="K5" s="629" t="n"/>
      <c r="M5" s="29" t="inlineStr">
        <is>
          <t>Дата загрузки</t>
        </is>
      </c>
      <c r="N5" s="631" t="n">
        <v>45180</v>
      </c>
      <c r="O5" s="632" t="n"/>
      <c r="Q5" s="624" t="inlineStr">
        <is>
          <t>Способ доставки (доставка/самовывоз)</t>
        </is>
      </c>
      <c r="R5" s="633" t="n"/>
      <c r="S5" s="634" t="inlineStr">
        <is>
          <t>Самовывоз</t>
        </is>
      </c>
      <c r="T5" s="632" t="n"/>
      <c r="Y5" s="60" t="n"/>
      <c r="Z5" s="60" t="n"/>
      <c r="AA5" s="60" t="n"/>
    </row>
    <row r="6" ht="24" customFormat="1" customHeight="1" s="598">
      <c r="A6" s="599" t="inlineStr">
        <is>
          <t>Адрес доставки:</t>
        </is>
      </c>
      <c r="B6" s="627" t="n"/>
      <c r="C6" s="628" t="n"/>
      <c r="D6" s="600" t="inlineStr">
        <is>
          <t>ЛП, ООО, Крым Респ, Симферополь г, Данилова ул, 43В, лит В, офис 4,</t>
        </is>
      </c>
      <c r="E6" s="635" t="n"/>
      <c r="F6" s="635" t="n"/>
      <c r="G6" s="635" t="n"/>
      <c r="H6" s="635" t="n"/>
      <c r="I6" s="635" t="n"/>
      <c r="J6" s="635" t="n"/>
      <c r="K6" s="632" t="n"/>
      <c r="M6" s="29" t="inlineStr">
        <is>
          <t>День недели</t>
        </is>
      </c>
      <c r="N6" s="601">
        <f>IF(N5=0," ",CHOOSE(WEEKDAY(N5,2),"Понедельник","Вторник","Среда","Четверг","Пятница","Суббота","Воскресенье"))</f>
        <v/>
      </c>
      <c r="O6" s="636" t="n"/>
      <c r="Q6" s="603" t="inlineStr">
        <is>
          <t>Наименование клиента</t>
        </is>
      </c>
      <c r="R6" s="633" t="n"/>
      <c r="S6" s="637" t="inlineStr">
        <is>
          <t>ОБЩЕСТВО С ОГРАНИЧЕННОЙ ОТВЕТСТВЕННОСТЬЮ "ЛОГИСТИЧЕСКИЙ ПАРТНЕР"</t>
        </is>
      </c>
      <c r="T6" s="638" t="n"/>
      <c r="Y6" s="60" t="n"/>
      <c r="Z6" s="60" t="n"/>
      <c r="AA6" s="60" t="n"/>
    </row>
    <row r="7" hidden="1" ht="21.75" customFormat="1" customHeight="1" s="598">
      <c r="A7" s="65" t="n"/>
      <c r="B7" s="65" t="n"/>
      <c r="C7" s="65" t="n"/>
      <c r="D7" s="639">
        <f>IFERROR(VLOOKUP(DeliveryAddress,Table,3,0),1)</f>
        <v/>
      </c>
      <c r="E7" s="640" t="n"/>
      <c r="F7" s="640" t="n"/>
      <c r="G7" s="640" t="n"/>
      <c r="H7" s="640" t="n"/>
      <c r="I7" s="640" t="n"/>
      <c r="J7" s="640" t="n"/>
      <c r="K7" s="641" t="n"/>
      <c r="M7" s="29" t="n"/>
      <c r="N7" s="49" t="n"/>
      <c r="O7" s="49" t="n"/>
      <c r="Q7" s="1" t="n"/>
      <c r="R7" s="633" t="n"/>
      <c r="S7" s="642" t="n"/>
      <c r="T7" s="643" t="n"/>
      <c r="Y7" s="60" t="n"/>
      <c r="Z7" s="60" t="n"/>
      <c r="AA7" s="60" t="n"/>
    </row>
    <row r="8" ht="25.5" customFormat="1" customHeight="1" s="598">
      <c r="A8" s="613" t="inlineStr">
        <is>
          <t>Адрес сдачи груза:</t>
        </is>
      </c>
      <c r="B8" s="644" t="n"/>
      <c r="C8" s="645" t="n"/>
      <c r="D8" s="614" t="n"/>
      <c r="E8" s="646" t="n"/>
      <c r="F8" s="646" t="n"/>
      <c r="G8" s="646" t="n"/>
      <c r="H8" s="646" t="n"/>
      <c r="I8" s="646" t="n"/>
      <c r="J8" s="646" t="n"/>
      <c r="K8" s="647" t="n"/>
      <c r="M8" s="29" t="inlineStr">
        <is>
          <t>Время загрузки</t>
        </is>
      </c>
      <c r="N8" s="594" t="n">
        <v>0.3333333333333333</v>
      </c>
      <c r="O8" s="632" t="n"/>
      <c r="Q8" s="1" t="n"/>
      <c r="R8" s="633" t="n"/>
      <c r="S8" s="642" t="n"/>
      <c r="T8" s="643" t="n"/>
      <c r="Y8" s="60" t="n"/>
      <c r="Z8" s="60" t="n"/>
      <c r="AA8" s="60" t="n"/>
    </row>
    <row r="9" ht="39.95" customFormat="1" customHeight="1" s="598">
      <c r="A9" s="590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591" t="inlineStr"/>
      <c r="E9" s="3" t="n"/>
      <c r="F9" s="590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615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615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M9" s="31" t="inlineStr">
        <is>
          <t>Дата доставки</t>
        </is>
      </c>
      <c r="N9" s="631" t="n"/>
      <c r="O9" s="632" t="n"/>
      <c r="Q9" s="1" t="n"/>
      <c r="R9" s="633" t="n"/>
      <c r="S9" s="648" t="n"/>
      <c r="T9" s="649" t="n"/>
      <c r="U9" s="50" t="n"/>
      <c r="V9" s="50" t="n"/>
      <c r="W9" s="50" t="n"/>
      <c r="X9" s="50" t="n"/>
      <c r="Y9" s="60" t="n"/>
      <c r="Z9" s="60" t="n"/>
      <c r="AA9" s="60" t="n"/>
    </row>
    <row r="10" ht="26.45" customFormat="1" customHeight="1" s="598">
      <c r="A10" s="590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591" t="n"/>
      <c r="E10" s="3" t="n"/>
      <c r="F10" s="590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593">
        <f>IFERROR(VLOOKUP($D$10,Proxy,2,FALSE),"")</f>
        <v/>
      </c>
      <c r="I10" s="1" t="n"/>
      <c r="J10" s="1" t="n"/>
      <c r="K10" s="1" t="n"/>
      <c r="M10" s="31" t="inlineStr">
        <is>
          <t>Время доставки</t>
        </is>
      </c>
      <c r="N10" s="594" t="n"/>
      <c r="O10" s="632" t="n"/>
      <c r="R10" s="29" t="inlineStr">
        <is>
          <t>КОД Аксапты Клиента</t>
        </is>
      </c>
      <c r="S10" s="650" t="inlineStr">
        <is>
          <t>590704</t>
        </is>
      </c>
      <c r="T10" s="638" t="n"/>
      <c r="U10" s="51" t="n"/>
      <c r="V10" s="51" t="n"/>
      <c r="W10" s="51" t="n"/>
      <c r="X10" s="51" t="n"/>
      <c r="Y10" s="60" t="n"/>
      <c r="Z10" s="60" t="n"/>
      <c r="AA10" s="60" t="n"/>
    </row>
    <row r="11" ht="15.95" customFormat="1" customHeight="1" s="598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M11" s="31" t="inlineStr">
        <is>
          <t>Время доставки 2 машины</t>
        </is>
      </c>
      <c r="N11" s="594" t="n"/>
      <c r="O11" s="632" t="n"/>
      <c r="R11" s="29" t="inlineStr">
        <is>
          <t>Тип заказа</t>
        </is>
      </c>
      <c r="S11" s="582" t="inlineStr">
        <is>
          <t>Основной заказ</t>
        </is>
      </c>
      <c r="T11" s="651" t="n"/>
      <c r="U11" s="52" t="n"/>
      <c r="V11" s="52" t="n"/>
      <c r="W11" s="52" t="n"/>
      <c r="X11" s="52" t="n"/>
      <c r="Y11" s="60" t="n"/>
      <c r="Z11" s="60" t="n"/>
      <c r="AA11" s="60" t="n"/>
    </row>
    <row r="12" ht="18.6" customFormat="1" customHeight="1" s="598">
      <c r="A12" s="581" t="inlineStr">
        <is>
          <t>Телефоны для заказов: 8(919)002-63-01  E-mail: kolbasa@abiproduct.ru  Телефон сотрудников склада: 8 (910) 775-52-91</t>
        </is>
      </c>
      <c r="B12" s="627" t="n"/>
      <c r="C12" s="627" t="n"/>
      <c r="D12" s="627" t="n"/>
      <c r="E12" s="627" t="n"/>
      <c r="F12" s="627" t="n"/>
      <c r="G12" s="627" t="n"/>
      <c r="H12" s="627" t="n"/>
      <c r="I12" s="627" t="n"/>
      <c r="J12" s="627" t="n"/>
      <c r="K12" s="628" t="n"/>
      <c r="M12" s="29" t="inlineStr">
        <is>
          <t>Время доставки 3 машины</t>
        </is>
      </c>
      <c r="N12" s="597" t="n"/>
      <c r="O12" s="641" t="n"/>
      <c r="P12" s="28" t="n"/>
      <c r="R12" s="29" t="inlineStr"/>
      <c r="S12" s="598" t="n"/>
      <c r="T12" s="1" t="n"/>
      <c r="Y12" s="60" t="n"/>
      <c r="Z12" s="60" t="n"/>
      <c r="AA12" s="60" t="n"/>
    </row>
    <row r="13" ht="23.25" customFormat="1" customHeight="1" s="598">
      <c r="A13" s="581" t="inlineStr">
        <is>
          <t>График приема заказов: Заказы принимаются за ДВА дня до отгрузки Пн-Пт: с 9:00 до 14:00, Суб., Вс. - до 12:00</t>
        </is>
      </c>
      <c r="B13" s="627" t="n"/>
      <c r="C13" s="627" t="n"/>
      <c r="D13" s="627" t="n"/>
      <c r="E13" s="627" t="n"/>
      <c r="F13" s="627" t="n"/>
      <c r="G13" s="627" t="n"/>
      <c r="H13" s="627" t="n"/>
      <c r="I13" s="627" t="n"/>
      <c r="J13" s="627" t="n"/>
      <c r="K13" s="628" t="n"/>
      <c r="L13" s="31" t="n"/>
      <c r="M13" s="31" t="inlineStr">
        <is>
          <t>Время доставки 4 машины</t>
        </is>
      </c>
      <c r="N13" s="582" t="n"/>
      <c r="O13" s="651" t="n"/>
      <c r="P13" s="28" t="n"/>
      <c r="U13" s="57" t="n"/>
      <c r="V13" s="57" t="n"/>
      <c r="W13" s="57" t="n"/>
      <c r="X13" s="57" t="n"/>
      <c r="Y13" s="60" t="n"/>
      <c r="Z13" s="60" t="n"/>
      <c r="AA13" s="60" t="n"/>
    </row>
    <row r="14" ht="18.6" customFormat="1" customHeight="1" s="598">
      <c r="A14" s="581" t="inlineStr">
        <is>
          <t>Телефон менеджера по логистике: 8 (919) 012-30-55 - по вопросам доставки продукции</t>
        </is>
      </c>
      <c r="B14" s="627" t="n"/>
      <c r="C14" s="627" t="n"/>
      <c r="D14" s="627" t="n"/>
      <c r="E14" s="627" t="n"/>
      <c r="F14" s="627" t="n"/>
      <c r="G14" s="627" t="n"/>
      <c r="H14" s="627" t="n"/>
      <c r="I14" s="627" t="n"/>
      <c r="J14" s="627" t="n"/>
      <c r="K14" s="628" t="n"/>
      <c r="U14" s="58" t="n"/>
      <c r="V14" s="58" t="n"/>
      <c r="W14" s="58" t="n"/>
      <c r="X14" s="58" t="n"/>
      <c r="Y14" s="60" t="n"/>
      <c r="Z14" s="60" t="n"/>
      <c r="AA14" s="60" t="n"/>
    </row>
    <row r="15" ht="22.5" customFormat="1" customHeight="1" s="598">
      <c r="A15" s="583" t="inlineStr">
        <is>
          <t>Телефон по работе с претензиями/жалобами (WhatSapp): 8 (980) 757-69-93       E-mail: Claims@abiproduct.ru</t>
        </is>
      </c>
      <c r="B15" s="627" t="n"/>
      <c r="C15" s="627" t="n"/>
      <c r="D15" s="627" t="n"/>
      <c r="E15" s="627" t="n"/>
      <c r="F15" s="627" t="n"/>
      <c r="G15" s="627" t="n"/>
      <c r="H15" s="627" t="n"/>
      <c r="I15" s="627" t="n"/>
      <c r="J15" s="627" t="n"/>
      <c r="K15" s="628" t="n"/>
      <c r="M15" s="585" t="inlineStr">
        <is>
          <t>Кликните на продукт, чтобы просмотреть изображение</t>
        </is>
      </c>
      <c r="U15" s="598" t="n"/>
      <c r="V15" s="598" t="n"/>
      <c r="W15" s="598" t="n"/>
      <c r="X15" s="598" t="n"/>
      <c r="Y15" s="60" t="n"/>
      <c r="Z15" s="60" t="n"/>
      <c r="AA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652" t="n"/>
      <c r="N16" s="652" t="n"/>
      <c r="O16" s="652" t="n"/>
      <c r="P16" s="652" t="n"/>
      <c r="Q16" s="652" t="n"/>
      <c r="R16" s="8" t="n"/>
      <c r="S16" s="8" t="n"/>
      <c r="T16" s="10" t="n"/>
      <c r="U16" s="11" t="n"/>
      <c r="V16" s="11" t="n"/>
      <c r="W16" s="11" t="n"/>
      <c r="X16" s="11" t="n"/>
      <c r="Y16" s="11" t="n"/>
    </row>
    <row r="17" ht="27.75" customHeight="1">
      <c r="A17" s="569" t="inlineStr">
        <is>
          <t>Код единицы продаж</t>
        </is>
      </c>
      <c r="B17" s="569" t="inlineStr">
        <is>
          <t>Код продукта</t>
        </is>
      </c>
      <c r="C17" s="587" t="inlineStr">
        <is>
          <t>Номер варианта</t>
        </is>
      </c>
      <c r="D17" s="569" t="inlineStr">
        <is>
          <t xml:space="preserve">Штрих-код </t>
        </is>
      </c>
      <c r="E17" s="653" t="n"/>
      <c r="F17" s="569" t="inlineStr">
        <is>
          <t>Вес нетто штуки, кг</t>
        </is>
      </c>
      <c r="G17" s="569" t="inlineStr">
        <is>
          <t>Кол-во штук в коробе, шт</t>
        </is>
      </c>
      <c r="H17" s="569" t="inlineStr">
        <is>
          <t>Вес нетто короба, кг</t>
        </is>
      </c>
      <c r="I17" s="569" t="inlineStr">
        <is>
          <t>Вес брутто короба, кг</t>
        </is>
      </c>
      <c r="J17" s="569" t="inlineStr">
        <is>
          <t>Кол-во кор. на паллте, шт</t>
        </is>
      </c>
      <c r="K17" s="569" t="inlineStr">
        <is>
          <t>Завод</t>
        </is>
      </c>
      <c r="L17" s="569" t="inlineStr">
        <is>
          <t>Срок годности, сут.</t>
        </is>
      </c>
      <c r="M17" s="569" t="inlineStr">
        <is>
          <t>Наименование</t>
        </is>
      </c>
      <c r="N17" s="654" t="n"/>
      <c r="O17" s="654" t="n"/>
      <c r="P17" s="654" t="n"/>
      <c r="Q17" s="653" t="n"/>
      <c r="R17" s="586" t="inlineStr">
        <is>
          <t>Доступно к отгрузке</t>
        </is>
      </c>
      <c r="S17" s="628" t="n"/>
      <c r="T17" s="569" t="inlineStr">
        <is>
          <t>Ед. изм.</t>
        </is>
      </c>
      <c r="U17" s="569" t="inlineStr">
        <is>
          <t>Заказ</t>
        </is>
      </c>
      <c r="V17" s="570" t="inlineStr">
        <is>
          <t>Заказ с округлением до короба</t>
        </is>
      </c>
      <c r="W17" s="569" t="inlineStr">
        <is>
          <t>Объём заказа, м3</t>
        </is>
      </c>
      <c r="X17" s="572" t="inlineStr">
        <is>
          <t>Примечание по продуктку</t>
        </is>
      </c>
      <c r="Y17" s="572" t="inlineStr">
        <is>
          <t>Признак "НОВИНКА"</t>
        </is>
      </c>
      <c r="Z17" s="572" t="inlineStr">
        <is>
          <t>Для формул</t>
        </is>
      </c>
      <c r="AA17" s="655" t="n"/>
      <c r="AB17" s="656" t="n"/>
      <c r="AC17" s="579" t="n"/>
      <c r="AZ17" s="580" t="inlineStr">
        <is>
          <t>Вид продукции</t>
        </is>
      </c>
    </row>
    <row r="18" ht="14.25" customHeight="1">
      <c r="A18" s="657" t="n"/>
      <c r="B18" s="657" t="n"/>
      <c r="C18" s="657" t="n"/>
      <c r="D18" s="658" t="n"/>
      <c r="E18" s="659" t="n"/>
      <c r="F18" s="657" t="n"/>
      <c r="G18" s="657" t="n"/>
      <c r="H18" s="657" t="n"/>
      <c r="I18" s="657" t="n"/>
      <c r="J18" s="657" t="n"/>
      <c r="K18" s="657" t="n"/>
      <c r="L18" s="657" t="n"/>
      <c r="M18" s="658" t="n"/>
      <c r="N18" s="660" t="n"/>
      <c r="O18" s="660" t="n"/>
      <c r="P18" s="660" t="n"/>
      <c r="Q18" s="659" t="n"/>
      <c r="R18" s="586" t="inlineStr">
        <is>
          <t>начиная с</t>
        </is>
      </c>
      <c r="S18" s="586" t="inlineStr">
        <is>
          <t>до</t>
        </is>
      </c>
      <c r="T18" s="657" t="n"/>
      <c r="U18" s="657" t="n"/>
      <c r="V18" s="661" t="n"/>
      <c r="W18" s="657" t="n"/>
      <c r="X18" s="662" t="n"/>
      <c r="Y18" s="662" t="n"/>
      <c r="Z18" s="663" t="n"/>
      <c r="AA18" s="664" t="n"/>
      <c r="AB18" s="665" t="n"/>
      <c r="AC18" s="666" t="n"/>
      <c r="AZ18" s="1" t="n"/>
    </row>
    <row r="19" ht="27.75" customHeight="1">
      <c r="A19" s="340" t="inlineStr">
        <is>
          <t>Ядрена копоть</t>
        </is>
      </c>
      <c r="B19" s="667" t="n"/>
      <c r="C19" s="667" t="n"/>
      <c r="D19" s="667" t="n"/>
      <c r="E19" s="667" t="n"/>
      <c r="F19" s="667" t="n"/>
      <c r="G19" s="667" t="n"/>
      <c r="H19" s="667" t="n"/>
      <c r="I19" s="667" t="n"/>
      <c r="J19" s="667" t="n"/>
      <c r="K19" s="667" t="n"/>
      <c r="L19" s="667" t="n"/>
      <c r="M19" s="667" t="n"/>
      <c r="N19" s="667" t="n"/>
      <c r="O19" s="667" t="n"/>
      <c r="P19" s="667" t="n"/>
      <c r="Q19" s="667" t="n"/>
      <c r="R19" s="667" t="n"/>
      <c r="S19" s="667" t="n"/>
      <c r="T19" s="667" t="n"/>
      <c r="U19" s="667" t="n"/>
      <c r="V19" s="667" t="n"/>
      <c r="W19" s="667" t="n"/>
      <c r="X19" s="55" t="n"/>
      <c r="Y19" s="55" t="n"/>
    </row>
    <row r="20" ht="16.5" customHeight="1">
      <c r="A20" s="328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328" t="n"/>
      <c r="Y20" s="328" t="n"/>
    </row>
    <row r="21" ht="14.25" customHeight="1">
      <c r="A21" s="329" t="inlineStr">
        <is>
          <t>Копченые колбасы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329" t="n"/>
      <c r="Y21" s="329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24" t="n">
        <v>4607091389258</v>
      </c>
      <c r="E22" s="636" t="n"/>
      <c r="F22" s="668" t="n">
        <v>0.3</v>
      </c>
      <c r="G22" s="38" t="n">
        <v>6</v>
      </c>
      <c r="H22" s="668" t="n">
        <v>1.8</v>
      </c>
      <c r="I22" s="668" t="n">
        <v>2</v>
      </c>
      <c r="J22" s="38" t="n">
        <v>156</v>
      </c>
      <c r="K22" s="39" t="inlineStr">
        <is>
          <t>СК2</t>
        </is>
      </c>
      <c r="L22" s="38" t="n">
        <v>35</v>
      </c>
      <c r="M22" s="669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N22" s="670" t="n"/>
      <c r="O22" s="670" t="n"/>
      <c r="P22" s="670" t="n"/>
      <c r="Q22" s="636" t="n"/>
      <c r="R22" s="40" t="inlineStr"/>
      <c r="S22" s="40" t="inlineStr"/>
      <c r="T22" s="41" t="inlineStr">
        <is>
          <t>кг</t>
        </is>
      </c>
      <c r="U22" s="671" t="n">
        <v>0</v>
      </c>
      <c r="V22" s="672">
        <f>IFERROR(IF(U22="",0,CEILING((U22/$H22),1)*$H22),"")</f>
        <v/>
      </c>
      <c r="W22" s="42">
        <f>IFERROR(IF(V22=0,"",ROUNDUP(V22/H22,0)*0.00753),"")</f>
        <v/>
      </c>
      <c r="X22" s="69" t="inlineStr"/>
      <c r="Y22" s="70" t="inlineStr"/>
      <c r="AC22" s="71" t="n"/>
      <c r="AZ22" s="73" t="inlineStr">
        <is>
          <t>КИ</t>
        </is>
      </c>
    </row>
    <row r="23">
      <c r="A23" s="319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673" t="n"/>
      <c r="M23" s="674" t="inlineStr">
        <is>
          <t>Итого</t>
        </is>
      </c>
      <c r="N23" s="644" t="n"/>
      <c r="O23" s="644" t="n"/>
      <c r="P23" s="644" t="n"/>
      <c r="Q23" s="644" t="n"/>
      <c r="R23" s="644" t="n"/>
      <c r="S23" s="645" t="n"/>
      <c r="T23" s="43" t="inlineStr">
        <is>
          <t>кор</t>
        </is>
      </c>
      <c r="U23" s="675">
        <f>IFERROR(U22/H22,"0")</f>
        <v/>
      </c>
      <c r="V23" s="675">
        <f>IFERROR(V22/H22,"0")</f>
        <v/>
      </c>
      <c r="W23" s="675">
        <f>IFERROR(IF(W22="",0,W22),"0")</f>
        <v/>
      </c>
      <c r="X23" s="676" t="n"/>
      <c r="Y23" s="676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673" t="n"/>
      <c r="M24" s="674" t="inlineStr">
        <is>
          <t>Итого</t>
        </is>
      </c>
      <c r="N24" s="644" t="n"/>
      <c r="O24" s="644" t="n"/>
      <c r="P24" s="644" t="n"/>
      <c r="Q24" s="644" t="n"/>
      <c r="R24" s="644" t="n"/>
      <c r="S24" s="645" t="n"/>
      <c r="T24" s="43" t="inlineStr">
        <is>
          <t>кг</t>
        </is>
      </c>
      <c r="U24" s="675">
        <f>IFERROR(SUM(U22:U22),"0")</f>
        <v/>
      </c>
      <c r="V24" s="675">
        <f>IFERROR(SUM(V22:V22),"0")</f>
        <v/>
      </c>
      <c r="W24" s="43" t="n"/>
      <c r="X24" s="676" t="n"/>
      <c r="Y24" s="676" t="n"/>
    </row>
    <row r="25" ht="14.25" customHeight="1">
      <c r="A25" s="329" t="inlineStr">
        <is>
          <t>Сосиски</t>
        </is>
      </c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329" t="n"/>
      <c r="Y25" s="329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24" t="n">
        <v>4607091383881</v>
      </c>
      <c r="E26" s="636" t="n"/>
      <c r="F26" s="668" t="n">
        <v>0.33</v>
      </c>
      <c r="G26" s="38" t="n">
        <v>6</v>
      </c>
      <c r="H26" s="668" t="n">
        <v>1.98</v>
      </c>
      <c r="I26" s="668" t="n">
        <v>2.246</v>
      </c>
      <c r="J26" s="38" t="n">
        <v>156</v>
      </c>
      <c r="K26" s="39" t="inlineStr">
        <is>
          <t>СК2</t>
        </is>
      </c>
      <c r="L26" s="38" t="n">
        <v>35</v>
      </c>
      <c r="M26" s="677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N26" s="670" t="n"/>
      <c r="O26" s="670" t="n"/>
      <c r="P26" s="670" t="n"/>
      <c r="Q26" s="636" t="n"/>
      <c r="R26" s="40" t="inlineStr"/>
      <c r="S26" s="40" t="inlineStr"/>
      <c r="T26" s="41" t="inlineStr">
        <is>
          <t>кг</t>
        </is>
      </c>
      <c r="U26" s="671" t="n">
        <v>0</v>
      </c>
      <c r="V26" s="672">
        <f>IFERROR(IF(U26="",0,CEILING((U26/$H26),1)*$H26),"")</f>
        <v/>
      </c>
      <c r="W26" s="42">
        <f>IFERROR(IF(V26=0,"",ROUNDUP(V26/H26,0)*0.00753),"")</f>
        <v/>
      </c>
      <c r="X26" s="69" t="inlineStr"/>
      <c r="Y26" s="70" t="inlineStr"/>
      <c r="AC26" s="71" t="n"/>
      <c r="AZ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24" t="n">
        <v>4607091388237</v>
      </c>
      <c r="E27" s="636" t="n"/>
      <c r="F27" s="668" t="n">
        <v>0.42</v>
      </c>
      <c r="G27" s="38" t="n">
        <v>6</v>
      </c>
      <c r="H27" s="668" t="n">
        <v>2.52</v>
      </c>
      <c r="I27" s="668" t="n">
        <v>2.786</v>
      </c>
      <c r="J27" s="38" t="n">
        <v>156</v>
      </c>
      <c r="K27" s="39" t="inlineStr">
        <is>
          <t>СК2</t>
        </is>
      </c>
      <c r="L27" s="38" t="n">
        <v>35</v>
      </c>
      <c r="M27" s="678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N27" s="670" t="n"/>
      <c r="O27" s="670" t="n"/>
      <c r="P27" s="670" t="n"/>
      <c r="Q27" s="636" t="n"/>
      <c r="R27" s="40" t="inlineStr"/>
      <c r="S27" s="40" t="inlineStr"/>
      <c r="T27" s="41" t="inlineStr">
        <is>
          <t>кг</t>
        </is>
      </c>
      <c r="U27" s="671" t="n">
        <v>0</v>
      </c>
      <c r="V27" s="672">
        <f>IFERROR(IF(U27="",0,CEILING((U27/$H27),1)*$H27),"")</f>
        <v/>
      </c>
      <c r="W27" s="42">
        <f>IFERROR(IF(V27=0,"",ROUNDUP(V27/H27,0)*0.00753),"")</f>
        <v/>
      </c>
      <c r="X27" s="69" t="inlineStr"/>
      <c r="Y27" s="70" t="inlineStr"/>
      <c r="AC27" s="71" t="n"/>
      <c r="AZ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24" t="n">
        <v>4607091383935</v>
      </c>
      <c r="E28" s="636" t="n"/>
      <c r="F28" s="668" t="n">
        <v>0.33</v>
      </c>
      <c r="G28" s="38" t="n">
        <v>6</v>
      </c>
      <c r="H28" s="668" t="n">
        <v>1.98</v>
      </c>
      <c r="I28" s="668" t="n">
        <v>2.246</v>
      </c>
      <c r="J28" s="38" t="n">
        <v>156</v>
      </c>
      <c r="K28" s="39" t="inlineStr">
        <is>
          <t>СК2</t>
        </is>
      </c>
      <c r="L28" s="38" t="n">
        <v>30</v>
      </c>
      <c r="M28" s="679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N28" s="670" t="n"/>
      <c r="O28" s="670" t="n"/>
      <c r="P28" s="670" t="n"/>
      <c r="Q28" s="636" t="n"/>
      <c r="R28" s="40" t="inlineStr"/>
      <c r="S28" s="40" t="inlineStr"/>
      <c r="T28" s="41" t="inlineStr">
        <is>
          <t>кг</t>
        </is>
      </c>
      <c r="U28" s="671" t="n">
        <v>0</v>
      </c>
      <c r="V28" s="672">
        <f>IFERROR(IF(U28="",0,CEILING((U28/$H28),1)*$H28),"")</f>
        <v/>
      </c>
      <c r="W28" s="42">
        <f>IFERROR(IF(V28=0,"",ROUNDUP(V28/H28,0)*0.00753),"")</f>
        <v/>
      </c>
      <c r="X28" s="69" t="inlineStr"/>
      <c r="Y28" s="70" t="inlineStr"/>
      <c r="AC28" s="71" t="n"/>
      <c r="AZ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24" t="n">
        <v>4680115881853</v>
      </c>
      <c r="E29" s="636" t="n"/>
      <c r="F29" s="668" t="n">
        <v>0.33</v>
      </c>
      <c r="G29" s="38" t="n">
        <v>6</v>
      </c>
      <c r="H29" s="668" t="n">
        <v>1.98</v>
      </c>
      <c r="I29" s="668" t="n">
        <v>2.246</v>
      </c>
      <c r="J29" s="38" t="n">
        <v>156</v>
      </c>
      <c r="K29" s="39" t="inlineStr">
        <is>
          <t>СК2</t>
        </is>
      </c>
      <c r="L29" s="38" t="n">
        <v>30</v>
      </c>
      <c r="M29" s="680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N29" s="670" t="n"/>
      <c r="O29" s="670" t="n"/>
      <c r="P29" s="670" t="n"/>
      <c r="Q29" s="636" t="n"/>
      <c r="R29" s="40" t="inlineStr"/>
      <c r="S29" s="40" t="inlineStr"/>
      <c r="T29" s="41" t="inlineStr">
        <is>
          <t>кг</t>
        </is>
      </c>
      <c r="U29" s="671" t="n">
        <v>0</v>
      </c>
      <c r="V29" s="672">
        <f>IFERROR(IF(U29="",0,CEILING((U29/$H29),1)*$H29),"")</f>
        <v/>
      </c>
      <c r="W29" s="42">
        <f>IFERROR(IF(V29=0,"",ROUNDUP(V29/H29,0)*0.00753),"")</f>
        <v/>
      </c>
      <c r="X29" s="69" t="inlineStr"/>
      <c r="Y29" s="70" t="inlineStr"/>
      <c r="AC29" s="71" t="n"/>
      <c r="AZ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24" t="n">
        <v>4607091383911</v>
      </c>
      <c r="E30" s="636" t="n"/>
      <c r="F30" s="668" t="n">
        <v>0.33</v>
      </c>
      <c r="G30" s="38" t="n">
        <v>6</v>
      </c>
      <c r="H30" s="668" t="n">
        <v>1.98</v>
      </c>
      <c r="I30" s="668" t="n">
        <v>2.246</v>
      </c>
      <c r="J30" s="38" t="n">
        <v>156</v>
      </c>
      <c r="K30" s="39" t="inlineStr">
        <is>
          <t>СК2</t>
        </is>
      </c>
      <c r="L30" s="38" t="n">
        <v>35</v>
      </c>
      <c r="M30" s="681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N30" s="670" t="n"/>
      <c r="O30" s="670" t="n"/>
      <c r="P30" s="670" t="n"/>
      <c r="Q30" s="636" t="n"/>
      <c r="R30" s="40" t="inlineStr"/>
      <c r="S30" s="40" t="inlineStr"/>
      <c r="T30" s="41" t="inlineStr">
        <is>
          <t>кг</t>
        </is>
      </c>
      <c r="U30" s="671" t="n">
        <v>0</v>
      </c>
      <c r="V30" s="672">
        <f>IFERROR(IF(U30="",0,CEILING((U30/$H30),1)*$H30),"")</f>
        <v/>
      </c>
      <c r="W30" s="42">
        <f>IFERROR(IF(V30=0,"",ROUNDUP(V30/H30,0)*0.00753),"")</f>
        <v/>
      </c>
      <c r="X30" s="69" t="inlineStr"/>
      <c r="Y30" s="70" t="inlineStr"/>
      <c r="AC30" s="71" t="n"/>
      <c r="AZ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24" t="n">
        <v>4607091388244</v>
      </c>
      <c r="E31" s="636" t="n"/>
      <c r="F31" s="668" t="n">
        <v>0.42</v>
      </c>
      <c r="G31" s="38" t="n">
        <v>6</v>
      </c>
      <c r="H31" s="668" t="n">
        <v>2.52</v>
      </c>
      <c r="I31" s="668" t="n">
        <v>2.786</v>
      </c>
      <c r="J31" s="38" t="n">
        <v>156</v>
      </c>
      <c r="K31" s="39" t="inlineStr">
        <is>
          <t>СК2</t>
        </is>
      </c>
      <c r="L31" s="38" t="n">
        <v>35</v>
      </c>
      <c r="M31" s="682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N31" s="670" t="n"/>
      <c r="O31" s="670" t="n"/>
      <c r="P31" s="670" t="n"/>
      <c r="Q31" s="636" t="n"/>
      <c r="R31" s="40" t="inlineStr"/>
      <c r="S31" s="40" t="inlineStr"/>
      <c r="T31" s="41" t="inlineStr">
        <is>
          <t>кг</t>
        </is>
      </c>
      <c r="U31" s="671" t="n">
        <v>0</v>
      </c>
      <c r="V31" s="672">
        <f>IFERROR(IF(U31="",0,CEILING((U31/$H31),1)*$H31),"")</f>
        <v/>
      </c>
      <c r="W31" s="42">
        <f>IFERROR(IF(V31=0,"",ROUNDUP(V31/H31,0)*0.00753),"")</f>
        <v/>
      </c>
      <c r="X31" s="69" t="inlineStr"/>
      <c r="Y31" s="70" t="inlineStr"/>
      <c r="AC31" s="71" t="n"/>
      <c r="AZ31" s="79" t="inlineStr">
        <is>
          <t>КИ</t>
        </is>
      </c>
    </row>
    <row r="32">
      <c r="A32" s="319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673" t="n"/>
      <c r="M32" s="674" t="inlineStr">
        <is>
          <t>Итого</t>
        </is>
      </c>
      <c r="N32" s="644" t="n"/>
      <c r="O32" s="644" t="n"/>
      <c r="P32" s="644" t="n"/>
      <c r="Q32" s="644" t="n"/>
      <c r="R32" s="644" t="n"/>
      <c r="S32" s="645" t="n"/>
      <c r="T32" s="43" t="inlineStr">
        <is>
          <t>кор</t>
        </is>
      </c>
      <c r="U32" s="675">
        <f>IFERROR(U26/H26,"0")+IFERROR(U27/H27,"0")+IFERROR(U28/H28,"0")+IFERROR(U29/H29,"0")+IFERROR(U30/H30,"0")+IFERROR(U31/H31,"0")</f>
        <v/>
      </c>
      <c r="V32" s="675">
        <f>IFERROR(V26/H26,"0")+IFERROR(V27/H27,"0")+IFERROR(V28/H28,"0")+IFERROR(V29/H29,"0")+IFERROR(V30/H30,"0")+IFERROR(V31/H31,"0")</f>
        <v/>
      </c>
      <c r="W32" s="675">
        <f>IFERROR(IF(W26="",0,W26),"0")+IFERROR(IF(W27="",0,W27),"0")+IFERROR(IF(W28="",0,W28),"0")+IFERROR(IF(W29="",0,W29),"0")+IFERROR(IF(W30="",0,W30),"0")+IFERROR(IF(W31="",0,W31),"0")</f>
        <v/>
      </c>
      <c r="X32" s="676" t="n"/>
      <c r="Y32" s="676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673" t="n"/>
      <c r="M33" s="674" t="inlineStr">
        <is>
          <t>Итого</t>
        </is>
      </c>
      <c r="N33" s="644" t="n"/>
      <c r="O33" s="644" t="n"/>
      <c r="P33" s="644" t="n"/>
      <c r="Q33" s="644" t="n"/>
      <c r="R33" s="644" t="n"/>
      <c r="S33" s="645" t="n"/>
      <c r="T33" s="43" t="inlineStr">
        <is>
          <t>кг</t>
        </is>
      </c>
      <c r="U33" s="675">
        <f>IFERROR(SUM(U26:U31),"0")</f>
        <v/>
      </c>
      <c r="V33" s="675">
        <f>IFERROR(SUM(V26:V31),"0")</f>
        <v/>
      </c>
      <c r="W33" s="43" t="n"/>
      <c r="X33" s="676" t="n"/>
      <c r="Y33" s="676" t="n"/>
    </row>
    <row r="34" ht="14.25" customHeight="1">
      <c r="A34" s="329" t="inlineStr">
        <is>
          <t>Сырокопченые колбасы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329" t="n"/>
      <c r="Y34" s="329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24" t="n">
        <v>4607091388503</v>
      </c>
      <c r="E35" s="636" t="n"/>
      <c r="F35" s="668" t="n">
        <v>0.05</v>
      </c>
      <c r="G35" s="38" t="n">
        <v>12</v>
      </c>
      <c r="H35" s="668" t="n">
        <v>0.6</v>
      </c>
      <c r="I35" s="668" t="n">
        <v>0.842</v>
      </c>
      <c r="J35" s="38" t="n">
        <v>156</v>
      </c>
      <c r="K35" s="39" t="inlineStr">
        <is>
          <t>АК</t>
        </is>
      </c>
      <c r="L35" s="38" t="n">
        <v>120</v>
      </c>
      <c r="M35" s="683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N35" s="670" t="n"/>
      <c r="O35" s="670" t="n"/>
      <c r="P35" s="670" t="n"/>
      <c r="Q35" s="636" t="n"/>
      <c r="R35" s="40" t="inlineStr"/>
      <c r="S35" s="40" t="inlineStr"/>
      <c r="T35" s="41" t="inlineStr">
        <is>
          <t>кг</t>
        </is>
      </c>
      <c r="U35" s="671" t="n">
        <v>0</v>
      </c>
      <c r="V35" s="672">
        <f>IFERROR(IF(U35="",0,CEILING((U35/$H35),1)*$H35),"")</f>
        <v/>
      </c>
      <c r="W35" s="42">
        <f>IFERROR(IF(V35=0,"",ROUNDUP(V35/H35,0)*0.00753),"")</f>
        <v/>
      </c>
      <c r="X35" s="69" t="inlineStr"/>
      <c r="Y35" s="70" t="inlineStr"/>
      <c r="AC35" s="71" t="n"/>
      <c r="AZ35" s="80" t="inlineStr">
        <is>
          <t>СНК</t>
        </is>
      </c>
    </row>
    <row r="36" ht="27" customHeight="1">
      <c r="A36" s="64" t="inlineStr">
        <is>
          <t>SU002648</t>
        </is>
      </c>
      <c r="B36" s="64" t="inlineStr">
        <is>
          <t>P003009</t>
        </is>
      </c>
      <c r="C36" s="37" t="n">
        <v>4301032036</v>
      </c>
      <c r="D36" s="324" t="n">
        <v>4680115880139</v>
      </c>
      <c r="E36" s="636" t="n"/>
      <c r="F36" s="668" t="n">
        <v>0.025</v>
      </c>
      <c r="G36" s="38" t="n">
        <v>10</v>
      </c>
      <c r="H36" s="668" t="n">
        <v>0.25</v>
      </c>
      <c r="I36" s="668" t="n">
        <v>0.41</v>
      </c>
      <c r="J36" s="38" t="n">
        <v>234</v>
      </c>
      <c r="K36" s="39" t="inlineStr">
        <is>
          <t>МТК</t>
        </is>
      </c>
      <c r="L36" s="38" t="n">
        <v>120</v>
      </c>
      <c r="M36" s="684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/>
      </c>
      <c r="N36" s="670" t="n"/>
      <c r="O36" s="670" t="n"/>
      <c r="P36" s="670" t="n"/>
      <c r="Q36" s="636" t="n"/>
      <c r="R36" s="40" t="inlineStr"/>
      <c r="S36" s="40" t="inlineStr"/>
      <c r="T36" s="41" t="inlineStr">
        <is>
          <t>кг</t>
        </is>
      </c>
      <c r="U36" s="671" t="n">
        <v>0</v>
      </c>
      <c r="V36" s="672">
        <f>IFERROR(IF(U36="",0,CEILING((U36/$H36),1)*$H36),"")</f>
        <v/>
      </c>
      <c r="W36" s="42">
        <f>IFERROR(IF(V36=0,"",ROUNDUP(V36/H36,0)*0.00502),"")</f>
        <v/>
      </c>
      <c r="X36" s="69" t="inlineStr"/>
      <c r="Y36" s="70" t="inlineStr"/>
      <c r="AC36" s="71" t="n"/>
      <c r="AZ36" s="81" t="inlineStr">
        <is>
          <t>СНК</t>
        </is>
      </c>
    </row>
    <row r="37">
      <c r="A37" s="319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673" t="n"/>
      <c r="M37" s="674" t="inlineStr">
        <is>
          <t>Итого</t>
        </is>
      </c>
      <c r="N37" s="644" t="n"/>
      <c r="O37" s="644" t="n"/>
      <c r="P37" s="644" t="n"/>
      <c r="Q37" s="644" t="n"/>
      <c r="R37" s="644" t="n"/>
      <c r="S37" s="645" t="n"/>
      <c r="T37" s="43" t="inlineStr">
        <is>
          <t>кор</t>
        </is>
      </c>
      <c r="U37" s="675">
        <f>IFERROR(U35/H35,"0")+IFERROR(U36/H36,"0")</f>
        <v/>
      </c>
      <c r="V37" s="675">
        <f>IFERROR(V35/H35,"0")+IFERROR(V36/H36,"0")</f>
        <v/>
      </c>
      <c r="W37" s="675">
        <f>IFERROR(IF(W35="",0,W35),"0")+IFERROR(IF(W36="",0,W36),"0")</f>
        <v/>
      </c>
      <c r="X37" s="676" t="n"/>
      <c r="Y37" s="676" t="n"/>
    </row>
    <row r="3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673" t="n"/>
      <c r="M38" s="674" t="inlineStr">
        <is>
          <t>Итого</t>
        </is>
      </c>
      <c r="N38" s="644" t="n"/>
      <c r="O38" s="644" t="n"/>
      <c r="P38" s="644" t="n"/>
      <c r="Q38" s="644" t="n"/>
      <c r="R38" s="644" t="n"/>
      <c r="S38" s="645" t="n"/>
      <c r="T38" s="43" t="inlineStr">
        <is>
          <t>кг</t>
        </is>
      </c>
      <c r="U38" s="675">
        <f>IFERROR(SUM(U35:U36),"0")</f>
        <v/>
      </c>
      <c r="V38" s="675">
        <f>IFERROR(SUM(V35:V36),"0")</f>
        <v/>
      </c>
      <c r="W38" s="43" t="n"/>
      <c r="X38" s="676" t="n"/>
      <c r="Y38" s="676" t="n"/>
    </row>
    <row r="39" ht="14.25" customHeight="1">
      <c r="A39" s="329" t="inlineStr">
        <is>
          <t>Продукты из мяса птицы копчено-вареные</t>
        </is>
      </c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329" t="n"/>
      <c r="Y39" s="329" t="n"/>
    </row>
    <row r="40" ht="80.25" customHeight="1">
      <c r="A40" s="64" t="inlineStr">
        <is>
          <t>SU001872</t>
        </is>
      </c>
      <c r="B40" s="64" t="inlineStr">
        <is>
          <t>P001933</t>
        </is>
      </c>
      <c r="C40" s="37" t="n">
        <v>4301160001</v>
      </c>
      <c r="D40" s="324" t="n">
        <v>4607091388282</v>
      </c>
      <c r="E40" s="636" t="n"/>
      <c r="F40" s="668" t="n">
        <v>0.3</v>
      </c>
      <c r="G40" s="38" t="n">
        <v>6</v>
      </c>
      <c r="H40" s="668" t="n">
        <v>1.8</v>
      </c>
      <c r="I40" s="668" t="n">
        <v>2.084</v>
      </c>
      <c r="J40" s="38" t="n">
        <v>156</v>
      </c>
      <c r="K40" s="39" t="inlineStr">
        <is>
          <t>АК</t>
        </is>
      </c>
      <c r="L40" s="38" t="n">
        <v>30</v>
      </c>
      <c r="M40" s="685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N40" s="670" t="n"/>
      <c r="O40" s="670" t="n"/>
      <c r="P40" s="670" t="n"/>
      <c r="Q40" s="636" t="n"/>
      <c r="R40" s="40" t="inlineStr"/>
      <c r="S40" s="40" t="inlineStr"/>
      <c r="T40" s="41" t="inlineStr">
        <is>
          <t>кг</t>
        </is>
      </c>
      <c r="U40" s="671" t="n">
        <v>0</v>
      </c>
      <c r="V40" s="672">
        <f>IFERROR(IF(U40="",0,CEILING((U40/$H40),1)*$H40),"")</f>
        <v/>
      </c>
      <c r="W40" s="42">
        <f>IFERROR(IF(V40=0,"",ROUNDUP(V40/H40,0)*0.00753),"")</f>
        <v/>
      </c>
      <c r="X40" s="69" t="inlineStr">
        <is>
          <t>Предзаказ по четвергам до 12:00 на отгрузку со вторника следующей недели</t>
        </is>
      </c>
      <c r="Y40" s="70" t="inlineStr"/>
      <c r="AC40" s="71" t="n"/>
      <c r="AZ40" s="82" t="inlineStr">
        <is>
          <t>КИ</t>
        </is>
      </c>
    </row>
    <row r="41">
      <c r="A41" s="319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673" t="n"/>
      <c r="M41" s="674" t="inlineStr">
        <is>
          <t>Итого</t>
        </is>
      </c>
      <c r="N41" s="644" t="n"/>
      <c r="O41" s="644" t="n"/>
      <c r="P41" s="644" t="n"/>
      <c r="Q41" s="644" t="n"/>
      <c r="R41" s="644" t="n"/>
      <c r="S41" s="645" t="n"/>
      <c r="T41" s="43" t="inlineStr">
        <is>
          <t>кор</t>
        </is>
      </c>
      <c r="U41" s="675">
        <f>IFERROR(U40/H40,"0")</f>
        <v/>
      </c>
      <c r="V41" s="675">
        <f>IFERROR(V40/H40,"0")</f>
        <v/>
      </c>
      <c r="W41" s="675">
        <f>IFERROR(IF(W40="",0,W40),"0")</f>
        <v/>
      </c>
      <c r="X41" s="676" t="n"/>
      <c r="Y41" s="676" t="n"/>
    </row>
    <row r="42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673" t="n"/>
      <c r="M42" s="674" t="inlineStr">
        <is>
          <t>Итого</t>
        </is>
      </c>
      <c r="N42" s="644" t="n"/>
      <c r="O42" s="644" t="n"/>
      <c r="P42" s="644" t="n"/>
      <c r="Q42" s="644" t="n"/>
      <c r="R42" s="644" t="n"/>
      <c r="S42" s="645" t="n"/>
      <c r="T42" s="43" t="inlineStr">
        <is>
          <t>кг</t>
        </is>
      </c>
      <c r="U42" s="675">
        <f>IFERROR(SUM(U40:U40),"0")</f>
        <v/>
      </c>
      <c r="V42" s="675">
        <f>IFERROR(SUM(V40:V40),"0")</f>
        <v/>
      </c>
      <c r="W42" s="43" t="n"/>
      <c r="X42" s="676" t="n"/>
      <c r="Y42" s="676" t="n"/>
    </row>
    <row r="43" ht="27.75" customHeight="1">
      <c r="A43" s="340" t="inlineStr">
        <is>
          <t>Вязанка</t>
        </is>
      </c>
      <c r="B43" s="667" t="n"/>
      <c r="C43" s="667" t="n"/>
      <c r="D43" s="667" t="n"/>
      <c r="E43" s="667" t="n"/>
      <c r="F43" s="667" t="n"/>
      <c r="G43" s="667" t="n"/>
      <c r="H43" s="667" t="n"/>
      <c r="I43" s="667" t="n"/>
      <c r="J43" s="667" t="n"/>
      <c r="K43" s="667" t="n"/>
      <c r="L43" s="667" t="n"/>
      <c r="M43" s="667" t="n"/>
      <c r="N43" s="667" t="n"/>
      <c r="O43" s="667" t="n"/>
      <c r="P43" s="667" t="n"/>
      <c r="Q43" s="667" t="n"/>
      <c r="R43" s="667" t="n"/>
      <c r="S43" s="667" t="n"/>
      <c r="T43" s="667" t="n"/>
      <c r="U43" s="667" t="n"/>
      <c r="V43" s="667" t="n"/>
      <c r="W43" s="667" t="n"/>
      <c r="X43" s="55" t="n"/>
      <c r="Y43" s="55" t="n"/>
    </row>
    <row r="44" ht="16.5" customHeight="1">
      <c r="A44" s="328" t="inlineStr">
        <is>
          <t>Столичная</t>
        </is>
      </c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328" t="n"/>
      <c r="Y44" s="328" t="n"/>
    </row>
    <row r="45" ht="14.25" customHeight="1">
      <c r="A45" s="329" t="inlineStr">
        <is>
          <t>Ветчины</t>
        </is>
      </c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329" t="n"/>
      <c r="Y45" s="329" t="n"/>
    </row>
    <row r="46" ht="27" customHeight="1">
      <c r="A46" s="64" t="inlineStr">
        <is>
          <t>SU002828</t>
        </is>
      </c>
      <c r="B46" s="64" t="inlineStr">
        <is>
          <t>P003234</t>
        </is>
      </c>
      <c r="C46" s="37" t="n">
        <v>4301020234</v>
      </c>
      <c r="D46" s="324" t="n">
        <v>4680115881440</v>
      </c>
      <c r="E46" s="636" t="n"/>
      <c r="F46" s="668" t="n">
        <v>1.35</v>
      </c>
      <c r="G46" s="38" t="n">
        <v>8</v>
      </c>
      <c r="H46" s="668" t="n">
        <v>10.8</v>
      </c>
      <c r="I46" s="668" t="n">
        <v>11.28</v>
      </c>
      <c r="J46" s="38" t="n">
        <v>56</v>
      </c>
      <c r="K46" s="39" t="inlineStr">
        <is>
          <t>СК1</t>
        </is>
      </c>
      <c r="L46" s="38" t="n">
        <v>50</v>
      </c>
      <c r="M46" s="686">
        <f>HYPERLINK("https://abi.ru/products/Охлажденные/Вязанка/Столичная/Ветчины/P003234/","Ветчины «Филейская» Весовые Вектор ТМ «Вязанка»")</f>
        <v/>
      </c>
      <c r="N46" s="670" t="n"/>
      <c r="O46" s="670" t="n"/>
      <c r="P46" s="670" t="n"/>
      <c r="Q46" s="636" t="n"/>
      <c r="R46" s="40" t="inlineStr"/>
      <c r="S46" s="40" t="inlineStr"/>
      <c r="T46" s="41" t="inlineStr">
        <is>
          <t>кг</t>
        </is>
      </c>
      <c r="U46" s="671" t="n">
        <v>0</v>
      </c>
      <c r="V46" s="672">
        <f>IFERROR(IF(U46="",0,CEILING((U46/$H46),1)*$H46),"")</f>
        <v/>
      </c>
      <c r="W46" s="42">
        <f>IFERROR(IF(V46=0,"",ROUNDUP(V46/H46,0)*0.02175),"")</f>
        <v/>
      </c>
      <c r="X46" s="69" t="inlineStr"/>
      <c r="Y46" s="70" t="inlineStr"/>
      <c r="AC46" s="71" t="n"/>
      <c r="AZ46" s="83" t="inlineStr">
        <is>
          <t>КИ</t>
        </is>
      </c>
    </row>
    <row r="47" ht="27" customHeight="1">
      <c r="A47" s="64" t="inlineStr">
        <is>
          <t>SU002814</t>
        </is>
      </c>
      <c r="B47" s="64" t="inlineStr">
        <is>
          <t>P003226</t>
        </is>
      </c>
      <c r="C47" s="37" t="n">
        <v>4301020232</v>
      </c>
      <c r="D47" s="324" t="n">
        <v>4680115881433</v>
      </c>
      <c r="E47" s="636" t="n"/>
      <c r="F47" s="668" t="n">
        <v>0.45</v>
      </c>
      <c r="G47" s="38" t="n">
        <v>6</v>
      </c>
      <c r="H47" s="668" t="n">
        <v>2.7</v>
      </c>
      <c r="I47" s="668" t="n">
        <v>2.9</v>
      </c>
      <c r="J47" s="38" t="n">
        <v>156</v>
      </c>
      <c r="K47" s="39" t="inlineStr">
        <is>
          <t>СК1</t>
        </is>
      </c>
      <c r="L47" s="38" t="n">
        <v>50</v>
      </c>
      <c r="M47" s="687">
        <f>HYPERLINK("https://abi.ru/products/Охлажденные/Вязанка/Столичная/Ветчины/P003226/","Ветчины «Филейская» Фикс.вес 0,45 Вектор ТМ «Вязанка»")</f>
        <v/>
      </c>
      <c r="N47" s="670" t="n"/>
      <c r="O47" s="670" t="n"/>
      <c r="P47" s="670" t="n"/>
      <c r="Q47" s="636" t="n"/>
      <c r="R47" s="40" t="inlineStr"/>
      <c r="S47" s="40" t="inlineStr"/>
      <c r="T47" s="41" t="inlineStr">
        <is>
          <t>кг</t>
        </is>
      </c>
      <c r="U47" s="671" t="n">
        <v>0</v>
      </c>
      <c r="V47" s="672">
        <f>IFERROR(IF(U47="",0,CEILING((U47/$H47),1)*$H47),"")</f>
        <v/>
      </c>
      <c r="W47" s="42">
        <f>IFERROR(IF(V47=0,"",ROUNDUP(V47/H47,0)*0.00753),"")</f>
        <v/>
      </c>
      <c r="X47" s="69" t="inlineStr"/>
      <c r="Y47" s="70" t="inlineStr"/>
      <c r="AC47" s="71" t="n"/>
      <c r="AZ47" s="84" t="inlineStr">
        <is>
          <t>КИ</t>
        </is>
      </c>
    </row>
    <row r="48">
      <c r="A48" s="319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673" t="n"/>
      <c r="M48" s="674" t="inlineStr">
        <is>
          <t>Итого</t>
        </is>
      </c>
      <c r="N48" s="644" t="n"/>
      <c r="O48" s="644" t="n"/>
      <c r="P48" s="644" t="n"/>
      <c r="Q48" s="644" t="n"/>
      <c r="R48" s="644" t="n"/>
      <c r="S48" s="645" t="n"/>
      <c r="T48" s="43" t="inlineStr">
        <is>
          <t>кор</t>
        </is>
      </c>
      <c r="U48" s="675">
        <f>IFERROR(U46/H46,"0")+IFERROR(U47/H47,"0")</f>
        <v/>
      </c>
      <c r="V48" s="675">
        <f>IFERROR(V46/H46,"0")+IFERROR(V47/H47,"0")</f>
        <v/>
      </c>
      <c r="W48" s="675">
        <f>IFERROR(IF(W46="",0,W46),"0")+IFERROR(IF(W47="",0,W47),"0")</f>
        <v/>
      </c>
      <c r="X48" s="676" t="n"/>
      <c r="Y48" s="676" t="n"/>
    </row>
    <row r="49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673" t="n"/>
      <c r="M49" s="674" t="inlineStr">
        <is>
          <t>Итого</t>
        </is>
      </c>
      <c r="N49" s="644" t="n"/>
      <c r="O49" s="644" t="n"/>
      <c r="P49" s="644" t="n"/>
      <c r="Q49" s="644" t="n"/>
      <c r="R49" s="644" t="n"/>
      <c r="S49" s="645" t="n"/>
      <c r="T49" s="43" t="inlineStr">
        <is>
          <t>кг</t>
        </is>
      </c>
      <c r="U49" s="675">
        <f>IFERROR(SUM(U46:U47),"0")</f>
        <v/>
      </c>
      <c r="V49" s="675">
        <f>IFERROR(SUM(V46:V47),"0")</f>
        <v/>
      </c>
      <c r="W49" s="43" t="n"/>
      <c r="X49" s="676" t="n"/>
      <c r="Y49" s="676" t="n"/>
    </row>
    <row r="50" ht="16.5" customHeight="1">
      <c r="A50" s="328" t="inlineStr">
        <is>
          <t>Классическая</t>
        </is>
      </c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328" t="n"/>
      <c r="Y50" s="328" t="n"/>
    </row>
    <row r="51" ht="14.25" customHeight="1">
      <c r="A51" s="329" t="inlineStr">
        <is>
          <t>Вареные колбасы</t>
        </is>
      </c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329" t="n"/>
      <c r="Y51" s="329" t="n"/>
    </row>
    <row r="52" ht="27" customHeight="1">
      <c r="A52" s="64" t="inlineStr">
        <is>
          <t>SU002829</t>
        </is>
      </c>
      <c r="B52" s="64" t="inlineStr">
        <is>
          <t>P003235</t>
        </is>
      </c>
      <c r="C52" s="37" t="n">
        <v>4301011452</v>
      </c>
      <c r="D52" s="324" t="n">
        <v>4680115881426</v>
      </c>
      <c r="E52" s="636" t="n"/>
      <c r="F52" s="668" t="n">
        <v>1.35</v>
      </c>
      <c r="G52" s="38" t="n">
        <v>8</v>
      </c>
      <c r="H52" s="668" t="n">
        <v>10.8</v>
      </c>
      <c r="I52" s="668" t="n">
        <v>11.28</v>
      </c>
      <c r="J52" s="38" t="n">
        <v>56</v>
      </c>
      <c r="K52" s="39" t="inlineStr">
        <is>
          <t>СК1</t>
        </is>
      </c>
      <c r="L52" s="38" t="n">
        <v>50</v>
      </c>
      <c r="M52" s="688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N52" s="670" t="n"/>
      <c r="O52" s="670" t="n"/>
      <c r="P52" s="670" t="n"/>
      <c r="Q52" s="636" t="n"/>
      <c r="R52" s="40" t="inlineStr"/>
      <c r="S52" s="40" t="inlineStr"/>
      <c r="T52" s="41" t="inlineStr">
        <is>
          <t>кг</t>
        </is>
      </c>
      <c r="U52" s="671" t="n">
        <v>0</v>
      </c>
      <c r="V52" s="672">
        <f>IFERROR(IF(U52="",0,CEILING((U52/$H52),1)*$H52),"")</f>
        <v/>
      </c>
      <c r="W52" s="42">
        <f>IFERROR(IF(V52=0,"",ROUNDUP(V52/H52,0)*0.02175),"")</f>
        <v/>
      </c>
      <c r="X52" s="69" t="inlineStr"/>
      <c r="Y52" s="70" t="inlineStr"/>
      <c r="AC52" s="71" t="n"/>
      <c r="AZ52" s="85" t="inlineStr">
        <is>
          <t>КИ</t>
        </is>
      </c>
    </row>
    <row r="53" ht="27" customHeight="1">
      <c r="A53" s="64" t="inlineStr">
        <is>
          <t>SU002815</t>
        </is>
      </c>
      <c r="B53" s="64" t="inlineStr">
        <is>
          <t>P003227</t>
        </is>
      </c>
      <c r="C53" s="37" t="n">
        <v>4301011437</v>
      </c>
      <c r="D53" s="324" t="n">
        <v>4680115881419</v>
      </c>
      <c r="E53" s="636" t="n"/>
      <c r="F53" s="668" t="n">
        <v>0.45</v>
      </c>
      <c r="G53" s="38" t="n">
        <v>10</v>
      </c>
      <c r="H53" s="668" t="n">
        <v>4.5</v>
      </c>
      <c r="I53" s="668" t="n">
        <v>4.74</v>
      </c>
      <c r="J53" s="38" t="n">
        <v>120</v>
      </c>
      <c r="K53" s="39" t="inlineStr">
        <is>
          <t>СК1</t>
        </is>
      </c>
      <c r="L53" s="38" t="n">
        <v>50</v>
      </c>
      <c r="M53" s="689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N53" s="670" t="n"/>
      <c r="O53" s="670" t="n"/>
      <c r="P53" s="670" t="n"/>
      <c r="Q53" s="636" t="n"/>
      <c r="R53" s="40" t="inlineStr"/>
      <c r="S53" s="40" t="inlineStr"/>
      <c r="T53" s="41" t="inlineStr">
        <is>
          <t>кг</t>
        </is>
      </c>
      <c r="U53" s="671" t="n">
        <v>0</v>
      </c>
      <c r="V53" s="672">
        <f>IFERROR(IF(U53="",0,CEILING((U53/$H53),1)*$H53),"")</f>
        <v/>
      </c>
      <c r="W53" s="42">
        <f>IFERROR(IF(V53=0,"",ROUNDUP(V53/H53,0)*0.00937),"")</f>
        <v/>
      </c>
      <c r="X53" s="69" t="inlineStr"/>
      <c r="Y53" s="70" t="inlineStr"/>
      <c r="AC53" s="71" t="n"/>
      <c r="AZ53" s="86" t="inlineStr">
        <is>
          <t>КИ</t>
        </is>
      </c>
    </row>
    <row r="54" ht="27" customHeight="1">
      <c r="A54" s="64" t="inlineStr">
        <is>
          <t>SU002831</t>
        </is>
      </c>
      <c r="B54" s="64" t="inlineStr">
        <is>
          <t>P003243</t>
        </is>
      </c>
      <c r="C54" s="37" t="n">
        <v>4301011458</v>
      </c>
      <c r="D54" s="324" t="n">
        <v>4680115881525</v>
      </c>
      <c r="E54" s="636" t="n"/>
      <c r="F54" s="668" t="n">
        <v>0.4</v>
      </c>
      <c r="G54" s="38" t="n">
        <v>10</v>
      </c>
      <c r="H54" s="668" t="n">
        <v>4</v>
      </c>
      <c r="I54" s="668" t="n">
        <v>4.24</v>
      </c>
      <c r="J54" s="38" t="n">
        <v>120</v>
      </c>
      <c r="K54" s="39" t="inlineStr">
        <is>
          <t>СК1</t>
        </is>
      </c>
      <c r="L54" s="38" t="n">
        <v>50</v>
      </c>
      <c r="M54" s="690" t="inlineStr">
        <is>
          <t>Колбаса вареная Филейская ТМ Вязанка ТС Классическая полиамид ф/в 0,4 кг</t>
        </is>
      </c>
      <c r="N54" s="670" t="n"/>
      <c r="O54" s="670" t="n"/>
      <c r="P54" s="670" t="n"/>
      <c r="Q54" s="636" t="n"/>
      <c r="R54" s="40" t="inlineStr"/>
      <c r="S54" s="40" t="inlineStr"/>
      <c r="T54" s="41" t="inlineStr">
        <is>
          <t>кг</t>
        </is>
      </c>
      <c r="U54" s="671" t="n">
        <v>0</v>
      </c>
      <c r="V54" s="672">
        <f>IFERROR(IF(U54="",0,CEILING((U54/$H54),1)*$H54),"")</f>
        <v/>
      </c>
      <c r="W54" s="42">
        <f>IFERROR(IF(V54=0,"",ROUNDUP(V54/H54,0)*0.00937),"")</f>
        <v/>
      </c>
      <c r="X54" s="69" t="inlineStr"/>
      <c r="Y54" s="70" t="inlineStr"/>
      <c r="AC54" s="71" t="n"/>
      <c r="AZ54" s="87" t="inlineStr">
        <is>
          <t>КИ</t>
        </is>
      </c>
    </row>
    <row r="55">
      <c r="A55" s="319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673" t="n"/>
      <c r="M55" s="674" t="inlineStr">
        <is>
          <t>Итого</t>
        </is>
      </c>
      <c r="N55" s="644" t="n"/>
      <c r="O55" s="644" t="n"/>
      <c r="P55" s="644" t="n"/>
      <c r="Q55" s="644" t="n"/>
      <c r="R55" s="644" t="n"/>
      <c r="S55" s="645" t="n"/>
      <c r="T55" s="43" t="inlineStr">
        <is>
          <t>кор</t>
        </is>
      </c>
      <c r="U55" s="675">
        <f>IFERROR(U52/H52,"0")+IFERROR(U53/H53,"0")+IFERROR(U54/H54,"0")</f>
        <v/>
      </c>
      <c r="V55" s="675">
        <f>IFERROR(V52/H52,"0")+IFERROR(V53/H53,"0")+IFERROR(V54/H54,"0")</f>
        <v/>
      </c>
      <c r="W55" s="675">
        <f>IFERROR(IF(W52="",0,W52),"0")+IFERROR(IF(W53="",0,W53),"0")+IFERROR(IF(W54="",0,W54),"0")</f>
        <v/>
      </c>
      <c r="X55" s="676" t="n"/>
      <c r="Y55" s="676" t="n"/>
    </row>
    <row r="56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673" t="n"/>
      <c r="M56" s="674" t="inlineStr">
        <is>
          <t>Итого</t>
        </is>
      </c>
      <c r="N56" s="644" t="n"/>
      <c r="O56" s="644" t="n"/>
      <c r="P56" s="644" t="n"/>
      <c r="Q56" s="644" t="n"/>
      <c r="R56" s="644" t="n"/>
      <c r="S56" s="645" t="n"/>
      <c r="T56" s="43" t="inlineStr">
        <is>
          <t>кг</t>
        </is>
      </c>
      <c r="U56" s="675">
        <f>IFERROR(SUM(U52:U54),"0")</f>
        <v/>
      </c>
      <c r="V56" s="675">
        <f>IFERROR(SUM(V52:V54),"0")</f>
        <v/>
      </c>
      <c r="W56" s="43" t="n"/>
      <c r="X56" s="676" t="n"/>
      <c r="Y56" s="676" t="n"/>
    </row>
    <row r="57" ht="16.5" customHeight="1">
      <c r="A57" s="328" t="inlineStr">
        <is>
          <t>Вязанка</t>
        </is>
      </c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328" t="n"/>
      <c r="Y57" s="328" t="n"/>
    </row>
    <row r="58" ht="14.25" customHeight="1">
      <c r="A58" s="329" t="inlineStr">
        <is>
          <t>Вареные колбасы</t>
        </is>
      </c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329" t="n"/>
      <c r="Y58" s="329" t="n"/>
    </row>
    <row r="59" ht="27" customHeight="1">
      <c r="A59" s="64" t="inlineStr">
        <is>
          <t>SU000124</t>
        </is>
      </c>
      <c r="B59" s="64" t="inlineStr">
        <is>
          <t>P002478</t>
        </is>
      </c>
      <c r="C59" s="37" t="n">
        <v>4301011191</v>
      </c>
      <c r="D59" s="324" t="n">
        <v>4607091382945</v>
      </c>
      <c r="E59" s="636" t="n"/>
      <c r="F59" s="668" t="n">
        <v>1.35</v>
      </c>
      <c r="G59" s="38" t="n">
        <v>8</v>
      </c>
      <c r="H59" s="668" t="n">
        <v>10.8</v>
      </c>
      <c r="I59" s="668" t="n">
        <v>11.28</v>
      </c>
      <c r="J59" s="38" t="n">
        <v>56</v>
      </c>
      <c r="K59" s="39" t="inlineStr">
        <is>
          <t>СК1</t>
        </is>
      </c>
      <c r="L59" s="38" t="n">
        <v>50</v>
      </c>
      <c r="M59" s="691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/>
      </c>
      <c r="N59" s="670" t="n"/>
      <c r="O59" s="670" t="n"/>
      <c r="P59" s="670" t="n"/>
      <c r="Q59" s="636" t="n"/>
      <c r="R59" s="40" t="inlineStr"/>
      <c r="S59" s="40" t="inlineStr"/>
      <c r="T59" s="41" t="inlineStr">
        <is>
          <t>кг</t>
        </is>
      </c>
      <c r="U59" s="671" t="n">
        <v>0</v>
      </c>
      <c r="V59" s="672">
        <f>IFERROR(IF(U59="",0,CEILING((U59/$H59),1)*$H59),"")</f>
        <v/>
      </c>
      <c r="W59" s="42">
        <f>IFERROR(IF(V59=0,"",ROUNDUP(V59/H59,0)*0.02175),"")</f>
        <v/>
      </c>
      <c r="X59" s="69" t="inlineStr"/>
      <c r="Y59" s="70" t="inlineStr"/>
      <c r="AC59" s="71" t="n"/>
      <c r="AZ59" s="88" t="inlineStr">
        <is>
          <t>КИ</t>
        </is>
      </c>
    </row>
    <row r="60" ht="27" customHeight="1">
      <c r="A60" s="64" t="inlineStr">
        <is>
          <t>SU000722</t>
        </is>
      </c>
      <c r="B60" s="64" t="inlineStr">
        <is>
          <t>P003011</t>
        </is>
      </c>
      <c r="C60" s="37" t="n">
        <v>4301011380</v>
      </c>
      <c r="D60" s="324" t="n">
        <v>4607091385670</v>
      </c>
      <c r="E60" s="636" t="n"/>
      <c r="F60" s="668" t="n">
        <v>1.35</v>
      </c>
      <c r="G60" s="38" t="n">
        <v>8</v>
      </c>
      <c r="H60" s="668" t="n">
        <v>10.8</v>
      </c>
      <c r="I60" s="668" t="n">
        <v>11.28</v>
      </c>
      <c r="J60" s="38" t="n">
        <v>56</v>
      </c>
      <c r="K60" s="39" t="inlineStr">
        <is>
          <t>СК1</t>
        </is>
      </c>
      <c r="L60" s="38" t="n">
        <v>50</v>
      </c>
      <c r="M60" s="692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N60" s="670" t="n"/>
      <c r="O60" s="670" t="n"/>
      <c r="P60" s="670" t="n"/>
      <c r="Q60" s="636" t="n"/>
      <c r="R60" s="40" t="inlineStr"/>
      <c r="S60" s="40" t="inlineStr"/>
      <c r="T60" s="41" t="inlineStr">
        <is>
          <t>кг</t>
        </is>
      </c>
      <c r="U60" s="671" t="n">
        <v>0</v>
      </c>
      <c r="V60" s="672">
        <f>IFERROR(IF(U60="",0,CEILING((U60/$H60),1)*$H60),"")</f>
        <v/>
      </c>
      <c r="W60" s="42">
        <f>IFERROR(IF(V60=0,"",ROUNDUP(V60/H60,0)*0.02175),"")</f>
        <v/>
      </c>
      <c r="X60" s="69" t="inlineStr"/>
      <c r="Y60" s="70" t="inlineStr"/>
      <c r="AC60" s="71" t="n"/>
      <c r="AZ60" s="89" t="inlineStr">
        <is>
          <t>КИ</t>
        </is>
      </c>
    </row>
    <row r="61" ht="27" customHeight="1">
      <c r="A61" s="64" t="inlineStr">
        <is>
          <t>SU002830</t>
        </is>
      </c>
      <c r="B61" s="64" t="inlineStr">
        <is>
          <t>P003239</t>
        </is>
      </c>
      <c r="C61" s="37" t="n">
        <v>4301011468</v>
      </c>
      <c r="D61" s="324" t="n">
        <v>4680115881327</v>
      </c>
      <c r="E61" s="636" t="n"/>
      <c r="F61" s="668" t="n">
        <v>1.35</v>
      </c>
      <c r="G61" s="38" t="n">
        <v>8</v>
      </c>
      <c r="H61" s="668" t="n">
        <v>10.8</v>
      </c>
      <c r="I61" s="668" t="n">
        <v>11.28</v>
      </c>
      <c r="J61" s="38" t="n">
        <v>56</v>
      </c>
      <c r="K61" s="39" t="inlineStr">
        <is>
          <t>СК4</t>
        </is>
      </c>
      <c r="L61" s="38" t="n">
        <v>50</v>
      </c>
      <c r="M61" s="693">
        <f>HYPERLINK("https://abi.ru/products/Охлажденные/Вязанка/Вязанка/Вареные колбасы/P003239/","Вареные колбасы Молокуша Вязанка Вес п/а Вязанка")</f>
        <v/>
      </c>
      <c r="N61" s="670" t="n"/>
      <c r="O61" s="670" t="n"/>
      <c r="P61" s="670" t="n"/>
      <c r="Q61" s="636" t="n"/>
      <c r="R61" s="40" t="inlineStr"/>
      <c r="S61" s="40" t="inlineStr"/>
      <c r="T61" s="41" t="inlineStr">
        <is>
          <t>кг</t>
        </is>
      </c>
      <c r="U61" s="671" t="n">
        <v>0</v>
      </c>
      <c r="V61" s="672">
        <f>IFERROR(IF(U61="",0,CEILING((U61/$H61),1)*$H61),"")</f>
        <v/>
      </c>
      <c r="W61" s="42">
        <f>IFERROR(IF(V61=0,"",ROUNDUP(V61/H61,0)*0.02175),"")</f>
        <v/>
      </c>
      <c r="X61" s="69" t="inlineStr"/>
      <c r="Y61" s="70" t="inlineStr"/>
      <c r="AC61" s="71" t="n"/>
      <c r="AZ61" s="90" t="inlineStr">
        <is>
          <t>КИ</t>
        </is>
      </c>
    </row>
    <row r="62" ht="16.5" customHeight="1">
      <c r="A62" s="64" t="inlineStr">
        <is>
          <t>SU001904</t>
        </is>
      </c>
      <c r="B62" s="64" t="inlineStr">
        <is>
          <t>P001681</t>
        </is>
      </c>
      <c r="C62" s="37" t="n">
        <v>4301011348</v>
      </c>
      <c r="D62" s="324" t="n">
        <v>4607091388312</v>
      </c>
      <c r="E62" s="636" t="n"/>
      <c r="F62" s="668" t="n">
        <v>1.35</v>
      </c>
      <c r="G62" s="38" t="n">
        <v>8</v>
      </c>
      <c r="H62" s="668" t="n">
        <v>10.8</v>
      </c>
      <c r="I62" s="668" t="n">
        <v>11.28</v>
      </c>
      <c r="J62" s="38" t="n">
        <v>56</v>
      </c>
      <c r="K62" s="39" t="inlineStr">
        <is>
          <t>СК1</t>
        </is>
      </c>
      <c r="L62" s="38" t="n">
        <v>45</v>
      </c>
      <c r="M62" s="694">
        <f>HYPERLINK("https://abi.ru/products/Охлажденные/Вязанка/Вязанка/Вареные колбасы/P001681/","Вареные колбасы с индейкой Вязанка Весовые вектор Вязанка")</f>
        <v/>
      </c>
      <c r="N62" s="670" t="n"/>
      <c r="O62" s="670" t="n"/>
      <c r="P62" s="670" t="n"/>
      <c r="Q62" s="636" t="n"/>
      <c r="R62" s="40" t="inlineStr"/>
      <c r="S62" s="40" t="inlineStr"/>
      <c r="T62" s="41" t="inlineStr">
        <is>
          <t>кг</t>
        </is>
      </c>
      <c r="U62" s="671" t="n">
        <v>0</v>
      </c>
      <c r="V62" s="672">
        <f>IFERROR(IF(U62="",0,CEILING((U62/$H62),1)*$H62),"")</f>
        <v/>
      </c>
      <c r="W62" s="42">
        <f>IFERROR(IF(V62=0,"",ROUNDUP(V62/H62,0)*0.02175),"")</f>
        <v/>
      </c>
      <c r="X62" s="69" t="inlineStr"/>
      <c r="Y62" s="70" t="inlineStr"/>
      <c r="AC62" s="71" t="n"/>
      <c r="AZ62" s="91" t="inlineStr">
        <is>
          <t>КИ</t>
        </is>
      </c>
    </row>
    <row r="63" ht="16.5" customHeight="1">
      <c r="A63" s="64" t="inlineStr">
        <is>
          <t>SU002928</t>
        </is>
      </c>
      <c r="B63" s="64" t="inlineStr">
        <is>
          <t>P003357</t>
        </is>
      </c>
      <c r="C63" s="37" t="n">
        <v>4301011514</v>
      </c>
      <c r="D63" s="324" t="n">
        <v>4680115882133</v>
      </c>
      <c r="E63" s="636" t="n"/>
      <c r="F63" s="668" t="n">
        <v>1.35</v>
      </c>
      <c r="G63" s="38" t="n">
        <v>8</v>
      </c>
      <c r="H63" s="668" t="n">
        <v>10.8</v>
      </c>
      <c r="I63" s="668" t="n">
        <v>11.28</v>
      </c>
      <c r="J63" s="38" t="n">
        <v>56</v>
      </c>
      <c r="K63" s="39" t="inlineStr">
        <is>
          <t>СК1</t>
        </is>
      </c>
      <c r="L63" s="38" t="n">
        <v>50</v>
      </c>
      <c r="M63" s="695">
        <f>HYPERLINK("https://abi.ru/products/Охлажденные/Вязанка/Вязанка/Вареные колбасы/P003357/","Вареные колбасы «Сливушка» Вес П/а ТМ «Вязанка»")</f>
        <v/>
      </c>
      <c r="N63" s="670" t="n"/>
      <c r="O63" s="670" t="n"/>
      <c r="P63" s="670" t="n"/>
      <c r="Q63" s="636" t="n"/>
      <c r="R63" s="40" t="inlineStr"/>
      <c r="S63" s="40" t="inlineStr"/>
      <c r="T63" s="41" t="inlineStr">
        <is>
          <t>кг</t>
        </is>
      </c>
      <c r="U63" s="671" t="n">
        <v>0</v>
      </c>
      <c r="V63" s="672">
        <f>IFERROR(IF(U63="",0,CEILING((U63/$H63),1)*$H63),"")</f>
        <v/>
      </c>
      <c r="W63" s="42">
        <f>IFERROR(IF(V63=0,"",ROUNDUP(V63/H63,0)*0.02175),"")</f>
        <v/>
      </c>
      <c r="X63" s="69" t="inlineStr"/>
      <c r="Y63" s="70" t="inlineStr"/>
      <c r="AC63" s="71" t="n"/>
      <c r="AZ63" s="92" t="inlineStr">
        <is>
          <t>КИ</t>
        </is>
      </c>
    </row>
    <row r="64" ht="27" customHeight="1">
      <c r="A64" s="64" t="inlineStr">
        <is>
          <t>SU000125</t>
        </is>
      </c>
      <c r="B64" s="64" t="inlineStr">
        <is>
          <t>P002479</t>
        </is>
      </c>
      <c r="C64" s="37" t="n">
        <v>4301011192</v>
      </c>
      <c r="D64" s="324" t="n">
        <v>4607091382952</v>
      </c>
      <c r="E64" s="636" t="n"/>
      <c r="F64" s="668" t="n">
        <v>0.5</v>
      </c>
      <c r="G64" s="38" t="n">
        <v>6</v>
      </c>
      <c r="H64" s="668" t="n">
        <v>3</v>
      </c>
      <c r="I64" s="668" t="n">
        <v>3.2</v>
      </c>
      <c r="J64" s="38" t="n">
        <v>156</v>
      </c>
      <c r="K64" s="39" t="inlineStr">
        <is>
          <t>СК1</t>
        </is>
      </c>
      <c r="L64" s="38" t="n">
        <v>50</v>
      </c>
      <c r="M64" s="696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N64" s="670" t="n"/>
      <c r="O64" s="670" t="n"/>
      <c r="P64" s="670" t="n"/>
      <c r="Q64" s="636" t="n"/>
      <c r="R64" s="40" t="inlineStr"/>
      <c r="S64" s="40" t="inlineStr"/>
      <c r="T64" s="41" t="inlineStr">
        <is>
          <t>кг</t>
        </is>
      </c>
      <c r="U64" s="671" t="n">
        <v>0</v>
      </c>
      <c r="V64" s="672">
        <f>IFERROR(IF(U64="",0,CEILING((U64/$H64),1)*$H64),"")</f>
        <v/>
      </c>
      <c r="W64" s="42">
        <f>IFERROR(IF(V64=0,"",ROUNDUP(V64/H64,0)*0.00753),"")</f>
        <v/>
      </c>
      <c r="X64" s="69" t="inlineStr"/>
      <c r="Y64" s="70" t="inlineStr"/>
      <c r="AC64" s="71" t="n"/>
      <c r="AZ64" s="93" t="inlineStr">
        <is>
          <t>КИ</t>
        </is>
      </c>
    </row>
    <row r="65" ht="27" customHeight="1">
      <c r="A65" s="64" t="inlineStr">
        <is>
          <t>SU001485</t>
        </is>
      </c>
      <c r="B65" s="64" t="inlineStr">
        <is>
          <t>P003008</t>
        </is>
      </c>
      <c r="C65" s="37" t="n">
        <v>4301011382</v>
      </c>
      <c r="D65" s="324" t="n">
        <v>4607091385687</v>
      </c>
      <c r="E65" s="636" t="n"/>
      <c r="F65" s="668" t="n">
        <v>0.4</v>
      </c>
      <c r="G65" s="38" t="n">
        <v>10</v>
      </c>
      <c r="H65" s="668" t="n">
        <v>4</v>
      </c>
      <c r="I65" s="668" t="n">
        <v>4.24</v>
      </c>
      <c r="J65" s="38" t="n">
        <v>120</v>
      </c>
      <c r="K65" s="39" t="inlineStr">
        <is>
          <t>СК3</t>
        </is>
      </c>
      <c r="L65" s="38" t="n">
        <v>50</v>
      </c>
      <c r="M65" s="697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N65" s="670" t="n"/>
      <c r="O65" s="670" t="n"/>
      <c r="P65" s="670" t="n"/>
      <c r="Q65" s="636" t="n"/>
      <c r="R65" s="40" t="inlineStr"/>
      <c r="S65" s="40" t="inlineStr"/>
      <c r="T65" s="41" t="inlineStr">
        <is>
          <t>кг</t>
        </is>
      </c>
      <c r="U65" s="671" t="n">
        <v>0</v>
      </c>
      <c r="V65" s="672">
        <f>IFERROR(IF(U65="",0,CEILING((U65/$H65),1)*$H65),"")</f>
        <v/>
      </c>
      <c r="W65" s="42">
        <f>IFERROR(IF(V65=0,"",ROUNDUP(V65/H65,0)*0.00937),"")</f>
        <v/>
      </c>
      <c r="X65" s="69" t="inlineStr"/>
      <c r="Y65" s="70" t="inlineStr"/>
      <c r="AC65" s="71" t="n"/>
      <c r="AZ65" s="94" t="inlineStr">
        <is>
          <t>КИ</t>
        </is>
      </c>
    </row>
    <row r="66" ht="27" customHeight="1">
      <c r="A66" s="64" t="inlineStr">
        <is>
          <t>SU002986</t>
        </is>
      </c>
      <c r="B66" s="64" t="inlineStr">
        <is>
          <t>P003429</t>
        </is>
      </c>
      <c r="C66" s="37" t="n">
        <v>4301011565</v>
      </c>
      <c r="D66" s="324" t="n">
        <v>4680115882539</v>
      </c>
      <c r="E66" s="636" t="n"/>
      <c r="F66" s="668" t="n">
        <v>0.37</v>
      </c>
      <c r="G66" s="38" t="n">
        <v>10</v>
      </c>
      <c r="H66" s="668" t="n">
        <v>3.7</v>
      </c>
      <c r="I66" s="668" t="n">
        <v>3.94</v>
      </c>
      <c r="J66" s="38" t="n">
        <v>120</v>
      </c>
      <c r="K66" s="39" t="inlineStr">
        <is>
          <t>СК3</t>
        </is>
      </c>
      <c r="L66" s="38" t="n">
        <v>50</v>
      </c>
      <c r="M66" s="698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N66" s="670" t="n"/>
      <c r="O66" s="670" t="n"/>
      <c r="P66" s="670" t="n"/>
      <c r="Q66" s="636" t="n"/>
      <c r="R66" s="40" t="inlineStr"/>
      <c r="S66" s="40" t="inlineStr"/>
      <c r="T66" s="41" t="inlineStr">
        <is>
          <t>кг</t>
        </is>
      </c>
      <c r="U66" s="671" t="n">
        <v>0</v>
      </c>
      <c r="V66" s="672">
        <f>IFERROR(IF(U66="",0,CEILING((U66/$H66),1)*$H66),"")</f>
        <v/>
      </c>
      <c r="W66" s="42">
        <f>IFERROR(IF(V66=0,"",ROUNDUP(V66/H66,0)*0.00937),"")</f>
        <v/>
      </c>
      <c r="X66" s="69" t="inlineStr"/>
      <c r="Y66" s="70" t="inlineStr"/>
      <c r="AC66" s="71" t="n"/>
      <c r="AZ66" s="95" t="inlineStr">
        <is>
          <t>КИ</t>
        </is>
      </c>
    </row>
    <row r="67" ht="27" customHeight="1">
      <c r="A67" s="64" t="inlineStr">
        <is>
          <t>SU002312</t>
        </is>
      </c>
      <c r="B67" s="64" t="inlineStr">
        <is>
          <t>P002577</t>
        </is>
      </c>
      <c r="C67" s="37" t="n">
        <v>4301011344</v>
      </c>
      <c r="D67" s="324" t="n">
        <v>4607091384604</v>
      </c>
      <c r="E67" s="636" t="n"/>
      <c r="F67" s="668" t="n">
        <v>0.4</v>
      </c>
      <c r="G67" s="38" t="n">
        <v>10</v>
      </c>
      <c r="H67" s="668" t="n">
        <v>4</v>
      </c>
      <c r="I67" s="668" t="n">
        <v>4.24</v>
      </c>
      <c r="J67" s="38" t="n">
        <v>120</v>
      </c>
      <c r="K67" s="39" t="inlineStr">
        <is>
          <t>СК1</t>
        </is>
      </c>
      <c r="L67" s="38" t="n">
        <v>50</v>
      </c>
      <c r="M67" s="699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N67" s="670" t="n"/>
      <c r="O67" s="670" t="n"/>
      <c r="P67" s="670" t="n"/>
      <c r="Q67" s="636" t="n"/>
      <c r="R67" s="40" t="inlineStr"/>
      <c r="S67" s="40" t="inlineStr"/>
      <c r="T67" s="41" t="inlineStr">
        <is>
          <t>кг</t>
        </is>
      </c>
      <c r="U67" s="671" t="n">
        <v>0</v>
      </c>
      <c r="V67" s="672">
        <f>IFERROR(IF(U67="",0,CEILING((U67/$H67),1)*$H67),"")</f>
        <v/>
      </c>
      <c r="W67" s="42">
        <f>IFERROR(IF(V67=0,"",ROUNDUP(V67/H67,0)*0.00937),"")</f>
        <v/>
      </c>
      <c r="X67" s="69" t="inlineStr"/>
      <c r="Y67" s="70" t="inlineStr"/>
      <c r="AC67" s="71" t="n"/>
      <c r="AZ67" s="96" t="inlineStr">
        <is>
          <t>КИ</t>
        </is>
      </c>
    </row>
    <row r="68" ht="27" customHeight="1">
      <c r="A68" s="64" t="inlineStr">
        <is>
          <t>SU002674</t>
        </is>
      </c>
      <c r="B68" s="64" t="inlineStr">
        <is>
          <t>P003045</t>
        </is>
      </c>
      <c r="C68" s="37" t="n">
        <v>4301011386</v>
      </c>
      <c r="D68" s="324" t="n">
        <v>4680115880283</v>
      </c>
      <c r="E68" s="636" t="n"/>
      <c r="F68" s="668" t="n">
        <v>0.6</v>
      </c>
      <c r="G68" s="38" t="n">
        <v>8</v>
      </c>
      <c r="H68" s="668" t="n">
        <v>4.8</v>
      </c>
      <c r="I68" s="668" t="n">
        <v>5.04</v>
      </c>
      <c r="J68" s="38" t="n">
        <v>120</v>
      </c>
      <c r="K68" s="39" t="inlineStr">
        <is>
          <t>СК1</t>
        </is>
      </c>
      <c r="L68" s="38" t="n">
        <v>45</v>
      </c>
      <c r="M68" s="700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N68" s="670" t="n"/>
      <c r="O68" s="670" t="n"/>
      <c r="P68" s="670" t="n"/>
      <c r="Q68" s="636" t="n"/>
      <c r="R68" s="40" t="inlineStr"/>
      <c r="S68" s="40" t="inlineStr"/>
      <c r="T68" s="41" t="inlineStr">
        <is>
          <t>кг</t>
        </is>
      </c>
      <c r="U68" s="671" t="n">
        <v>0</v>
      </c>
      <c r="V68" s="672">
        <f>IFERROR(IF(U68="",0,CEILING((U68/$H68),1)*$H68),"")</f>
        <v/>
      </c>
      <c r="W68" s="42">
        <f>IFERROR(IF(V68=0,"",ROUNDUP(V68/H68,0)*0.00937),"")</f>
        <v/>
      </c>
      <c r="X68" s="69" t="inlineStr"/>
      <c r="Y68" s="70" t="inlineStr"/>
      <c r="AC68" s="71" t="n"/>
      <c r="AZ68" s="97" t="inlineStr">
        <is>
          <t>КИ</t>
        </is>
      </c>
    </row>
    <row r="69" ht="16.5" customHeight="1">
      <c r="A69" s="64" t="inlineStr">
        <is>
          <t>SU002832</t>
        </is>
      </c>
      <c r="B69" s="64" t="inlineStr">
        <is>
          <t>P003245</t>
        </is>
      </c>
      <c r="C69" s="37" t="n">
        <v>4301011476</v>
      </c>
      <c r="D69" s="324" t="n">
        <v>4680115881518</v>
      </c>
      <c r="E69" s="636" t="n"/>
      <c r="F69" s="668" t="n">
        <v>0.4</v>
      </c>
      <c r="G69" s="38" t="n">
        <v>10</v>
      </c>
      <c r="H69" s="668" t="n">
        <v>4</v>
      </c>
      <c r="I69" s="668" t="n">
        <v>4.24</v>
      </c>
      <c r="J69" s="38" t="n">
        <v>120</v>
      </c>
      <c r="K69" s="39" t="inlineStr">
        <is>
          <t>СК3</t>
        </is>
      </c>
      <c r="L69" s="38" t="n">
        <v>50</v>
      </c>
      <c r="M69" s="701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N69" s="670" t="n"/>
      <c r="O69" s="670" t="n"/>
      <c r="P69" s="670" t="n"/>
      <c r="Q69" s="636" t="n"/>
      <c r="R69" s="40" t="inlineStr"/>
      <c r="S69" s="40" t="inlineStr"/>
      <c r="T69" s="41" t="inlineStr">
        <is>
          <t>кг</t>
        </is>
      </c>
      <c r="U69" s="671" t="n">
        <v>0</v>
      </c>
      <c r="V69" s="672">
        <f>IFERROR(IF(U69="",0,CEILING((U69/$H69),1)*$H69),"")</f>
        <v/>
      </c>
      <c r="W69" s="42">
        <f>IFERROR(IF(V69=0,"",ROUNDUP(V69/H69,0)*0.00937),"")</f>
        <v/>
      </c>
      <c r="X69" s="69" t="inlineStr"/>
      <c r="Y69" s="70" t="inlineStr"/>
      <c r="AC69" s="71" t="n"/>
      <c r="AZ69" s="98" t="inlineStr">
        <is>
          <t>КИ</t>
        </is>
      </c>
    </row>
    <row r="70" ht="27" customHeight="1">
      <c r="A70" s="64" t="inlineStr">
        <is>
          <t>SU002816</t>
        </is>
      </c>
      <c r="B70" s="64" t="inlineStr">
        <is>
          <t>P003228</t>
        </is>
      </c>
      <c r="C70" s="37" t="n">
        <v>4301011443</v>
      </c>
      <c r="D70" s="324" t="n">
        <v>4680115881303</v>
      </c>
      <c r="E70" s="636" t="n"/>
      <c r="F70" s="668" t="n">
        <v>0.45</v>
      </c>
      <c r="G70" s="38" t="n">
        <v>10</v>
      </c>
      <c r="H70" s="668" t="n">
        <v>4.5</v>
      </c>
      <c r="I70" s="668" t="n">
        <v>4.71</v>
      </c>
      <c r="J70" s="38" t="n">
        <v>120</v>
      </c>
      <c r="K70" s="39" t="inlineStr">
        <is>
          <t>СК4</t>
        </is>
      </c>
      <c r="L70" s="38" t="n">
        <v>50</v>
      </c>
      <c r="M70" s="702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N70" s="670" t="n"/>
      <c r="O70" s="670" t="n"/>
      <c r="P70" s="670" t="n"/>
      <c r="Q70" s="636" t="n"/>
      <c r="R70" s="40" t="inlineStr"/>
      <c r="S70" s="40" t="inlineStr"/>
      <c r="T70" s="41" t="inlineStr">
        <is>
          <t>кг</t>
        </is>
      </c>
      <c r="U70" s="671" t="n">
        <v>0</v>
      </c>
      <c r="V70" s="672">
        <f>IFERROR(IF(U70="",0,CEILING((U70/$H70),1)*$H70),"")</f>
        <v/>
      </c>
      <c r="W70" s="42">
        <f>IFERROR(IF(V70=0,"",ROUNDUP(V70/H70,0)*0.00937),"")</f>
        <v/>
      </c>
      <c r="X70" s="69" t="inlineStr"/>
      <c r="Y70" s="70" t="inlineStr"/>
      <c r="AC70" s="71" t="n"/>
      <c r="AZ70" s="99" t="inlineStr">
        <is>
          <t>КИ</t>
        </is>
      </c>
    </row>
    <row r="71" ht="27" customHeight="1">
      <c r="A71" s="64" t="inlineStr">
        <is>
          <t>SU001905</t>
        </is>
      </c>
      <c r="B71" s="64" t="inlineStr">
        <is>
          <t>P001685</t>
        </is>
      </c>
      <c r="C71" s="37" t="n">
        <v>4301011352</v>
      </c>
      <c r="D71" s="324" t="n">
        <v>4607091388466</v>
      </c>
      <c r="E71" s="636" t="n"/>
      <c r="F71" s="668" t="n">
        <v>0.45</v>
      </c>
      <c r="G71" s="38" t="n">
        <v>6</v>
      </c>
      <c r="H71" s="668" t="n">
        <v>2.7</v>
      </c>
      <c r="I71" s="668" t="n">
        <v>2.9</v>
      </c>
      <c r="J71" s="38" t="n">
        <v>156</v>
      </c>
      <c r="K71" s="39" t="inlineStr">
        <is>
          <t>СК3</t>
        </is>
      </c>
      <c r="L71" s="38" t="n">
        <v>45</v>
      </c>
      <c r="M71" s="703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N71" s="670" t="n"/>
      <c r="O71" s="670" t="n"/>
      <c r="P71" s="670" t="n"/>
      <c r="Q71" s="636" t="n"/>
      <c r="R71" s="40" t="inlineStr"/>
      <c r="S71" s="40" t="inlineStr"/>
      <c r="T71" s="41" t="inlineStr">
        <is>
          <t>кг</t>
        </is>
      </c>
      <c r="U71" s="671" t="n">
        <v>0</v>
      </c>
      <c r="V71" s="672">
        <f>IFERROR(IF(U71="",0,CEILING((U71/$H71),1)*$H71),"")</f>
        <v/>
      </c>
      <c r="W71" s="42">
        <f>IFERROR(IF(V71=0,"",ROUNDUP(V71/H71,0)*0.00753),"")</f>
        <v/>
      </c>
      <c r="X71" s="69" t="inlineStr"/>
      <c r="Y71" s="70" t="inlineStr"/>
      <c r="AC71" s="71" t="n"/>
      <c r="AZ71" s="100" t="inlineStr">
        <is>
          <t>КИ</t>
        </is>
      </c>
    </row>
    <row r="72" ht="27" customHeight="1">
      <c r="A72" s="64" t="inlineStr">
        <is>
          <t>SU002733</t>
        </is>
      </c>
      <c r="B72" s="64" t="inlineStr">
        <is>
          <t>P003102</t>
        </is>
      </c>
      <c r="C72" s="37" t="n">
        <v>4301011417</v>
      </c>
      <c r="D72" s="324" t="n">
        <v>4680115880269</v>
      </c>
      <c r="E72" s="636" t="n"/>
      <c r="F72" s="668" t="n">
        <v>0.375</v>
      </c>
      <c r="G72" s="38" t="n">
        <v>10</v>
      </c>
      <c r="H72" s="668" t="n">
        <v>3.75</v>
      </c>
      <c r="I72" s="668" t="n">
        <v>3.99</v>
      </c>
      <c r="J72" s="38" t="n">
        <v>120</v>
      </c>
      <c r="K72" s="39" t="inlineStr">
        <is>
          <t>СК3</t>
        </is>
      </c>
      <c r="L72" s="38" t="n">
        <v>50</v>
      </c>
      <c r="M72" s="704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N72" s="670" t="n"/>
      <c r="O72" s="670" t="n"/>
      <c r="P72" s="670" t="n"/>
      <c r="Q72" s="636" t="n"/>
      <c r="R72" s="40" t="inlineStr"/>
      <c r="S72" s="40" t="inlineStr"/>
      <c r="T72" s="41" t="inlineStr">
        <is>
          <t>кг</t>
        </is>
      </c>
      <c r="U72" s="671" t="n">
        <v>0</v>
      </c>
      <c r="V72" s="672">
        <f>IFERROR(IF(U72="",0,CEILING((U72/$H72),1)*$H72),"")</f>
        <v/>
      </c>
      <c r="W72" s="42">
        <f>IFERROR(IF(V72=0,"",ROUNDUP(V72/H72,0)*0.00937),"")</f>
        <v/>
      </c>
      <c r="X72" s="69" t="inlineStr"/>
      <c r="Y72" s="70" t="inlineStr"/>
      <c r="AC72" s="71" t="n"/>
      <c r="AZ72" s="101" t="inlineStr">
        <is>
          <t>КИ</t>
        </is>
      </c>
    </row>
    <row r="73" ht="16.5" customHeight="1">
      <c r="A73" s="64" t="inlineStr">
        <is>
          <t>SU002734</t>
        </is>
      </c>
      <c r="B73" s="64" t="inlineStr">
        <is>
          <t>P003103</t>
        </is>
      </c>
      <c r="C73" s="37" t="n">
        <v>4301011415</v>
      </c>
      <c r="D73" s="324" t="n">
        <v>4680115880429</v>
      </c>
      <c r="E73" s="636" t="n"/>
      <c r="F73" s="668" t="n">
        <v>0.45</v>
      </c>
      <c r="G73" s="38" t="n">
        <v>10</v>
      </c>
      <c r="H73" s="668" t="n">
        <v>4.5</v>
      </c>
      <c r="I73" s="668" t="n">
        <v>4.74</v>
      </c>
      <c r="J73" s="38" t="n">
        <v>120</v>
      </c>
      <c r="K73" s="39" t="inlineStr">
        <is>
          <t>СК3</t>
        </is>
      </c>
      <c r="L73" s="38" t="n">
        <v>50</v>
      </c>
      <c r="M73" s="705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N73" s="670" t="n"/>
      <c r="O73" s="670" t="n"/>
      <c r="P73" s="670" t="n"/>
      <c r="Q73" s="636" t="n"/>
      <c r="R73" s="40" t="inlineStr"/>
      <c r="S73" s="40" t="inlineStr"/>
      <c r="T73" s="41" t="inlineStr">
        <is>
          <t>кг</t>
        </is>
      </c>
      <c r="U73" s="671" t="n">
        <v>0</v>
      </c>
      <c r="V73" s="672">
        <f>IFERROR(IF(U73="",0,CEILING((U73/$H73),1)*$H73),"")</f>
        <v/>
      </c>
      <c r="W73" s="42">
        <f>IFERROR(IF(V73=0,"",ROUNDUP(V73/H73,0)*0.00937),"")</f>
        <v/>
      </c>
      <c r="X73" s="69" t="inlineStr"/>
      <c r="Y73" s="70" t="inlineStr"/>
      <c r="AC73" s="71" t="n"/>
      <c r="AZ73" s="102" t="inlineStr">
        <is>
          <t>КИ</t>
        </is>
      </c>
    </row>
    <row r="74" ht="16.5" customHeight="1">
      <c r="A74" s="64" t="inlineStr">
        <is>
          <t>SU002827</t>
        </is>
      </c>
      <c r="B74" s="64" t="inlineStr">
        <is>
          <t>P003233</t>
        </is>
      </c>
      <c r="C74" s="37" t="n">
        <v>4301011462</v>
      </c>
      <c r="D74" s="324" t="n">
        <v>4680115881457</v>
      </c>
      <c r="E74" s="636" t="n"/>
      <c r="F74" s="668" t="n">
        <v>0.75</v>
      </c>
      <c r="G74" s="38" t="n">
        <v>6</v>
      </c>
      <c r="H74" s="668" t="n">
        <v>4.5</v>
      </c>
      <c r="I74" s="668" t="n">
        <v>4.74</v>
      </c>
      <c r="J74" s="38" t="n">
        <v>120</v>
      </c>
      <c r="K74" s="39" t="inlineStr">
        <is>
          <t>СК3</t>
        </is>
      </c>
      <c r="L74" s="38" t="n">
        <v>50</v>
      </c>
      <c r="M74" s="706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N74" s="670" t="n"/>
      <c r="O74" s="670" t="n"/>
      <c r="P74" s="670" t="n"/>
      <c r="Q74" s="636" t="n"/>
      <c r="R74" s="40" t="inlineStr"/>
      <c r="S74" s="40" t="inlineStr"/>
      <c r="T74" s="41" t="inlineStr">
        <is>
          <t>кг</t>
        </is>
      </c>
      <c r="U74" s="671" t="n">
        <v>0</v>
      </c>
      <c r="V74" s="672">
        <f>IFERROR(IF(U74="",0,CEILING((U74/$H74),1)*$H74),"")</f>
        <v/>
      </c>
      <c r="W74" s="42">
        <f>IFERROR(IF(V74=0,"",ROUNDUP(V74/H74,0)*0.00937),"")</f>
        <v/>
      </c>
      <c r="X74" s="69" t="inlineStr"/>
      <c r="Y74" s="70" t="inlineStr"/>
      <c r="AC74" s="71" t="n"/>
      <c r="AZ74" s="103" t="inlineStr">
        <is>
          <t>КИ</t>
        </is>
      </c>
    </row>
    <row r="75">
      <c r="A75" s="319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673" t="n"/>
      <c r="M75" s="674" t="inlineStr">
        <is>
          <t>Итого</t>
        </is>
      </c>
      <c r="N75" s="644" t="n"/>
      <c r="O75" s="644" t="n"/>
      <c r="P75" s="644" t="n"/>
      <c r="Q75" s="644" t="n"/>
      <c r="R75" s="644" t="n"/>
      <c r="S75" s="645" t="n"/>
      <c r="T75" s="43" t="inlineStr">
        <is>
          <t>кор</t>
        </is>
      </c>
      <c r="U75" s="675">
        <f>IFERROR(U59/H59,"0")+IFERROR(U60/H60,"0")+IFERROR(U61/H61,"0")+IFERROR(U62/H62,"0")+IFERROR(U63/H63,"0")+IFERROR(U64/H64,"0")+IFERROR(U65/H65,"0")+IFERROR(U66/H66,"0")+IFERROR(U67/H67,"0")+IFERROR(U68/H68,"0")+IFERROR(U69/H69,"0")+IFERROR(U70/H70,"0")+IFERROR(U71/H71,"0")+IFERROR(U72/H72,"0")+IFERROR(U73/H73,"0")+IFERROR(U74/H74,"0")</f>
        <v/>
      </c>
      <c r="V75" s="675">
        <f>IFERROR(V59/H59,"0")+IFERROR(V60/H60,"0")+IFERROR(V61/H61,"0")+IFERROR(V62/H62,"0")+IFERROR(V63/H63,"0")+IFERROR(V64/H64,"0")+IFERROR(V65/H65,"0")+IFERROR(V66/H66,"0")+IFERROR(V67/H67,"0")+IFERROR(V68/H68,"0")+IFERROR(V69/H69,"0")+IFERROR(V70/H70,"0")+IFERROR(V71/H71,"0")+IFERROR(V72/H72,"0")+IFERROR(V73/H73,"0")+IFERROR(V74/H74,"0")</f>
        <v/>
      </c>
      <c r="W75" s="675">
        <f>IFERROR(IF(W59="",0,W59),"0")+IFERROR(IF(W60="",0,W60),"0")+IFERROR(IF(W61="",0,W61),"0")+IFERROR(IF(W62="",0,W62),"0")+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</f>
        <v/>
      </c>
      <c r="X75" s="676" t="n"/>
      <c r="Y75" s="676" t="n"/>
    </row>
    <row r="76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673" t="n"/>
      <c r="M76" s="674" t="inlineStr">
        <is>
          <t>Итого</t>
        </is>
      </c>
      <c r="N76" s="644" t="n"/>
      <c r="O76" s="644" t="n"/>
      <c r="P76" s="644" t="n"/>
      <c r="Q76" s="644" t="n"/>
      <c r="R76" s="644" t="n"/>
      <c r="S76" s="645" t="n"/>
      <c r="T76" s="43" t="inlineStr">
        <is>
          <t>кг</t>
        </is>
      </c>
      <c r="U76" s="675">
        <f>IFERROR(SUM(U59:U74),"0")</f>
        <v/>
      </c>
      <c r="V76" s="675">
        <f>IFERROR(SUM(V59:V74),"0")</f>
        <v/>
      </c>
      <c r="W76" s="43" t="n"/>
      <c r="X76" s="676" t="n"/>
      <c r="Y76" s="676" t="n"/>
    </row>
    <row r="77" ht="14.25" customHeight="1">
      <c r="A77" s="329" t="inlineStr">
        <is>
          <t>Ветчины</t>
        </is>
      </c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329" t="n"/>
      <c r="Y77" s="329" t="n"/>
    </row>
    <row r="78" ht="27" customHeight="1">
      <c r="A78" s="64" t="inlineStr">
        <is>
          <t>SU003037</t>
        </is>
      </c>
      <c r="B78" s="64" t="inlineStr">
        <is>
          <t>P003575</t>
        </is>
      </c>
      <c r="C78" s="37" t="n">
        <v>4301020258</v>
      </c>
      <c r="D78" s="324" t="n">
        <v>4680115882775</v>
      </c>
      <c r="E78" s="636" t="n"/>
      <c r="F78" s="668" t="n">
        <v>0.3</v>
      </c>
      <c r="G78" s="38" t="n">
        <v>8</v>
      </c>
      <c r="H78" s="668" t="n">
        <v>2.4</v>
      </c>
      <c r="I78" s="668" t="n">
        <v>2.5</v>
      </c>
      <c r="J78" s="38" t="n">
        <v>234</v>
      </c>
      <c r="K78" s="39" t="inlineStr">
        <is>
          <t>СК3</t>
        </is>
      </c>
      <c r="L78" s="38" t="n">
        <v>50</v>
      </c>
      <c r="M78" s="707" t="inlineStr">
        <is>
          <t>Ветчины «Сливушка с индейкой» Фикс.вес 0,3 П/а ТМ «Вязанка»</t>
        </is>
      </c>
      <c r="N78" s="670" t="n"/>
      <c r="O78" s="670" t="n"/>
      <c r="P78" s="670" t="n"/>
      <c r="Q78" s="636" t="n"/>
      <c r="R78" s="40" t="inlineStr"/>
      <c r="S78" s="40" t="inlineStr"/>
      <c r="T78" s="41" t="inlineStr">
        <is>
          <t>кг</t>
        </is>
      </c>
      <c r="U78" s="671" t="n">
        <v>0</v>
      </c>
      <c r="V78" s="672">
        <f>IFERROR(IF(U78="",0,CEILING((U78/$H78),1)*$H78),"")</f>
        <v/>
      </c>
      <c r="W78" s="42">
        <f>IFERROR(IF(V78=0,"",ROUNDUP(V78/H78,0)*0.00502),"")</f>
        <v/>
      </c>
      <c r="X78" s="69" t="inlineStr"/>
      <c r="Y78" s="70" t="inlineStr">
        <is>
          <t>Новинка</t>
        </is>
      </c>
      <c r="AC78" s="71" t="n"/>
      <c r="AZ78" s="104" t="inlineStr">
        <is>
          <t>КИ</t>
        </is>
      </c>
    </row>
    <row r="79" ht="27" customHeight="1">
      <c r="A79" s="64" t="inlineStr">
        <is>
          <t>SU002488</t>
        </is>
      </c>
      <c r="B79" s="64" t="inlineStr">
        <is>
          <t>P002800</t>
        </is>
      </c>
      <c r="C79" s="37" t="n">
        <v>4301020189</v>
      </c>
      <c r="D79" s="324" t="n">
        <v>4607091384789</v>
      </c>
      <c r="E79" s="636" t="n"/>
      <c r="F79" s="668" t="n">
        <v>1</v>
      </c>
      <c r="G79" s="38" t="n">
        <v>6</v>
      </c>
      <c r="H79" s="668" t="n">
        <v>6</v>
      </c>
      <c r="I79" s="668" t="n">
        <v>6.36</v>
      </c>
      <c r="J79" s="38" t="n">
        <v>104</v>
      </c>
      <c r="K79" s="39" t="inlineStr">
        <is>
          <t>СК1</t>
        </is>
      </c>
      <c r="L79" s="38" t="n">
        <v>45</v>
      </c>
      <c r="M79" s="708" t="inlineStr">
        <is>
          <t>Ветчины Запекуша с сочным окороком Вязанка Весовые П/а Вязанка</t>
        </is>
      </c>
      <c r="N79" s="670" t="n"/>
      <c r="O79" s="670" t="n"/>
      <c r="P79" s="670" t="n"/>
      <c r="Q79" s="636" t="n"/>
      <c r="R79" s="40" t="inlineStr"/>
      <c r="S79" s="40" t="inlineStr"/>
      <c r="T79" s="41" t="inlineStr">
        <is>
          <t>кг</t>
        </is>
      </c>
      <c r="U79" s="671" t="n">
        <v>0</v>
      </c>
      <c r="V79" s="672">
        <f>IFERROR(IF(U79="",0,CEILING((U79/$H79),1)*$H79),"")</f>
        <v/>
      </c>
      <c r="W79" s="42">
        <f>IFERROR(IF(V79=0,"",ROUNDUP(V79/H79,0)*0.01196),"")</f>
        <v/>
      </c>
      <c r="X79" s="69" t="inlineStr"/>
      <c r="Y79" s="70" t="inlineStr"/>
      <c r="AC79" s="71" t="n"/>
      <c r="AZ79" s="105" t="inlineStr">
        <is>
          <t>КИ</t>
        </is>
      </c>
    </row>
    <row r="80" ht="16.5" customHeight="1">
      <c r="A80" s="64" t="inlineStr">
        <is>
          <t>SU002833</t>
        </is>
      </c>
      <c r="B80" s="64" t="inlineStr">
        <is>
          <t>P003236</t>
        </is>
      </c>
      <c r="C80" s="37" t="n">
        <v>4301020235</v>
      </c>
      <c r="D80" s="324" t="n">
        <v>4680115881488</v>
      </c>
      <c r="E80" s="636" t="n"/>
      <c r="F80" s="668" t="n">
        <v>1.35</v>
      </c>
      <c r="G80" s="38" t="n">
        <v>8</v>
      </c>
      <c r="H80" s="668" t="n">
        <v>10.8</v>
      </c>
      <c r="I80" s="668" t="n">
        <v>11.28</v>
      </c>
      <c r="J80" s="38" t="n">
        <v>48</v>
      </c>
      <c r="K80" s="39" t="inlineStr">
        <is>
          <t>СК1</t>
        </is>
      </c>
      <c r="L80" s="38" t="n">
        <v>50</v>
      </c>
      <c r="M80" s="709">
        <f>HYPERLINK("https://abi.ru/products/Охлажденные/Вязанка/Вязанка/Ветчины/P003236/","Ветчины Сливушка с индейкой Вязанка вес П/а Вязанка")</f>
        <v/>
      </c>
      <c r="N80" s="670" t="n"/>
      <c r="O80" s="670" t="n"/>
      <c r="P80" s="670" t="n"/>
      <c r="Q80" s="636" t="n"/>
      <c r="R80" s="40" t="inlineStr"/>
      <c r="S80" s="40" t="inlineStr"/>
      <c r="T80" s="41" t="inlineStr">
        <is>
          <t>кг</t>
        </is>
      </c>
      <c r="U80" s="671" t="n">
        <v>0</v>
      </c>
      <c r="V80" s="672">
        <f>IFERROR(IF(U80="",0,CEILING((U80/$H80),1)*$H80),"")</f>
        <v/>
      </c>
      <c r="W80" s="42">
        <f>IFERROR(IF(V80=0,"",ROUNDUP(V80/H80,0)*0.02175),"")</f>
        <v/>
      </c>
      <c r="X80" s="69" t="inlineStr"/>
      <c r="Y80" s="70" t="inlineStr"/>
      <c r="AC80" s="71" t="n"/>
      <c r="AZ80" s="106" t="inlineStr">
        <is>
          <t>КИ</t>
        </is>
      </c>
    </row>
    <row r="81" ht="27" customHeight="1">
      <c r="A81" s="64" t="inlineStr">
        <is>
          <t>SU002313</t>
        </is>
      </c>
      <c r="B81" s="64" t="inlineStr">
        <is>
          <t>P002583</t>
        </is>
      </c>
      <c r="C81" s="37" t="n">
        <v>4301020183</v>
      </c>
      <c r="D81" s="324" t="n">
        <v>4607091384765</v>
      </c>
      <c r="E81" s="636" t="n"/>
      <c r="F81" s="668" t="n">
        <v>0.42</v>
      </c>
      <c r="G81" s="38" t="n">
        <v>6</v>
      </c>
      <c r="H81" s="668" t="n">
        <v>2.52</v>
      </c>
      <c r="I81" s="668" t="n">
        <v>2.72</v>
      </c>
      <c r="J81" s="38" t="n">
        <v>156</v>
      </c>
      <c r="K81" s="39" t="inlineStr">
        <is>
          <t>СК1</t>
        </is>
      </c>
      <c r="L81" s="38" t="n">
        <v>45</v>
      </c>
      <c r="M81" s="710" t="inlineStr">
        <is>
          <t>Ветчины Запекуша с сочным окороком Вязанка Фикс.вес 0,42 п/а Вязанка</t>
        </is>
      </c>
      <c r="N81" s="670" t="n"/>
      <c r="O81" s="670" t="n"/>
      <c r="P81" s="670" t="n"/>
      <c r="Q81" s="636" t="n"/>
      <c r="R81" s="40" t="inlineStr"/>
      <c r="S81" s="40" t="inlineStr"/>
      <c r="T81" s="41" t="inlineStr">
        <is>
          <t>кг</t>
        </is>
      </c>
      <c r="U81" s="671" t="n">
        <v>0</v>
      </c>
      <c r="V81" s="672">
        <f>IFERROR(IF(U81="",0,CEILING((U81/$H81),1)*$H81),"")</f>
        <v/>
      </c>
      <c r="W81" s="42">
        <f>IFERROR(IF(V81=0,"",ROUNDUP(V81/H81,0)*0.00753),"")</f>
        <v/>
      </c>
      <c r="X81" s="69" t="inlineStr"/>
      <c r="Y81" s="70" t="inlineStr"/>
      <c r="AC81" s="71" t="n"/>
      <c r="AZ81" s="107" t="inlineStr">
        <is>
          <t>КИ</t>
        </is>
      </c>
    </row>
    <row r="82" ht="27" customHeight="1">
      <c r="A82" s="64" t="inlineStr">
        <is>
          <t>SU002735</t>
        </is>
      </c>
      <c r="B82" s="64" t="inlineStr">
        <is>
          <t>P003107</t>
        </is>
      </c>
      <c r="C82" s="37" t="n">
        <v>4301020217</v>
      </c>
      <c r="D82" s="324" t="n">
        <v>4680115880658</v>
      </c>
      <c r="E82" s="636" t="n"/>
      <c r="F82" s="668" t="n">
        <v>0.4</v>
      </c>
      <c r="G82" s="38" t="n">
        <v>6</v>
      </c>
      <c r="H82" s="668" t="n">
        <v>2.4</v>
      </c>
      <c r="I82" s="668" t="n">
        <v>2.6</v>
      </c>
      <c r="J82" s="38" t="n">
        <v>156</v>
      </c>
      <c r="K82" s="39" t="inlineStr">
        <is>
          <t>СК1</t>
        </is>
      </c>
      <c r="L82" s="38" t="n">
        <v>50</v>
      </c>
      <c r="M82" s="711">
        <f>HYPERLINK("https://abi.ru/products/Охлажденные/Вязанка/Вязанка/Ветчины/P003107/","Ветчины Сливушка с индейкой Вязанка Фикс.вес 0,4 П/а Вязанка")</f>
        <v/>
      </c>
      <c r="N82" s="670" t="n"/>
      <c r="O82" s="670" t="n"/>
      <c r="P82" s="670" t="n"/>
      <c r="Q82" s="636" t="n"/>
      <c r="R82" s="40" t="inlineStr"/>
      <c r="S82" s="40" t="inlineStr"/>
      <c r="T82" s="41" t="inlineStr">
        <is>
          <t>кг</t>
        </is>
      </c>
      <c r="U82" s="671" t="n">
        <v>0</v>
      </c>
      <c r="V82" s="672">
        <f>IFERROR(IF(U82="",0,CEILING((U82/$H82),1)*$H82),"")</f>
        <v/>
      </c>
      <c r="W82" s="42">
        <f>IFERROR(IF(V82=0,"",ROUNDUP(V82/H82,0)*0.00753),"")</f>
        <v/>
      </c>
      <c r="X82" s="69" t="inlineStr"/>
      <c r="Y82" s="70" t="inlineStr"/>
      <c r="AC82" s="71" t="n"/>
      <c r="AZ82" s="108" t="inlineStr">
        <is>
          <t>КИ</t>
        </is>
      </c>
    </row>
    <row r="83" ht="27" customHeight="1">
      <c r="A83" s="64" t="inlineStr">
        <is>
          <t>SU000082</t>
        </is>
      </c>
      <c r="B83" s="64" t="inlineStr">
        <is>
          <t>P003164</t>
        </is>
      </c>
      <c r="C83" s="37" t="n">
        <v>4301020223</v>
      </c>
      <c r="D83" s="324" t="n">
        <v>4607091381962</v>
      </c>
      <c r="E83" s="636" t="n"/>
      <c r="F83" s="668" t="n">
        <v>0.5</v>
      </c>
      <c r="G83" s="38" t="n">
        <v>6</v>
      </c>
      <c r="H83" s="668" t="n">
        <v>3</v>
      </c>
      <c r="I83" s="668" t="n">
        <v>3.2</v>
      </c>
      <c r="J83" s="38" t="n">
        <v>156</v>
      </c>
      <c r="K83" s="39" t="inlineStr">
        <is>
          <t>СК1</t>
        </is>
      </c>
      <c r="L83" s="38" t="n">
        <v>50</v>
      </c>
      <c r="M83" s="712">
        <f>HYPERLINK("https://abi.ru/products/Охлажденные/Вязанка/Вязанка/Ветчины/P003164/","Ветчины Столичная Вязанка Фикс.вес 0,5 Вектор Вязанка")</f>
        <v/>
      </c>
      <c r="N83" s="670" t="n"/>
      <c r="O83" s="670" t="n"/>
      <c r="P83" s="670" t="n"/>
      <c r="Q83" s="636" t="n"/>
      <c r="R83" s="40" t="inlineStr"/>
      <c r="S83" s="40" t="inlineStr"/>
      <c r="T83" s="41" t="inlineStr">
        <is>
          <t>кг</t>
        </is>
      </c>
      <c r="U83" s="671" t="n">
        <v>0</v>
      </c>
      <c r="V83" s="672">
        <f>IFERROR(IF(U83="",0,CEILING((U83/$H83),1)*$H83),"")</f>
        <v/>
      </c>
      <c r="W83" s="42">
        <f>IFERROR(IF(V83=0,"",ROUNDUP(V83/H83,0)*0.00753),"")</f>
        <v/>
      </c>
      <c r="X83" s="69" t="inlineStr"/>
      <c r="Y83" s="70" t="inlineStr"/>
      <c r="AC83" s="71" t="n"/>
      <c r="AZ83" s="109" t="inlineStr">
        <is>
          <t>КИ</t>
        </is>
      </c>
    </row>
    <row r="84">
      <c r="A84" s="319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673" t="n"/>
      <c r="M84" s="674" t="inlineStr">
        <is>
          <t>Итого</t>
        </is>
      </c>
      <c r="N84" s="644" t="n"/>
      <c r="O84" s="644" t="n"/>
      <c r="P84" s="644" t="n"/>
      <c r="Q84" s="644" t="n"/>
      <c r="R84" s="644" t="n"/>
      <c r="S84" s="645" t="n"/>
      <c r="T84" s="43" t="inlineStr">
        <is>
          <t>кор</t>
        </is>
      </c>
      <c r="U84" s="675">
        <f>IFERROR(U78/H78,"0")+IFERROR(U79/H79,"0")+IFERROR(U80/H80,"0")+IFERROR(U81/H81,"0")+IFERROR(U82/H82,"0")+IFERROR(U83/H83,"0")</f>
        <v/>
      </c>
      <c r="V84" s="675">
        <f>IFERROR(V78/H78,"0")+IFERROR(V79/H79,"0")+IFERROR(V80/H80,"0")+IFERROR(V81/H81,"0")+IFERROR(V82/H82,"0")+IFERROR(V83/H83,"0")</f>
        <v/>
      </c>
      <c r="W84" s="675">
        <f>IFERROR(IF(W78="",0,W78),"0")+IFERROR(IF(W79="",0,W79),"0")+IFERROR(IF(W80="",0,W80),"0")+IFERROR(IF(W81="",0,W81),"0")+IFERROR(IF(W82="",0,W82),"0")+IFERROR(IF(W83="",0,W83),"0")</f>
        <v/>
      </c>
      <c r="X84" s="676" t="n"/>
      <c r="Y84" s="676" t="n"/>
    </row>
    <row r="85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673" t="n"/>
      <c r="M85" s="674" t="inlineStr">
        <is>
          <t>Итого</t>
        </is>
      </c>
      <c r="N85" s="644" t="n"/>
      <c r="O85" s="644" t="n"/>
      <c r="P85" s="644" t="n"/>
      <c r="Q85" s="644" t="n"/>
      <c r="R85" s="644" t="n"/>
      <c r="S85" s="645" t="n"/>
      <c r="T85" s="43" t="inlineStr">
        <is>
          <t>кг</t>
        </is>
      </c>
      <c r="U85" s="675">
        <f>IFERROR(SUM(U78:U83),"0")</f>
        <v/>
      </c>
      <c r="V85" s="675">
        <f>IFERROR(SUM(V78:V83),"0")</f>
        <v/>
      </c>
      <c r="W85" s="43" t="n"/>
      <c r="X85" s="676" t="n"/>
      <c r="Y85" s="676" t="n"/>
    </row>
    <row r="86" ht="14.25" customHeight="1">
      <c r="A86" s="329" t="inlineStr">
        <is>
          <t>Копченые колбасы</t>
        </is>
      </c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329" t="n"/>
      <c r="Y86" s="329" t="n"/>
    </row>
    <row r="87" ht="16.5" customHeight="1">
      <c r="A87" s="64" t="inlineStr">
        <is>
          <t>SU000064</t>
        </is>
      </c>
      <c r="B87" s="64" t="inlineStr">
        <is>
          <t>P001841</t>
        </is>
      </c>
      <c r="C87" s="37" t="n">
        <v>4301030895</v>
      </c>
      <c r="D87" s="324" t="n">
        <v>4607091387667</v>
      </c>
      <c r="E87" s="636" t="n"/>
      <c r="F87" s="668" t="n">
        <v>0.9</v>
      </c>
      <c r="G87" s="38" t="n">
        <v>10</v>
      </c>
      <c r="H87" s="668" t="n">
        <v>9</v>
      </c>
      <c r="I87" s="668" t="n">
        <v>9.630000000000001</v>
      </c>
      <c r="J87" s="38" t="n">
        <v>56</v>
      </c>
      <c r="K87" s="39" t="inlineStr">
        <is>
          <t>СК1</t>
        </is>
      </c>
      <c r="L87" s="38" t="n">
        <v>40</v>
      </c>
      <c r="M87" s="713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N87" s="670" t="n"/>
      <c r="O87" s="670" t="n"/>
      <c r="P87" s="670" t="n"/>
      <c r="Q87" s="636" t="n"/>
      <c r="R87" s="40" t="inlineStr"/>
      <c r="S87" s="40" t="inlineStr"/>
      <c r="T87" s="41" t="inlineStr">
        <is>
          <t>кг</t>
        </is>
      </c>
      <c r="U87" s="671" t="n">
        <v>0</v>
      </c>
      <c r="V87" s="672">
        <f>IFERROR(IF(U87="",0,CEILING((U87/$H87),1)*$H87),"")</f>
        <v/>
      </c>
      <c r="W87" s="42">
        <f>IFERROR(IF(V87=0,"",ROUNDUP(V87/H87,0)*0.02175),"")</f>
        <v/>
      </c>
      <c r="X87" s="69" t="inlineStr"/>
      <c r="Y87" s="70" t="inlineStr"/>
      <c r="AC87" s="71" t="n"/>
      <c r="AZ87" s="110" t="inlineStr">
        <is>
          <t>КИ</t>
        </is>
      </c>
    </row>
    <row r="88" ht="27" customHeight="1">
      <c r="A88" s="64" t="inlineStr">
        <is>
          <t>SU000664</t>
        </is>
      </c>
      <c r="B88" s="64" t="inlineStr">
        <is>
          <t>P002177</t>
        </is>
      </c>
      <c r="C88" s="37" t="n">
        <v>4301030961</v>
      </c>
      <c r="D88" s="324" t="n">
        <v>4607091387636</v>
      </c>
      <c r="E88" s="636" t="n"/>
      <c r="F88" s="668" t="n">
        <v>0.7</v>
      </c>
      <c r="G88" s="38" t="n">
        <v>6</v>
      </c>
      <c r="H88" s="668" t="n">
        <v>4.2</v>
      </c>
      <c r="I88" s="668" t="n">
        <v>4.5</v>
      </c>
      <c r="J88" s="38" t="n">
        <v>120</v>
      </c>
      <c r="K88" s="39" t="inlineStr">
        <is>
          <t>СК2</t>
        </is>
      </c>
      <c r="L88" s="38" t="n">
        <v>40</v>
      </c>
      <c r="M88" s="714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N88" s="670" t="n"/>
      <c r="O88" s="670" t="n"/>
      <c r="P88" s="670" t="n"/>
      <c r="Q88" s="636" t="n"/>
      <c r="R88" s="40" t="inlineStr"/>
      <c r="S88" s="40" t="inlineStr"/>
      <c r="T88" s="41" t="inlineStr">
        <is>
          <t>кг</t>
        </is>
      </c>
      <c r="U88" s="671" t="n">
        <v>0</v>
      </c>
      <c r="V88" s="672">
        <f>IFERROR(IF(U88="",0,CEILING((U88/$H88),1)*$H88),"")</f>
        <v/>
      </c>
      <c r="W88" s="42">
        <f>IFERROR(IF(V88=0,"",ROUNDUP(V88/H88,0)*0.00937),"")</f>
        <v/>
      </c>
      <c r="X88" s="69" t="inlineStr"/>
      <c r="Y88" s="70" t="inlineStr"/>
      <c r="AC88" s="71" t="n"/>
      <c r="AZ88" s="111" t="inlineStr">
        <is>
          <t>КИ</t>
        </is>
      </c>
    </row>
    <row r="89" ht="27" customHeight="1">
      <c r="A89" s="64" t="inlineStr">
        <is>
          <t>SU002308</t>
        </is>
      </c>
      <c r="B89" s="64" t="inlineStr">
        <is>
          <t>P002572</t>
        </is>
      </c>
      <c r="C89" s="37" t="n">
        <v>4301031078</v>
      </c>
      <c r="D89" s="324" t="n">
        <v>4607091384727</v>
      </c>
      <c r="E89" s="636" t="n"/>
      <c r="F89" s="668" t="n">
        <v>0.8</v>
      </c>
      <c r="G89" s="38" t="n">
        <v>6</v>
      </c>
      <c r="H89" s="668" t="n">
        <v>4.8</v>
      </c>
      <c r="I89" s="668" t="n">
        <v>5.16</v>
      </c>
      <c r="J89" s="38" t="n">
        <v>104</v>
      </c>
      <c r="K89" s="39" t="inlineStr">
        <is>
          <t>СК2</t>
        </is>
      </c>
      <c r="L89" s="38" t="n">
        <v>45</v>
      </c>
      <c r="M89" s="715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N89" s="670" t="n"/>
      <c r="O89" s="670" t="n"/>
      <c r="P89" s="670" t="n"/>
      <c r="Q89" s="636" t="n"/>
      <c r="R89" s="40" t="inlineStr"/>
      <c r="S89" s="40" t="inlineStr"/>
      <c r="T89" s="41" t="inlineStr">
        <is>
          <t>кг</t>
        </is>
      </c>
      <c r="U89" s="671" t="n">
        <v>0</v>
      </c>
      <c r="V89" s="672">
        <f>IFERROR(IF(U89="",0,CEILING((U89/$H89),1)*$H89),"")</f>
        <v/>
      </c>
      <c r="W89" s="42">
        <f>IFERROR(IF(V89=0,"",ROUNDUP(V89/H89,0)*0.01196),"")</f>
        <v/>
      </c>
      <c r="X89" s="69" t="inlineStr"/>
      <c r="Y89" s="70" t="inlineStr"/>
      <c r="AC89" s="71" t="n"/>
      <c r="AZ89" s="112" t="inlineStr">
        <is>
          <t>КИ</t>
        </is>
      </c>
    </row>
    <row r="90" ht="27" customHeight="1">
      <c r="A90" s="64" t="inlineStr">
        <is>
          <t>SU002310</t>
        </is>
      </c>
      <c r="B90" s="64" t="inlineStr">
        <is>
          <t>P002574</t>
        </is>
      </c>
      <c r="C90" s="37" t="n">
        <v>4301031080</v>
      </c>
      <c r="D90" s="324" t="n">
        <v>4607091386745</v>
      </c>
      <c r="E90" s="636" t="n"/>
      <c r="F90" s="668" t="n">
        <v>0.8</v>
      </c>
      <c r="G90" s="38" t="n">
        <v>6</v>
      </c>
      <c r="H90" s="668" t="n">
        <v>4.8</v>
      </c>
      <c r="I90" s="668" t="n">
        <v>5.16</v>
      </c>
      <c r="J90" s="38" t="n">
        <v>104</v>
      </c>
      <c r="K90" s="39" t="inlineStr">
        <is>
          <t>СК2</t>
        </is>
      </c>
      <c r="L90" s="38" t="n">
        <v>45</v>
      </c>
      <c r="M90" s="716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N90" s="670" t="n"/>
      <c r="O90" s="670" t="n"/>
      <c r="P90" s="670" t="n"/>
      <c r="Q90" s="636" t="n"/>
      <c r="R90" s="40" t="inlineStr"/>
      <c r="S90" s="40" t="inlineStr"/>
      <c r="T90" s="41" t="inlineStr">
        <is>
          <t>кг</t>
        </is>
      </c>
      <c r="U90" s="671" t="n">
        <v>0</v>
      </c>
      <c r="V90" s="672">
        <f>IFERROR(IF(U90="",0,CEILING((U90/$H90),1)*$H90),"")</f>
        <v/>
      </c>
      <c r="W90" s="42">
        <f>IFERROR(IF(V90=0,"",ROUNDUP(V90/H90,0)*0.01196),"")</f>
        <v/>
      </c>
      <c r="X90" s="69" t="inlineStr"/>
      <c r="Y90" s="70" t="inlineStr"/>
      <c r="AC90" s="71" t="n"/>
      <c r="AZ90" s="113" t="inlineStr">
        <is>
          <t>КИ</t>
        </is>
      </c>
    </row>
    <row r="91" ht="16.5" customHeight="1">
      <c r="A91" s="64" t="inlineStr">
        <is>
          <t>SU000097</t>
        </is>
      </c>
      <c r="B91" s="64" t="inlineStr">
        <is>
          <t>P002179</t>
        </is>
      </c>
      <c r="C91" s="37" t="n">
        <v>4301030963</v>
      </c>
      <c r="D91" s="324" t="n">
        <v>4607091382426</v>
      </c>
      <c r="E91" s="636" t="n"/>
      <c r="F91" s="668" t="n">
        <v>0.9</v>
      </c>
      <c r="G91" s="38" t="n">
        <v>10</v>
      </c>
      <c r="H91" s="668" t="n">
        <v>9</v>
      </c>
      <c r="I91" s="668" t="n">
        <v>9.630000000000001</v>
      </c>
      <c r="J91" s="38" t="n">
        <v>56</v>
      </c>
      <c r="K91" s="39" t="inlineStr">
        <is>
          <t>СК2</t>
        </is>
      </c>
      <c r="L91" s="38" t="n">
        <v>40</v>
      </c>
      <c r="M91" s="717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N91" s="670" t="n"/>
      <c r="O91" s="670" t="n"/>
      <c r="P91" s="670" t="n"/>
      <c r="Q91" s="636" t="n"/>
      <c r="R91" s="40" t="inlineStr"/>
      <c r="S91" s="40" t="inlineStr"/>
      <c r="T91" s="41" t="inlineStr">
        <is>
          <t>кг</t>
        </is>
      </c>
      <c r="U91" s="671" t="n">
        <v>0</v>
      </c>
      <c r="V91" s="672">
        <f>IFERROR(IF(U91="",0,CEILING((U91/$H91),1)*$H91),"")</f>
        <v/>
      </c>
      <c r="W91" s="42">
        <f>IFERROR(IF(V91=0,"",ROUNDUP(V91/H91,0)*0.02175),"")</f>
        <v/>
      </c>
      <c r="X91" s="69" t="inlineStr"/>
      <c r="Y91" s="70" t="inlineStr"/>
      <c r="AC91" s="71" t="n"/>
      <c r="AZ91" s="114" t="inlineStr">
        <is>
          <t>КИ</t>
        </is>
      </c>
    </row>
    <row r="92" ht="27" customHeight="1">
      <c r="A92" s="64" t="inlineStr">
        <is>
          <t>SU000665</t>
        </is>
      </c>
      <c r="B92" s="64" t="inlineStr">
        <is>
          <t>P002178</t>
        </is>
      </c>
      <c r="C92" s="37" t="n">
        <v>4301030962</v>
      </c>
      <c r="D92" s="324" t="n">
        <v>4607091386547</v>
      </c>
      <c r="E92" s="636" t="n"/>
      <c r="F92" s="668" t="n">
        <v>0.35</v>
      </c>
      <c r="G92" s="38" t="n">
        <v>8</v>
      </c>
      <c r="H92" s="668" t="n">
        <v>2.8</v>
      </c>
      <c r="I92" s="668" t="n">
        <v>2.94</v>
      </c>
      <c r="J92" s="38" t="n">
        <v>234</v>
      </c>
      <c r="K92" s="39" t="inlineStr">
        <is>
          <t>СК2</t>
        </is>
      </c>
      <c r="L92" s="38" t="n">
        <v>40</v>
      </c>
      <c r="M92" s="718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N92" s="670" t="n"/>
      <c r="O92" s="670" t="n"/>
      <c r="P92" s="670" t="n"/>
      <c r="Q92" s="636" t="n"/>
      <c r="R92" s="40" t="inlineStr"/>
      <c r="S92" s="40" t="inlineStr"/>
      <c r="T92" s="41" t="inlineStr">
        <is>
          <t>кг</t>
        </is>
      </c>
      <c r="U92" s="671" t="n">
        <v>0</v>
      </c>
      <c r="V92" s="672">
        <f>IFERROR(IF(U92="",0,CEILING((U92/$H92),1)*$H92),"")</f>
        <v/>
      </c>
      <c r="W92" s="42">
        <f>IFERROR(IF(V92=0,"",ROUNDUP(V92/H92,0)*0.00502),"")</f>
        <v/>
      </c>
      <c r="X92" s="69" t="inlineStr"/>
      <c r="Y92" s="70" t="inlineStr"/>
      <c r="AC92" s="71" t="n"/>
      <c r="AZ92" s="115" t="inlineStr">
        <is>
          <t>КИ</t>
        </is>
      </c>
    </row>
    <row r="93" ht="27" customHeight="1">
      <c r="A93" s="64" t="inlineStr">
        <is>
          <t>SU002307</t>
        </is>
      </c>
      <c r="B93" s="64" t="inlineStr">
        <is>
          <t>P002571</t>
        </is>
      </c>
      <c r="C93" s="37" t="n">
        <v>4301031077</v>
      </c>
      <c r="D93" s="324" t="n">
        <v>4607091384703</v>
      </c>
      <c r="E93" s="636" t="n"/>
      <c r="F93" s="668" t="n">
        <v>0.35</v>
      </c>
      <c r="G93" s="38" t="n">
        <v>6</v>
      </c>
      <c r="H93" s="668" t="n">
        <v>2.1</v>
      </c>
      <c r="I93" s="668" t="n">
        <v>2.2</v>
      </c>
      <c r="J93" s="38" t="n">
        <v>234</v>
      </c>
      <c r="K93" s="39" t="inlineStr">
        <is>
          <t>СК2</t>
        </is>
      </c>
      <c r="L93" s="38" t="n">
        <v>45</v>
      </c>
      <c r="M93" s="719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/>
      </c>
      <c r="N93" s="670" t="n"/>
      <c r="O93" s="670" t="n"/>
      <c r="P93" s="670" t="n"/>
      <c r="Q93" s="636" t="n"/>
      <c r="R93" s="40" t="inlineStr"/>
      <c r="S93" s="40" t="inlineStr"/>
      <c r="T93" s="41" t="inlineStr">
        <is>
          <t>кг</t>
        </is>
      </c>
      <c r="U93" s="671" t="n">
        <v>0</v>
      </c>
      <c r="V93" s="672">
        <f>IFERROR(IF(U93="",0,CEILING((U93/$H93),1)*$H93),"")</f>
        <v/>
      </c>
      <c r="W93" s="42">
        <f>IFERROR(IF(V93=0,"",ROUNDUP(V93/H93,0)*0.00502),"")</f>
        <v/>
      </c>
      <c r="X93" s="69" t="inlineStr"/>
      <c r="Y93" s="70" t="inlineStr"/>
      <c r="AC93" s="71" t="n"/>
      <c r="AZ93" s="116" t="inlineStr">
        <is>
          <t>КИ</t>
        </is>
      </c>
    </row>
    <row r="94" ht="27" customHeight="1">
      <c r="A94" s="64" t="inlineStr">
        <is>
          <t>SU002309</t>
        </is>
      </c>
      <c r="B94" s="64" t="inlineStr">
        <is>
          <t>P002573</t>
        </is>
      </c>
      <c r="C94" s="37" t="n">
        <v>4301031079</v>
      </c>
      <c r="D94" s="324" t="n">
        <v>4607091384734</v>
      </c>
      <c r="E94" s="636" t="n"/>
      <c r="F94" s="668" t="n">
        <v>0.35</v>
      </c>
      <c r="G94" s="38" t="n">
        <v>6</v>
      </c>
      <c r="H94" s="668" t="n">
        <v>2.1</v>
      </c>
      <c r="I94" s="668" t="n">
        <v>2.2</v>
      </c>
      <c r="J94" s="38" t="n">
        <v>234</v>
      </c>
      <c r="K94" s="39" t="inlineStr">
        <is>
          <t>СК2</t>
        </is>
      </c>
      <c r="L94" s="38" t="n">
        <v>45</v>
      </c>
      <c r="M94" s="720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N94" s="670" t="n"/>
      <c r="O94" s="670" t="n"/>
      <c r="P94" s="670" t="n"/>
      <c r="Q94" s="636" t="n"/>
      <c r="R94" s="40" t="inlineStr"/>
      <c r="S94" s="40" t="inlineStr"/>
      <c r="T94" s="41" t="inlineStr">
        <is>
          <t>кг</t>
        </is>
      </c>
      <c r="U94" s="671" t="n">
        <v>0</v>
      </c>
      <c r="V94" s="672">
        <f>IFERROR(IF(U94="",0,CEILING((U94/$H94),1)*$H94),"")</f>
        <v/>
      </c>
      <c r="W94" s="42">
        <f>IFERROR(IF(V94=0,"",ROUNDUP(V94/H94,0)*0.00502),"")</f>
        <v/>
      </c>
      <c r="X94" s="69" t="inlineStr"/>
      <c r="Y94" s="70" t="inlineStr"/>
      <c r="AC94" s="71" t="n"/>
      <c r="AZ94" s="117" t="inlineStr">
        <is>
          <t>КИ</t>
        </is>
      </c>
    </row>
    <row r="95" ht="27" customHeight="1">
      <c r="A95" s="64" t="inlineStr">
        <is>
          <t>SU001605</t>
        </is>
      </c>
      <c r="B95" s="64" t="inlineStr">
        <is>
          <t>P002180</t>
        </is>
      </c>
      <c r="C95" s="37" t="n">
        <v>4301030964</v>
      </c>
      <c r="D95" s="324" t="n">
        <v>4607091382464</v>
      </c>
      <c r="E95" s="636" t="n"/>
      <c r="F95" s="668" t="n">
        <v>0.35</v>
      </c>
      <c r="G95" s="38" t="n">
        <v>8</v>
      </c>
      <c r="H95" s="668" t="n">
        <v>2.8</v>
      </c>
      <c r="I95" s="668" t="n">
        <v>2.964</v>
      </c>
      <c r="J95" s="38" t="n">
        <v>234</v>
      </c>
      <c r="K95" s="39" t="inlineStr">
        <is>
          <t>СК2</t>
        </is>
      </c>
      <c r="L95" s="38" t="n">
        <v>40</v>
      </c>
      <c r="M95" s="721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N95" s="670" t="n"/>
      <c r="O95" s="670" t="n"/>
      <c r="P95" s="670" t="n"/>
      <c r="Q95" s="636" t="n"/>
      <c r="R95" s="40" t="inlineStr"/>
      <c r="S95" s="40" t="inlineStr"/>
      <c r="T95" s="41" t="inlineStr">
        <is>
          <t>кг</t>
        </is>
      </c>
      <c r="U95" s="671" t="n">
        <v>0</v>
      </c>
      <c r="V95" s="672">
        <f>IFERROR(IF(U95="",0,CEILING((U95/$H95),1)*$H95),"")</f>
        <v/>
      </c>
      <c r="W95" s="42">
        <f>IFERROR(IF(V95=0,"",ROUNDUP(V95/H95,0)*0.00502),"")</f>
        <v/>
      </c>
      <c r="X95" s="69" t="inlineStr"/>
      <c r="Y95" s="70" t="inlineStr"/>
      <c r="AC95" s="71" t="n"/>
      <c r="AZ95" s="118" t="inlineStr">
        <is>
          <t>КИ</t>
        </is>
      </c>
    </row>
    <row r="96">
      <c r="A96" s="319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673" t="n"/>
      <c r="M96" s="674" t="inlineStr">
        <is>
          <t>Итого</t>
        </is>
      </c>
      <c r="N96" s="644" t="n"/>
      <c r="O96" s="644" t="n"/>
      <c r="P96" s="644" t="n"/>
      <c r="Q96" s="644" t="n"/>
      <c r="R96" s="644" t="n"/>
      <c r="S96" s="645" t="n"/>
      <c r="T96" s="43" t="inlineStr">
        <is>
          <t>кор</t>
        </is>
      </c>
      <c r="U96" s="675">
        <f>IFERROR(U87/H87,"0")+IFERROR(U88/H88,"0")+IFERROR(U89/H89,"0")+IFERROR(U90/H90,"0")+IFERROR(U91/H91,"0")+IFERROR(U92/H92,"0")+IFERROR(U93/H93,"0")+IFERROR(U94/H94,"0")+IFERROR(U95/H95,"0")</f>
        <v/>
      </c>
      <c r="V96" s="675">
        <f>IFERROR(V87/H87,"0")+IFERROR(V88/H88,"0")+IFERROR(V89/H89,"0")+IFERROR(V90/H90,"0")+IFERROR(V91/H91,"0")+IFERROR(V92/H92,"0")+IFERROR(V93/H93,"0")+IFERROR(V94/H94,"0")+IFERROR(V95/H95,"0")</f>
        <v/>
      </c>
      <c r="W96" s="675">
        <f>IFERROR(IF(W87="",0,W87),"0")+IFERROR(IF(W88="",0,W88),"0")+IFERROR(IF(W89="",0,W89),"0")+IFERROR(IF(W90="",0,W90),"0")+IFERROR(IF(W91="",0,W91),"0")+IFERROR(IF(W92="",0,W92),"0")+IFERROR(IF(W93="",0,W93),"0")+IFERROR(IF(W94="",0,W94),"0")+IFERROR(IF(W95="",0,W95),"0")</f>
        <v/>
      </c>
      <c r="X96" s="676" t="n"/>
      <c r="Y96" s="676" t="n"/>
    </row>
    <row r="97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673" t="n"/>
      <c r="M97" s="674" t="inlineStr">
        <is>
          <t>Итого</t>
        </is>
      </c>
      <c r="N97" s="644" t="n"/>
      <c r="O97" s="644" t="n"/>
      <c r="P97" s="644" t="n"/>
      <c r="Q97" s="644" t="n"/>
      <c r="R97" s="644" t="n"/>
      <c r="S97" s="645" t="n"/>
      <c r="T97" s="43" t="inlineStr">
        <is>
          <t>кг</t>
        </is>
      </c>
      <c r="U97" s="675">
        <f>IFERROR(SUM(U87:U95),"0")</f>
        <v/>
      </c>
      <c r="V97" s="675">
        <f>IFERROR(SUM(V87:V95),"0")</f>
        <v/>
      </c>
      <c r="W97" s="43" t="n"/>
      <c r="X97" s="676" t="n"/>
      <c r="Y97" s="676" t="n"/>
    </row>
    <row r="98" ht="14.25" customHeight="1">
      <c r="A98" s="329" t="inlineStr">
        <is>
          <t>Сосиски</t>
        </is>
      </c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329" t="n"/>
      <c r="Y98" s="329" t="n"/>
    </row>
    <row r="99" ht="16.5" customHeight="1">
      <c r="A99" s="64" t="inlineStr">
        <is>
          <t>SU002996</t>
        </is>
      </c>
      <c r="B99" s="64" t="inlineStr">
        <is>
          <t>P003464</t>
        </is>
      </c>
      <c r="C99" s="37" t="n">
        <v>4301051480</v>
      </c>
      <c r="D99" s="324" t="n">
        <v>4680115882645</v>
      </c>
      <c r="E99" s="636" t="n"/>
      <c r="F99" s="668" t="n">
        <v>0.3</v>
      </c>
      <c r="G99" s="38" t="n">
        <v>6</v>
      </c>
      <c r="H99" s="668" t="n">
        <v>1.8</v>
      </c>
      <c r="I99" s="668" t="n">
        <v>2.66</v>
      </c>
      <c r="J99" s="38" t="n">
        <v>156</v>
      </c>
      <c r="K99" s="39" t="inlineStr">
        <is>
          <t>СК2</t>
        </is>
      </c>
      <c r="L99" s="38" t="n">
        <v>40</v>
      </c>
      <c r="M99" s="722" t="inlineStr">
        <is>
          <t>Сосиски «Сливушки с сыром» ф/в 0,3 п/а ТМ «Вязанка»</t>
        </is>
      </c>
      <c r="N99" s="670" t="n"/>
      <c r="O99" s="670" t="n"/>
      <c r="P99" s="670" t="n"/>
      <c r="Q99" s="636" t="n"/>
      <c r="R99" s="40" t="inlineStr">
        <is>
          <t>15.09.2023</t>
        </is>
      </c>
      <c r="S99" s="40" t="inlineStr"/>
      <c r="T99" s="41" t="inlineStr">
        <is>
          <t>кг</t>
        </is>
      </c>
      <c r="U99" s="671" t="n">
        <v>0</v>
      </c>
      <c r="V99" s="672">
        <f>IFERROR(IF(U99="",0,CEILING((U99/$H99),1)*$H99),"")</f>
        <v/>
      </c>
      <c r="W99" s="42">
        <f>IFERROR(IF(V99=0,"",ROUNDUP(V99/H99,0)*0.00753),"")</f>
        <v/>
      </c>
      <c r="X99" s="69" t="inlineStr"/>
      <c r="Y99" s="70" t="inlineStr">
        <is>
          <t>Новинка</t>
        </is>
      </c>
      <c r="AC99" s="71" t="n"/>
      <c r="AZ99" s="119" t="inlineStr">
        <is>
          <t>КИ</t>
        </is>
      </c>
    </row>
    <row r="100" ht="27" customHeight="1">
      <c r="A100" s="64" t="inlineStr">
        <is>
          <t>SU001523</t>
        </is>
      </c>
      <c r="B100" s="64" t="inlineStr">
        <is>
          <t>P003328</t>
        </is>
      </c>
      <c r="C100" s="37" t="n">
        <v>4301051437</v>
      </c>
      <c r="D100" s="324" t="n">
        <v>4607091386967</v>
      </c>
      <c r="E100" s="636" t="n"/>
      <c r="F100" s="668" t="n">
        <v>1.35</v>
      </c>
      <c r="G100" s="38" t="n">
        <v>6</v>
      </c>
      <c r="H100" s="668" t="n">
        <v>8.1</v>
      </c>
      <c r="I100" s="668" t="n">
        <v>8.664</v>
      </c>
      <c r="J100" s="38" t="n">
        <v>56</v>
      </c>
      <c r="K100" s="39" t="inlineStr">
        <is>
          <t>СК3</t>
        </is>
      </c>
      <c r="L100" s="38" t="n">
        <v>45</v>
      </c>
      <c r="M100" s="723" t="inlineStr">
        <is>
          <t>Сосиски Молокуши (Вязанка Молочные) Вязанка Весовые П/а мгс Вязанка</t>
        </is>
      </c>
      <c r="N100" s="670" t="n"/>
      <c r="O100" s="670" t="n"/>
      <c r="P100" s="670" t="n"/>
      <c r="Q100" s="636" t="n"/>
      <c r="R100" s="40" t="inlineStr"/>
      <c r="S100" s="40" t="inlineStr"/>
      <c r="T100" s="41" t="inlineStr">
        <is>
          <t>кг</t>
        </is>
      </c>
      <c r="U100" s="671" t="n">
        <v>0</v>
      </c>
      <c r="V100" s="672">
        <f>IFERROR(IF(U100="",0,CEILING((U100/$H100),1)*$H100),"")</f>
        <v/>
      </c>
      <c r="W100" s="42">
        <f>IFERROR(IF(V100=0,"",ROUNDUP(V100/H100,0)*0.02175),"")</f>
        <v/>
      </c>
      <c r="X100" s="69" t="inlineStr"/>
      <c r="Y100" s="70" t="inlineStr"/>
      <c r="AC100" s="71" t="n"/>
      <c r="AZ100" s="120" t="inlineStr">
        <is>
          <t>КИ</t>
        </is>
      </c>
    </row>
    <row r="101" ht="16.5" customHeight="1">
      <c r="A101" s="64" t="inlineStr">
        <is>
          <t>SU001351</t>
        </is>
      </c>
      <c r="B101" s="64" t="inlineStr">
        <is>
          <t>P003025</t>
        </is>
      </c>
      <c r="C101" s="37" t="n">
        <v>4301051311</v>
      </c>
      <c r="D101" s="324" t="n">
        <v>4607091385304</v>
      </c>
      <c r="E101" s="636" t="n"/>
      <c r="F101" s="668" t="n">
        <v>1.35</v>
      </c>
      <c r="G101" s="38" t="n">
        <v>6</v>
      </c>
      <c r="H101" s="668" t="n">
        <v>8.1</v>
      </c>
      <c r="I101" s="668" t="n">
        <v>8.664</v>
      </c>
      <c r="J101" s="38" t="n">
        <v>56</v>
      </c>
      <c r="K101" s="39" t="inlineStr">
        <is>
          <t>СК2</t>
        </is>
      </c>
      <c r="L101" s="38" t="n">
        <v>40</v>
      </c>
      <c r="M101" s="724">
        <f>HYPERLINK("https://abi.ru/products/Охлажденные/Вязанка/Вязанка/Сосиски/P003025/","Сосиски Рубленые Вязанка Весовые п/а мгс Вязанка")</f>
        <v/>
      </c>
      <c r="N101" s="670" t="n"/>
      <c r="O101" s="670" t="n"/>
      <c r="P101" s="670" t="n"/>
      <c r="Q101" s="636" t="n"/>
      <c r="R101" s="40" t="inlineStr"/>
      <c r="S101" s="40" t="inlineStr"/>
      <c r="T101" s="41" t="inlineStr">
        <is>
          <t>кг</t>
        </is>
      </c>
      <c r="U101" s="671" t="n">
        <v>0</v>
      </c>
      <c r="V101" s="672">
        <f>IFERROR(IF(U101="",0,CEILING((U101/$H101),1)*$H101),"")</f>
        <v/>
      </c>
      <c r="W101" s="42">
        <f>IFERROR(IF(V101=0,"",ROUNDUP(V101/H101,0)*0.02175),"")</f>
        <v/>
      </c>
      <c r="X101" s="69" t="inlineStr"/>
      <c r="Y101" s="70" t="inlineStr"/>
      <c r="AC101" s="71" t="n"/>
      <c r="AZ101" s="121" t="inlineStr">
        <is>
          <t>КИ</t>
        </is>
      </c>
    </row>
    <row r="102" ht="16.5" customHeight="1">
      <c r="A102" s="64" t="inlineStr">
        <is>
          <t>SU001527</t>
        </is>
      </c>
      <c r="B102" s="64" t="inlineStr">
        <is>
          <t>P002217</t>
        </is>
      </c>
      <c r="C102" s="37" t="n">
        <v>4301051306</v>
      </c>
      <c r="D102" s="324" t="n">
        <v>4607091386264</v>
      </c>
      <c r="E102" s="636" t="n"/>
      <c r="F102" s="668" t="n">
        <v>0.5</v>
      </c>
      <c r="G102" s="38" t="n">
        <v>6</v>
      </c>
      <c r="H102" s="668" t="n">
        <v>3</v>
      </c>
      <c r="I102" s="668" t="n">
        <v>3.278</v>
      </c>
      <c r="J102" s="38" t="n">
        <v>156</v>
      </c>
      <c r="K102" s="39" t="inlineStr">
        <is>
          <t>СК2</t>
        </is>
      </c>
      <c r="L102" s="38" t="n">
        <v>31</v>
      </c>
      <c r="M102" s="725">
        <f>HYPERLINK("https://abi.ru/products/Охлажденные/Вязанка/Вязанка/Сосиски/P002217/","Сосиски Венские Вязанка Фикс.вес 0,5 NDX мгс Вязанка")</f>
        <v/>
      </c>
      <c r="N102" s="670" t="n"/>
      <c r="O102" s="670" t="n"/>
      <c r="P102" s="670" t="n"/>
      <c r="Q102" s="636" t="n"/>
      <c r="R102" s="40" t="inlineStr"/>
      <c r="S102" s="40" t="inlineStr"/>
      <c r="T102" s="41" t="inlineStr">
        <is>
          <t>кг</t>
        </is>
      </c>
      <c r="U102" s="671" t="n">
        <v>0</v>
      </c>
      <c r="V102" s="672">
        <f>IFERROR(IF(U102="",0,CEILING((U102/$H102),1)*$H102),"")</f>
        <v/>
      </c>
      <c r="W102" s="42">
        <f>IFERROR(IF(V102=0,"",ROUNDUP(V102/H102,0)*0.00753),"")</f>
        <v/>
      </c>
      <c r="X102" s="69" t="inlineStr"/>
      <c r="Y102" s="70" t="inlineStr"/>
      <c r="AC102" s="71" t="n"/>
      <c r="AZ102" s="122" t="inlineStr">
        <is>
          <t>КИ</t>
        </is>
      </c>
    </row>
    <row r="103" ht="27" customHeight="1">
      <c r="A103" s="64" t="inlineStr">
        <is>
          <t>SU001718</t>
        </is>
      </c>
      <c r="B103" s="64" t="inlineStr">
        <is>
          <t>P003327</t>
        </is>
      </c>
      <c r="C103" s="37" t="n">
        <v>4301051436</v>
      </c>
      <c r="D103" s="324" t="n">
        <v>4607091385731</v>
      </c>
      <c r="E103" s="636" t="n"/>
      <c r="F103" s="668" t="n">
        <v>0.45</v>
      </c>
      <c r="G103" s="38" t="n">
        <v>6</v>
      </c>
      <c r="H103" s="668" t="n">
        <v>2.7</v>
      </c>
      <c r="I103" s="668" t="n">
        <v>2.972</v>
      </c>
      <c r="J103" s="38" t="n">
        <v>156</v>
      </c>
      <c r="K103" s="39" t="inlineStr">
        <is>
          <t>СК3</t>
        </is>
      </c>
      <c r="L103" s="38" t="n">
        <v>45</v>
      </c>
      <c r="M103" s="726" t="inlineStr">
        <is>
          <t>Сосиски Молокуши (Вязанка Молочные) Вязанка Фикс.вес 0,45 П/а мгс Вязанка</t>
        </is>
      </c>
      <c r="N103" s="670" t="n"/>
      <c r="O103" s="670" t="n"/>
      <c r="P103" s="670" t="n"/>
      <c r="Q103" s="636" t="n"/>
      <c r="R103" s="40" t="inlineStr"/>
      <c r="S103" s="40" t="inlineStr"/>
      <c r="T103" s="41" t="inlineStr">
        <is>
          <t>кг</t>
        </is>
      </c>
      <c r="U103" s="671" t="n">
        <v>0</v>
      </c>
      <c r="V103" s="672">
        <f>IFERROR(IF(U103="",0,CEILING((U103/$H103),1)*$H103),"")</f>
        <v/>
      </c>
      <c r="W103" s="42">
        <f>IFERROR(IF(V103=0,"",ROUNDUP(V103/H103,0)*0.00753),"")</f>
        <v/>
      </c>
      <c r="X103" s="69" t="inlineStr"/>
      <c r="Y103" s="70" t="inlineStr"/>
      <c r="AC103" s="71" t="n"/>
      <c r="AZ103" s="123" t="inlineStr">
        <is>
          <t>КИ</t>
        </is>
      </c>
    </row>
    <row r="104" ht="27" customHeight="1">
      <c r="A104" s="64" t="inlineStr">
        <is>
          <t>SU002658</t>
        </is>
      </c>
      <c r="B104" s="64" t="inlineStr">
        <is>
          <t>P003326</t>
        </is>
      </c>
      <c r="C104" s="37" t="n">
        <v>4301051439</v>
      </c>
      <c r="D104" s="324" t="n">
        <v>4680115880214</v>
      </c>
      <c r="E104" s="636" t="n"/>
      <c r="F104" s="668" t="n">
        <v>0.45</v>
      </c>
      <c r="G104" s="38" t="n">
        <v>6</v>
      </c>
      <c r="H104" s="668" t="n">
        <v>2.7</v>
      </c>
      <c r="I104" s="668" t="n">
        <v>2.988</v>
      </c>
      <c r="J104" s="38" t="n">
        <v>120</v>
      </c>
      <c r="K104" s="39" t="inlineStr">
        <is>
          <t>СК3</t>
        </is>
      </c>
      <c r="L104" s="38" t="n">
        <v>45</v>
      </c>
      <c r="M104" s="727" t="inlineStr">
        <is>
          <t>Сосиски Молокуши миникушай Вязанка Ф/в 0,45 амилюкс мгс Вязанка</t>
        </is>
      </c>
      <c r="N104" s="670" t="n"/>
      <c r="O104" s="670" t="n"/>
      <c r="P104" s="670" t="n"/>
      <c r="Q104" s="636" t="n"/>
      <c r="R104" s="40" t="inlineStr"/>
      <c r="S104" s="40" t="inlineStr"/>
      <c r="T104" s="41" t="inlineStr">
        <is>
          <t>кг</t>
        </is>
      </c>
      <c r="U104" s="671" t="n">
        <v>0</v>
      </c>
      <c r="V104" s="672">
        <f>IFERROR(IF(U104="",0,CEILING((U104/$H104),1)*$H104),"")</f>
        <v/>
      </c>
      <c r="W104" s="42">
        <f>IFERROR(IF(V104=0,"",ROUNDUP(V104/H104,0)*0.00937),"")</f>
        <v/>
      </c>
      <c r="X104" s="69" t="inlineStr"/>
      <c r="Y104" s="70" t="inlineStr"/>
      <c r="AC104" s="71" t="n"/>
      <c r="AZ104" s="124" t="inlineStr">
        <is>
          <t>КИ</t>
        </is>
      </c>
    </row>
    <row r="105" ht="27" customHeight="1">
      <c r="A105" s="64" t="inlineStr">
        <is>
          <t>SU002769</t>
        </is>
      </c>
      <c r="B105" s="64" t="inlineStr">
        <is>
          <t>P003324</t>
        </is>
      </c>
      <c r="C105" s="37" t="n">
        <v>4301051438</v>
      </c>
      <c r="D105" s="324" t="n">
        <v>4680115880894</v>
      </c>
      <c r="E105" s="636" t="n"/>
      <c r="F105" s="668" t="n">
        <v>0.33</v>
      </c>
      <c r="G105" s="38" t="n">
        <v>6</v>
      </c>
      <c r="H105" s="668" t="n">
        <v>1.98</v>
      </c>
      <c r="I105" s="668" t="n">
        <v>2.258</v>
      </c>
      <c r="J105" s="38" t="n">
        <v>156</v>
      </c>
      <c r="K105" s="39" t="inlineStr">
        <is>
          <t>СК3</t>
        </is>
      </c>
      <c r="L105" s="38" t="n">
        <v>45</v>
      </c>
      <c r="M105" s="728" t="inlineStr">
        <is>
          <t>Сосиски Молокуши Миникушай Вязанка фикс.вес 0,33 п/а Вязанка</t>
        </is>
      </c>
      <c r="N105" s="670" t="n"/>
      <c r="O105" s="670" t="n"/>
      <c r="P105" s="670" t="n"/>
      <c r="Q105" s="636" t="n"/>
      <c r="R105" s="40" t="inlineStr"/>
      <c r="S105" s="40" t="inlineStr"/>
      <c r="T105" s="41" t="inlineStr">
        <is>
          <t>кг</t>
        </is>
      </c>
      <c r="U105" s="671" t="n">
        <v>0</v>
      </c>
      <c r="V105" s="672">
        <f>IFERROR(IF(U105="",0,CEILING((U105/$H105),1)*$H105),"")</f>
        <v/>
      </c>
      <c r="W105" s="42">
        <f>IFERROR(IF(V105=0,"",ROUNDUP(V105/H105,0)*0.00753),"")</f>
        <v/>
      </c>
      <c r="X105" s="69" t="inlineStr"/>
      <c r="Y105" s="70" t="inlineStr"/>
      <c r="AC105" s="71" t="n"/>
      <c r="AZ105" s="125" t="inlineStr">
        <is>
          <t>КИ</t>
        </is>
      </c>
    </row>
    <row r="106" ht="16.5" customHeight="1">
      <c r="A106" s="64" t="inlineStr">
        <is>
          <t>SU001354</t>
        </is>
      </c>
      <c r="B106" s="64" t="inlineStr">
        <is>
          <t>P003030</t>
        </is>
      </c>
      <c r="C106" s="37" t="n">
        <v>4301051313</v>
      </c>
      <c r="D106" s="324" t="n">
        <v>4607091385427</v>
      </c>
      <c r="E106" s="636" t="n"/>
      <c r="F106" s="668" t="n">
        <v>0.5</v>
      </c>
      <c r="G106" s="38" t="n">
        <v>6</v>
      </c>
      <c r="H106" s="668" t="n">
        <v>3</v>
      </c>
      <c r="I106" s="668" t="n">
        <v>3.272</v>
      </c>
      <c r="J106" s="38" t="n">
        <v>156</v>
      </c>
      <c r="K106" s="39" t="inlineStr">
        <is>
          <t>СК2</t>
        </is>
      </c>
      <c r="L106" s="38" t="n">
        <v>40</v>
      </c>
      <c r="M106" s="729">
        <f>HYPERLINK("https://abi.ru/products/Охлажденные/Вязанка/Вязанка/Сосиски/P003030/","Сосиски Рубленые Вязанка Фикс.вес 0,5 п/а мгс Вязанка")</f>
        <v/>
      </c>
      <c r="N106" s="670" t="n"/>
      <c r="O106" s="670" t="n"/>
      <c r="P106" s="670" t="n"/>
      <c r="Q106" s="636" t="n"/>
      <c r="R106" s="40" t="inlineStr"/>
      <c r="S106" s="40" t="inlineStr"/>
      <c r="T106" s="41" t="inlineStr">
        <is>
          <t>кг</t>
        </is>
      </c>
      <c r="U106" s="671" t="n">
        <v>0</v>
      </c>
      <c r="V106" s="672">
        <f>IFERROR(IF(U106="",0,CEILING((U106/$H106),1)*$H106),"")</f>
        <v/>
      </c>
      <c r="W106" s="42">
        <f>IFERROR(IF(V106=0,"",ROUNDUP(V106/H106,0)*0.00753),"")</f>
        <v/>
      </c>
      <c r="X106" s="69" t="inlineStr"/>
      <c r="Y106" s="70" t="inlineStr"/>
      <c r="AC106" s="71" t="n"/>
      <c r="AZ106" s="126" t="inlineStr">
        <is>
          <t>КИ</t>
        </is>
      </c>
    </row>
    <row r="107">
      <c r="A107" s="319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673" t="n"/>
      <c r="M107" s="674" t="inlineStr">
        <is>
          <t>Итого</t>
        </is>
      </c>
      <c r="N107" s="644" t="n"/>
      <c r="O107" s="644" t="n"/>
      <c r="P107" s="644" t="n"/>
      <c r="Q107" s="644" t="n"/>
      <c r="R107" s="644" t="n"/>
      <c r="S107" s="645" t="n"/>
      <c r="T107" s="43" t="inlineStr">
        <is>
          <t>кор</t>
        </is>
      </c>
      <c r="U107" s="675">
        <f>IFERROR(U99/H99,"0")+IFERROR(U100/H100,"0")+IFERROR(U101/H101,"0")+IFERROR(U102/H102,"0")+IFERROR(U103/H103,"0")+IFERROR(U104/H104,"0")+IFERROR(U105/H105,"0")+IFERROR(U106/H106,"0")</f>
        <v/>
      </c>
      <c r="V107" s="675">
        <f>IFERROR(V99/H99,"0")+IFERROR(V100/H100,"0")+IFERROR(V101/H101,"0")+IFERROR(V102/H102,"0")+IFERROR(V103/H103,"0")+IFERROR(V104/H104,"0")+IFERROR(V105/H105,"0")+IFERROR(V106/H106,"0")</f>
        <v/>
      </c>
      <c r="W107" s="675">
        <f>IFERROR(IF(W99="",0,W99),"0")+IFERROR(IF(W100="",0,W100),"0")+IFERROR(IF(W101="",0,W101),"0")+IFERROR(IF(W102="",0,W102),"0")+IFERROR(IF(W103="",0,W103),"0")+IFERROR(IF(W104="",0,W104),"0")+IFERROR(IF(W105="",0,W105),"0")+IFERROR(IF(W106="",0,W106),"0")</f>
        <v/>
      </c>
      <c r="X107" s="676" t="n"/>
      <c r="Y107" s="676" t="n"/>
    </row>
    <row r="10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673" t="n"/>
      <c r="M108" s="674" t="inlineStr">
        <is>
          <t>Итого</t>
        </is>
      </c>
      <c r="N108" s="644" t="n"/>
      <c r="O108" s="644" t="n"/>
      <c r="P108" s="644" t="n"/>
      <c r="Q108" s="644" t="n"/>
      <c r="R108" s="644" t="n"/>
      <c r="S108" s="645" t="n"/>
      <c r="T108" s="43" t="inlineStr">
        <is>
          <t>кг</t>
        </is>
      </c>
      <c r="U108" s="675">
        <f>IFERROR(SUM(U99:U106),"0")</f>
        <v/>
      </c>
      <c r="V108" s="675">
        <f>IFERROR(SUM(V99:V106),"0")</f>
        <v/>
      </c>
      <c r="W108" s="43" t="n"/>
      <c r="X108" s="676" t="n"/>
      <c r="Y108" s="676" t="n"/>
    </row>
    <row r="109" ht="14.25" customHeight="1">
      <c r="A109" s="329" t="inlineStr">
        <is>
          <t>Сардельки</t>
        </is>
      </c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329" t="n"/>
      <c r="Y109" s="329" t="n"/>
    </row>
    <row r="110" ht="27" customHeight="1">
      <c r="A110" s="64" t="inlineStr">
        <is>
          <t>SU002997</t>
        </is>
      </c>
      <c r="B110" s="64" t="inlineStr">
        <is>
          <t>P003465</t>
        </is>
      </c>
      <c r="C110" s="37" t="n">
        <v>4301060356</v>
      </c>
      <c r="D110" s="324" t="n">
        <v>4680115882652</v>
      </c>
      <c r="E110" s="636" t="n"/>
      <c r="F110" s="668" t="n">
        <v>0.33</v>
      </c>
      <c r="G110" s="38" t="n">
        <v>6</v>
      </c>
      <c r="H110" s="668" t="n">
        <v>1.98</v>
      </c>
      <c r="I110" s="668" t="n">
        <v>2.84</v>
      </c>
      <c r="J110" s="38" t="n">
        <v>156</v>
      </c>
      <c r="K110" s="39" t="inlineStr">
        <is>
          <t>СК2</t>
        </is>
      </c>
      <c r="L110" s="38" t="n">
        <v>40</v>
      </c>
      <c r="M110" s="730" t="inlineStr">
        <is>
          <t>Сардельки «Сливушки с сыром #минидельки» ф/в 0,33 айпил ТМ «Вязанка»</t>
        </is>
      </c>
      <c r="N110" s="670" t="n"/>
      <c r="O110" s="670" t="n"/>
      <c r="P110" s="670" t="n"/>
      <c r="Q110" s="636" t="n"/>
      <c r="R110" s="40" t="inlineStr">
        <is>
          <t>15.09.2023</t>
        </is>
      </c>
      <c r="S110" s="40" t="inlineStr"/>
      <c r="T110" s="41" t="inlineStr">
        <is>
          <t>кг</t>
        </is>
      </c>
      <c r="U110" s="671" t="n">
        <v>0</v>
      </c>
      <c r="V110" s="672">
        <f>IFERROR(IF(U110="",0,CEILING((U110/$H110),1)*$H110),"")</f>
        <v/>
      </c>
      <c r="W110" s="42">
        <f>IFERROR(IF(V110=0,"",ROUNDUP(V110/H110,0)*0.00753),"")</f>
        <v/>
      </c>
      <c r="X110" s="69" t="inlineStr"/>
      <c r="Y110" s="70" t="inlineStr">
        <is>
          <t>Новинка</t>
        </is>
      </c>
      <c r="AC110" s="71" t="n"/>
      <c r="AZ110" s="127" t="inlineStr">
        <is>
          <t>КИ</t>
        </is>
      </c>
    </row>
    <row r="111" ht="27" customHeight="1">
      <c r="A111" s="64" t="inlineStr">
        <is>
          <t>SU002071</t>
        </is>
      </c>
      <c r="B111" s="64" t="inlineStr">
        <is>
          <t>P002233</t>
        </is>
      </c>
      <c r="C111" s="37" t="n">
        <v>4301060296</v>
      </c>
      <c r="D111" s="324" t="n">
        <v>4607091383065</v>
      </c>
      <c r="E111" s="636" t="n"/>
      <c r="F111" s="668" t="n">
        <v>0.83</v>
      </c>
      <c r="G111" s="38" t="n">
        <v>4</v>
      </c>
      <c r="H111" s="668" t="n">
        <v>3.32</v>
      </c>
      <c r="I111" s="668" t="n">
        <v>3.582</v>
      </c>
      <c r="J111" s="38" t="n">
        <v>120</v>
      </c>
      <c r="K111" s="39" t="inlineStr">
        <is>
          <t>СК2</t>
        </is>
      </c>
      <c r="L111" s="38" t="n">
        <v>30</v>
      </c>
      <c r="M111" s="731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N111" s="670" t="n"/>
      <c r="O111" s="670" t="n"/>
      <c r="P111" s="670" t="n"/>
      <c r="Q111" s="636" t="n"/>
      <c r="R111" s="40" t="inlineStr"/>
      <c r="S111" s="40" t="inlineStr"/>
      <c r="T111" s="41" t="inlineStr">
        <is>
          <t>кг</t>
        </is>
      </c>
      <c r="U111" s="671" t="n">
        <v>0</v>
      </c>
      <c r="V111" s="672">
        <f>IFERROR(IF(U111="",0,CEILING((U111/$H111),1)*$H111),"")</f>
        <v/>
      </c>
      <c r="W111" s="42">
        <f>IFERROR(IF(V111=0,"",ROUNDUP(V111/H111,0)*0.00937),"")</f>
        <v/>
      </c>
      <c r="X111" s="69" t="inlineStr"/>
      <c r="Y111" s="70" t="inlineStr"/>
      <c r="AC111" s="71" t="n"/>
      <c r="AZ111" s="128" t="inlineStr">
        <is>
          <t>КИ</t>
        </is>
      </c>
    </row>
    <row r="112" ht="27" customHeight="1">
      <c r="A112" s="64" t="inlineStr">
        <is>
          <t>SU002835</t>
        </is>
      </c>
      <c r="B112" s="64" t="inlineStr">
        <is>
          <t>P003237</t>
        </is>
      </c>
      <c r="C112" s="37" t="n">
        <v>4301060350</v>
      </c>
      <c r="D112" s="324" t="n">
        <v>4680115881532</v>
      </c>
      <c r="E112" s="636" t="n"/>
      <c r="F112" s="668" t="n">
        <v>1.35</v>
      </c>
      <c r="G112" s="38" t="n">
        <v>6</v>
      </c>
      <c r="H112" s="668" t="n">
        <v>8.1</v>
      </c>
      <c r="I112" s="668" t="n">
        <v>8.58</v>
      </c>
      <c r="J112" s="38" t="n">
        <v>56</v>
      </c>
      <c r="K112" s="39" t="inlineStr">
        <is>
          <t>СК3</t>
        </is>
      </c>
      <c r="L112" s="38" t="n">
        <v>30</v>
      </c>
      <c r="M112" s="732">
        <f>HYPERLINK("https://abi.ru/products/Охлажденные/Вязанка/Вязанка/Сардельки/P003237/","Сардельки «Филейские» Весовые NDX мгс ТМ «Вязанка»")</f>
        <v/>
      </c>
      <c r="N112" s="670" t="n"/>
      <c r="O112" s="670" t="n"/>
      <c r="P112" s="670" t="n"/>
      <c r="Q112" s="636" t="n"/>
      <c r="R112" s="40" t="inlineStr"/>
      <c r="S112" s="40" t="inlineStr"/>
      <c r="T112" s="41" t="inlineStr">
        <is>
          <t>кг</t>
        </is>
      </c>
      <c r="U112" s="671" t="n">
        <v>0</v>
      </c>
      <c r="V112" s="672">
        <f>IFERROR(IF(U112="",0,CEILING((U112/$H112),1)*$H112),"")</f>
        <v/>
      </c>
      <c r="W112" s="42">
        <f>IFERROR(IF(V112=0,"",ROUNDUP(V112/H112,0)*0.02175),"")</f>
        <v/>
      </c>
      <c r="X112" s="69" t="inlineStr"/>
      <c r="Y112" s="70" t="inlineStr"/>
      <c r="AC112" s="71" t="n"/>
      <c r="AZ112" s="129" t="inlineStr">
        <is>
          <t>КИ</t>
        </is>
      </c>
    </row>
    <row r="113" ht="16.5" customHeight="1">
      <c r="A113" s="64" t="inlineStr">
        <is>
          <t>SU002367</t>
        </is>
      </c>
      <c r="B113" s="64" t="inlineStr">
        <is>
          <t>P002644</t>
        </is>
      </c>
      <c r="C113" s="37" t="n">
        <v>4301060309</v>
      </c>
      <c r="D113" s="324" t="n">
        <v>4680115880238</v>
      </c>
      <c r="E113" s="636" t="n"/>
      <c r="F113" s="668" t="n">
        <v>0.33</v>
      </c>
      <c r="G113" s="38" t="n">
        <v>6</v>
      </c>
      <c r="H113" s="668" t="n">
        <v>1.98</v>
      </c>
      <c r="I113" s="668" t="n">
        <v>2.258</v>
      </c>
      <c r="J113" s="38" t="n">
        <v>156</v>
      </c>
      <c r="K113" s="39" t="inlineStr">
        <is>
          <t>СК2</t>
        </is>
      </c>
      <c r="L113" s="38" t="n">
        <v>40</v>
      </c>
      <c r="M113" s="733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N113" s="670" t="n"/>
      <c r="O113" s="670" t="n"/>
      <c r="P113" s="670" t="n"/>
      <c r="Q113" s="636" t="n"/>
      <c r="R113" s="40" t="inlineStr"/>
      <c r="S113" s="40" t="inlineStr"/>
      <c r="T113" s="41" t="inlineStr">
        <is>
          <t>кг</t>
        </is>
      </c>
      <c r="U113" s="671" t="n">
        <v>0</v>
      </c>
      <c r="V113" s="672">
        <f>IFERROR(IF(U113="",0,CEILING((U113/$H113),1)*$H113),"")</f>
        <v/>
      </c>
      <c r="W113" s="42">
        <f>IFERROR(IF(V113=0,"",ROUNDUP(V113/H113,0)*0.00753),"")</f>
        <v/>
      </c>
      <c r="X113" s="69" t="inlineStr"/>
      <c r="Y113" s="70" t="inlineStr"/>
      <c r="AC113" s="71" t="n"/>
      <c r="AZ113" s="130" t="inlineStr">
        <is>
          <t>КИ</t>
        </is>
      </c>
    </row>
    <row r="114" ht="27" customHeight="1">
      <c r="A114" s="64" t="inlineStr">
        <is>
          <t>SU002834</t>
        </is>
      </c>
      <c r="B114" s="64" t="inlineStr">
        <is>
          <t>P003238</t>
        </is>
      </c>
      <c r="C114" s="37" t="n">
        <v>4301060351</v>
      </c>
      <c r="D114" s="324" t="n">
        <v>4680115881464</v>
      </c>
      <c r="E114" s="636" t="n"/>
      <c r="F114" s="668" t="n">
        <v>0.4</v>
      </c>
      <c r="G114" s="38" t="n">
        <v>6</v>
      </c>
      <c r="H114" s="668" t="n">
        <v>2.4</v>
      </c>
      <c r="I114" s="668" t="n">
        <v>2.6</v>
      </c>
      <c r="J114" s="38" t="n">
        <v>156</v>
      </c>
      <c r="K114" s="39" t="inlineStr">
        <is>
          <t>СК3</t>
        </is>
      </c>
      <c r="L114" s="38" t="n">
        <v>30</v>
      </c>
      <c r="M114" s="734" t="inlineStr">
        <is>
          <t>Сардельки «Филейские» Фикс.вес 0,4 NDX мгс ТМ «Вязанка»</t>
        </is>
      </c>
      <c r="N114" s="670" t="n"/>
      <c r="O114" s="670" t="n"/>
      <c r="P114" s="670" t="n"/>
      <c r="Q114" s="636" t="n"/>
      <c r="R114" s="40" t="inlineStr"/>
      <c r="S114" s="40" t="inlineStr"/>
      <c r="T114" s="41" t="inlineStr">
        <is>
          <t>кг</t>
        </is>
      </c>
      <c r="U114" s="671" t="n">
        <v>0</v>
      </c>
      <c r="V114" s="672">
        <f>IFERROR(IF(U114="",0,CEILING((U114/$H114),1)*$H114),"")</f>
        <v/>
      </c>
      <c r="W114" s="42">
        <f>IFERROR(IF(V114=0,"",ROUNDUP(V114/H114,0)*0.00753),"")</f>
        <v/>
      </c>
      <c r="X114" s="69" t="inlineStr"/>
      <c r="Y114" s="70" t="inlineStr"/>
      <c r="AC114" s="71" t="n"/>
      <c r="AZ114" s="131" t="inlineStr">
        <is>
          <t>КИ</t>
        </is>
      </c>
    </row>
    <row r="115">
      <c r="A115" s="319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673" t="n"/>
      <c r="M115" s="674" t="inlineStr">
        <is>
          <t>Итого</t>
        </is>
      </c>
      <c r="N115" s="644" t="n"/>
      <c r="O115" s="644" t="n"/>
      <c r="P115" s="644" t="n"/>
      <c r="Q115" s="644" t="n"/>
      <c r="R115" s="644" t="n"/>
      <c r="S115" s="645" t="n"/>
      <c r="T115" s="43" t="inlineStr">
        <is>
          <t>кор</t>
        </is>
      </c>
      <c r="U115" s="675">
        <f>IFERROR(U110/H110,"0")+IFERROR(U111/H111,"0")+IFERROR(U112/H112,"0")+IFERROR(U113/H113,"0")+IFERROR(U114/H114,"0")</f>
        <v/>
      </c>
      <c r="V115" s="675">
        <f>IFERROR(V110/H110,"0")+IFERROR(V111/H111,"0")+IFERROR(V112/H112,"0")+IFERROR(V113/H113,"0")+IFERROR(V114/H114,"0")</f>
        <v/>
      </c>
      <c r="W115" s="675">
        <f>IFERROR(IF(W110="",0,W110),"0")+IFERROR(IF(W111="",0,W111),"0")+IFERROR(IF(W112="",0,W112),"0")+IFERROR(IF(W113="",0,W113),"0")+IFERROR(IF(W114="",0,W114),"0")</f>
        <v/>
      </c>
      <c r="X115" s="676" t="n"/>
      <c r="Y115" s="676" t="n"/>
    </row>
    <row r="116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673" t="n"/>
      <c r="M116" s="674" t="inlineStr">
        <is>
          <t>Итого</t>
        </is>
      </c>
      <c r="N116" s="644" t="n"/>
      <c r="O116" s="644" t="n"/>
      <c r="P116" s="644" t="n"/>
      <c r="Q116" s="644" t="n"/>
      <c r="R116" s="644" t="n"/>
      <c r="S116" s="645" t="n"/>
      <c r="T116" s="43" t="inlineStr">
        <is>
          <t>кг</t>
        </is>
      </c>
      <c r="U116" s="675">
        <f>IFERROR(SUM(U110:U114),"0")</f>
        <v/>
      </c>
      <c r="V116" s="675">
        <f>IFERROR(SUM(V110:V114),"0")</f>
        <v/>
      </c>
      <c r="W116" s="43" t="n"/>
      <c r="X116" s="676" t="n"/>
      <c r="Y116" s="676" t="n"/>
    </row>
    <row r="117" ht="16.5" customHeight="1">
      <c r="A117" s="328" t="inlineStr">
        <is>
          <t>Сливушки</t>
        </is>
      </c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328" t="n"/>
      <c r="Y117" s="328" t="n"/>
    </row>
    <row r="118" ht="14.25" customHeight="1">
      <c r="A118" s="329" t="inlineStr">
        <is>
          <t>Сосиски</t>
        </is>
      </c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329" t="n"/>
      <c r="Y118" s="329" t="n"/>
    </row>
    <row r="119" ht="27" customHeight="1">
      <c r="A119" s="64" t="inlineStr">
        <is>
          <t>SU001721</t>
        </is>
      </c>
      <c r="B119" s="64" t="inlineStr">
        <is>
          <t>P003161</t>
        </is>
      </c>
      <c r="C119" s="37" t="n">
        <v>4301051360</v>
      </c>
      <c r="D119" s="324" t="n">
        <v>4607091385168</v>
      </c>
      <c r="E119" s="636" t="n"/>
      <c r="F119" s="668" t="n">
        <v>1.35</v>
      </c>
      <c r="G119" s="38" t="n">
        <v>6</v>
      </c>
      <c r="H119" s="668" t="n">
        <v>8.1</v>
      </c>
      <c r="I119" s="668" t="n">
        <v>8.657999999999999</v>
      </c>
      <c r="J119" s="38" t="n">
        <v>56</v>
      </c>
      <c r="K119" s="39" t="inlineStr">
        <is>
          <t>СК3</t>
        </is>
      </c>
      <c r="L119" s="38" t="n">
        <v>45</v>
      </c>
      <c r="M119" s="735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N119" s="670" t="n"/>
      <c r="O119" s="670" t="n"/>
      <c r="P119" s="670" t="n"/>
      <c r="Q119" s="636" t="n"/>
      <c r="R119" s="40" t="inlineStr"/>
      <c r="S119" s="40" t="inlineStr"/>
      <c r="T119" s="41" t="inlineStr">
        <is>
          <t>кг</t>
        </is>
      </c>
      <c r="U119" s="671" t="n">
        <v>0</v>
      </c>
      <c r="V119" s="672">
        <f>IFERROR(IF(U119="",0,CEILING((U119/$H119),1)*$H119),"")</f>
        <v/>
      </c>
      <c r="W119" s="42">
        <f>IFERROR(IF(V119=0,"",ROUNDUP(V119/H119,0)*0.02175),"")</f>
        <v/>
      </c>
      <c r="X119" s="69" t="inlineStr"/>
      <c r="Y119" s="70" t="inlineStr"/>
      <c r="AC119" s="71" t="n"/>
      <c r="AZ119" s="132" t="inlineStr">
        <is>
          <t>КИ</t>
        </is>
      </c>
    </row>
    <row r="120" ht="16.5" customHeight="1">
      <c r="A120" s="64" t="inlineStr">
        <is>
          <t>SU002139</t>
        </is>
      </c>
      <c r="B120" s="64" t="inlineStr">
        <is>
          <t>P003162</t>
        </is>
      </c>
      <c r="C120" s="37" t="n">
        <v>4301051362</v>
      </c>
      <c r="D120" s="324" t="n">
        <v>4607091383256</v>
      </c>
      <c r="E120" s="636" t="n"/>
      <c r="F120" s="668" t="n">
        <v>0.33</v>
      </c>
      <c r="G120" s="38" t="n">
        <v>6</v>
      </c>
      <c r="H120" s="668" t="n">
        <v>1.98</v>
      </c>
      <c r="I120" s="668" t="n">
        <v>2.246</v>
      </c>
      <c r="J120" s="38" t="n">
        <v>156</v>
      </c>
      <c r="K120" s="39" t="inlineStr">
        <is>
          <t>СК3</t>
        </is>
      </c>
      <c r="L120" s="38" t="n">
        <v>45</v>
      </c>
      <c r="M120" s="736">
        <f>HYPERLINK("https://abi.ru/products/Охлажденные/Вязанка/Сливушки/Сосиски/P003162/","Сосиски Сливочные Сливушки Фикс.вес 0,33 П/а мгс Вязанка")</f>
        <v/>
      </c>
      <c r="N120" s="670" t="n"/>
      <c r="O120" s="670" t="n"/>
      <c r="P120" s="670" t="n"/>
      <c r="Q120" s="636" t="n"/>
      <c r="R120" s="40" t="inlineStr"/>
      <c r="S120" s="40" t="inlineStr"/>
      <c r="T120" s="41" t="inlineStr">
        <is>
          <t>кг</t>
        </is>
      </c>
      <c r="U120" s="671" t="n">
        <v>0</v>
      </c>
      <c r="V120" s="672">
        <f>IFERROR(IF(U120="",0,CEILING((U120/$H120),1)*$H120),"")</f>
        <v/>
      </c>
      <c r="W120" s="42">
        <f>IFERROR(IF(V120=0,"",ROUNDUP(V120/H120,0)*0.00753),"")</f>
        <v/>
      </c>
      <c r="X120" s="69" t="inlineStr"/>
      <c r="Y120" s="70" t="inlineStr"/>
      <c r="AC120" s="71" t="n"/>
      <c r="AZ120" s="133" t="inlineStr">
        <is>
          <t>КИ</t>
        </is>
      </c>
    </row>
    <row r="121" ht="16.5" customHeight="1">
      <c r="A121" s="64" t="inlineStr">
        <is>
          <t>SU001720</t>
        </is>
      </c>
      <c r="B121" s="64" t="inlineStr">
        <is>
          <t>P003160</t>
        </is>
      </c>
      <c r="C121" s="37" t="n">
        <v>4301051358</v>
      </c>
      <c r="D121" s="324" t="n">
        <v>4607091385748</v>
      </c>
      <c r="E121" s="636" t="n"/>
      <c r="F121" s="668" t="n">
        <v>0.45</v>
      </c>
      <c r="G121" s="38" t="n">
        <v>6</v>
      </c>
      <c r="H121" s="668" t="n">
        <v>2.7</v>
      </c>
      <c r="I121" s="668" t="n">
        <v>2.972</v>
      </c>
      <c r="J121" s="38" t="n">
        <v>156</v>
      </c>
      <c r="K121" s="39" t="inlineStr">
        <is>
          <t>СК3</t>
        </is>
      </c>
      <c r="L121" s="38" t="n">
        <v>45</v>
      </c>
      <c r="M121" s="737">
        <f>HYPERLINK("https://abi.ru/products/Охлажденные/Вязанка/Сливушки/Сосиски/P003160/","Сосиски Сливочные Сливушки Фикс.вес 0,45 П/а мгс Вязанка")</f>
        <v/>
      </c>
      <c r="N121" s="670" t="n"/>
      <c r="O121" s="670" t="n"/>
      <c r="P121" s="670" t="n"/>
      <c r="Q121" s="636" t="n"/>
      <c r="R121" s="40" t="inlineStr"/>
      <c r="S121" s="40" t="inlineStr"/>
      <c r="T121" s="41" t="inlineStr">
        <is>
          <t>кг</t>
        </is>
      </c>
      <c r="U121" s="671" t="n">
        <v>0</v>
      </c>
      <c r="V121" s="672">
        <f>IFERROR(IF(U121="",0,CEILING((U121/$H121),1)*$H121),"")</f>
        <v/>
      </c>
      <c r="W121" s="42">
        <f>IFERROR(IF(V121=0,"",ROUNDUP(V121/H121,0)*0.00753),"")</f>
        <v/>
      </c>
      <c r="X121" s="69" t="inlineStr"/>
      <c r="Y121" s="70" t="inlineStr"/>
      <c r="AC121" s="71" t="n"/>
      <c r="AZ121" s="134" t="inlineStr">
        <is>
          <t>КИ</t>
        </is>
      </c>
    </row>
    <row r="122" ht="16.5" customHeight="1">
      <c r="A122" s="64" t="inlineStr">
        <is>
          <t>SU002438</t>
        </is>
      </c>
      <c r="B122" s="64" t="inlineStr">
        <is>
          <t>P003163</t>
        </is>
      </c>
      <c r="C122" s="37" t="n">
        <v>4301051364</v>
      </c>
      <c r="D122" s="324" t="n">
        <v>4607091384581</v>
      </c>
      <c r="E122" s="636" t="n"/>
      <c r="F122" s="668" t="n">
        <v>0.67</v>
      </c>
      <c r="G122" s="38" t="n">
        <v>4</v>
      </c>
      <c r="H122" s="668" t="n">
        <v>2.68</v>
      </c>
      <c r="I122" s="668" t="n">
        <v>2.942</v>
      </c>
      <c r="J122" s="38" t="n">
        <v>120</v>
      </c>
      <c r="K122" s="39" t="inlineStr">
        <is>
          <t>СК3</t>
        </is>
      </c>
      <c r="L122" s="38" t="n">
        <v>45</v>
      </c>
      <c r="M122" s="738">
        <f>HYPERLINK("https://abi.ru/products/Охлажденные/Вязанка/Сливушки/Сосиски/P003163/","Сосиски Сливочные Сливушки Фикс.вес 0,67 П/а мгс Вязанка")</f>
        <v/>
      </c>
      <c r="N122" s="670" t="n"/>
      <c r="O122" s="670" t="n"/>
      <c r="P122" s="670" t="n"/>
      <c r="Q122" s="636" t="n"/>
      <c r="R122" s="40" t="inlineStr"/>
      <c r="S122" s="40" t="inlineStr"/>
      <c r="T122" s="41" t="inlineStr">
        <is>
          <t>кг</t>
        </is>
      </c>
      <c r="U122" s="671" t="n">
        <v>0</v>
      </c>
      <c r="V122" s="672">
        <f>IFERROR(IF(U122="",0,CEILING((U122/$H122),1)*$H122),"")</f>
        <v/>
      </c>
      <c r="W122" s="42">
        <f>IFERROR(IF(V122=0,"",ROUNDUP(V122/H122,0)*0.00937),"")</f>
        <v/>
      </c>
      <c r="X122" s="69" t="inlineStr"/>
      <c r="Y122" s="70" t="inlineStr"/>
      <c r="AC122" s="71" t="n"/>
      <c r="AZ122" s="135" t="inlineStr">
        <is>
          <t>КИ</t>
        </is>
      </c>
    </row>
    <row r="123">
      <c r="A123" s="319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673" t="n"/>
      <c r="M123" s="674" t="inlineStr">
        <is>
          <t>Итого</t>
        </is>
      </c>
      <c r="N123" s="644" t="n"/>
      <c r="O123" s="644" t="n"/>
      <c r="P123" s="644" t="n"/>
      <c r="Q123" s="644" t="n"/>
      <c r="R123" s="644" t="n"/>
      <c r="S123" s="645" t="n"/>
      <c r="T123" s="43" t="inlineStr">
        <is>
          <t>кор</t>
        </is>
      </c>
      <c r="U123" s="675">
        <f>IFERROR(U119/H119,"0")+IFERROR(U120/H120,"0")+IFERROR(U121/H121,"0")+IFERROR(U122/H122,"0")</f>
        <v/>
      </c>
      <c r="V123" s="675">
        <f>IFERROR(V119/H119,"0")+IFERROR(V120/H120,"0")+IFERROR(V121/H121,"0")+IFERROR(V122/H122,"0")</f>
        <v/>
      </c>
      <c r="W123" s="675">
        <f>IFERROR(IF(W119="",0,W119),"0")+IFERROR(IF(W120="",0,W120),"0")+IFERROR(IF(W121="",0,W121),"0")+IFERROR(IF(W122="",0,W122),"0")</f>
        <v/>
      </c>
      <c r="X123" s="676" t="n"/>
      <c r="Y123" s="676" t="n"/>
    </row>
    <row r="124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673" t="n"/>
      <c r="M124" s="674" t="inlineStr">
        <is>
          <t>Итого</t>
        </is>
      </c>
      <c r="N124" s="644" t="n"/>
      <c r="O124" s="644" t="n"/>
      <c r="P124" s="644" t="n"/>
      <c r="Q124" s="644" t="n"/>
      <c r="R124" s="644" t="n"/>
      <c r="S124" s="645" t="n"/>
      <c r="T124" s="43" t="inlineStr">
        <is>
          <t>кг</t>
        </is>
      </c>
      <c r="U124" s="675">
        <f>IFERROR(SUM(U119:U122),"0")</f>
        <v/>
      </c>
      <c r="V124" s="675">
        <f>IFERROR(SUM(V119:V122),"0")</f>
        <v/>
      </c>
      <c r="W124" s="43" t="n"/>
      <c r="X124" s="676" t="n"/>
      <c r="Y124" s="676" t="n"/>
    </row>
    <row r="125" ht="27.75" customHeight="1">
      <c r="A125" s="340" t="inlineStr">
        <is>
          <t>Стародворье</t>
        </is>
      </c>
      <c r="B125" s="667" t="n"/>
      <c r="C125" s="667" t="n"/>
      <c r="D125" s="667" t="n"/>
      <c r="E125" s="667" t="n"/>
      <c r="F125" s="667" t="n"/>
      <c r="G125" s="667" t="n"/>
      <c r="H125" s="667" t="n"/>
      <c r="I125" s="667" t="n"/>
      <c r="J125" s="667" t="n"/>
      <c r="K125" s="667" t="n"/>
      <c r="L125" s="667" t="n"/>
      <c r="M125" s="667" t="n"/>
      <c r="N125" s="667" t="n"/>
      <c r="O125" s="667" t="n"/>
      <c r="P125" s="667" t="n"/>
      <c r="Q125" s="667" t="n"/>
      <c r="R125" s="667" t="n"/>
      <c r="S125" s="667" t="n"/>
      <c r="T125" s="667" t="n"/>
      <c r="U125" s="667" t="n"/>
      <c r="V125" s="667" t="n"/>
      <c r="W125" s="667" t="n"/>
      <c r="X125" s="55" t="n"/>
      <c r="Y125" s="55" t="n"/>
    </row>
    <row r="126" ht="16.5" customHeight="1">
      <c r="A126" s="328" t="inlineStr">
        <is>
          <t>Золоченная в печи</t>
        </is>
      </c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328" t="n"/>
      <c r="Y126" s="328" t="n"/>
    </row>
    <row r="127" ht="14.25" customHeight="1">
      <c r="A127" s="329" t="inlineStr">
        <is>
          <t>Вареные колбасы</t>
        </is>
      </c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329" t="n"/>
      <c r="Y127" s="329" t="n"/>
    </row>
    <row r="128" ht="27" customHeight="1">
      <c r="A128" s="64" t="inlineStr">
        <is>
          <t>SU002201</t>
        </is>
      </c>
      <c r="B128" s="64" t="inlineStr">
        <is>
          <t>P002567</t>
        </is>
      </c>
      <c r="C128" s="37" t="n">
        <v>4301011223</v>
      </c>
      <c r="D128" s="324" t="n">
        <v>4607091383423</v>
      </c>
      <c r="E128" s="636" t="n"/>
      <c r="F128" s="668" t="n">
        <v>1.35</v>
      </c>
      <c r="G128" s="38" t="n">
        <v>8</v>
      </c>
      <c r="H128" s="668" t="n">
        <v>10.8</v>
      </c>
      <c r="I128" s="668" t="n">
        <v>11.376</v>
      </c>
      <c r="J128" s="38" t="n">
        <v>56</v>
      </c>
      <c r="K128" s="39" t="inlineStr">
        <is>
          <t>СК3</t>
        </is>
      </c>
      <c r="L128" s="38" t="n">
        <v>35</v>
      </c>
      <c r="M128" s="739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N128" s="670" t="n"/>
      <c r="O128" s="670" t="n"/>
      <c r="P128" s="670" t="n"/>
      <c r="Q128" s="636" t="n"/>
      <c r="R128" s="40" t="inlineStr"/>
      <c r="S128" s="40" t="inlineStr"/>
      <c r="T128" s="41" t="inlineStr">
        <is>
          <t>кг</t>
        </is>
      </c>
      <c r="U128" s="671" t="n">
        <v>0</v>
      </c>
      <c r="V128" s="672">
        <f>IFERROR(IF(U128="",0,CEILING((U128/$H128),1)*$H128),"")</f>
        <v/>
      </c>
      <c r="W128" s="42">
        <f>IFERROR(IF(V128=0,"",ROUNDUP(V128/H128,0)*0.02175),"")</f>
        <v/>
      </c>
      <c r="X128" s="69" t="inlineStr"/>
      <c r="Y128" s="70" t="inlineStr"/>
      <c r="AC128" s="71" t="n"/>
      <c r="AZ128" s="136" t="inlineStr">
        <is>
          <t>КИ</t>
        </is>
      </c>
    </row>
    <row r="129" ht="27" customHeight="1">
      <c r="A129" s="64" t="inlineStr">
        <is>
          <t>SU002203</t>
        </is>
      </c>
      <c r="B129" s="64" t="inlineStr">
        <is>
          <t>P002568</t>
        </is>
      </c>
      <c r="C129" s="37" t="n">
        <v>4301011338</v>
      </c>
      <c r="D129" s="324" t="n">
        <v>4607091381405</v>
      </c>
      <c r="E129" s="636" t="n"/>
      <c r="F129" s="668" t="n">
        <v>1.35</v>
      </c>
      <c r="G129" s="38" t="n">
        <v>8</v>
      </c>
      <c r="H129" s="668" t="n">
        <v>10.8</v>
      </c>
      <c r="I129" s="668" t="n">
        <v>11.376</v>
      </c>
      <c r="J129" s="38" t="n">
        <v>56</v>
      </c>
      <c r="K129" s="39" t="inlineStr">
        <is>
          <t>СК2</t>
        </is>
      </c>
      <c r="L129" s="38" t="n">
        <v>35</v>
      </c>
      <c r="M129" s="740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N129" s="670" t="n"/>
      <c r="O129" s="670" t="n"/>
      <c r="P129" s="670" t="n"/>
      <c r="Q129" s="636" t="n"/>
      <c r="R129" s="40" t="inlineStr"/>
      <c r="S129" s="40" t="inlineStr"/>
      <c r="T129" s="41" t="inlineStr">
        <is>
          <t>кг</t>
        </is>
      </c>
      <c r="U129" s="671" t="n">
        <v>0</v>
      </c>
      <c r="V129" s="672">
        <f>IFERROR(IF(U129="",0,CEILING((U129/$H129),1)*$H129),"")</f>
        <v/>
      </c>
      <c r="W129" s="42">
        <f>IFERROR(IF(V129=0,"",ROUNDUP(V129/H129,0)*0.02175),"")</f>
        <v/>
      </c>
      <c r="X129" s="69" t="inlineStr"/>
      <c r="Y129" s="70" t="inlineStr"/>
      <c r="AC129" s="71" t="n"/>
      <c r="AZ129" s="137" t="inlineStr">
        <is>
          <t>КИ</t>
        </is>
      </c>
    </row>
    <row r="130" ht="27" customHeight="1">
      <c r="A130" s="64" t="inlineStr">
        <is>
          <t>SU002216</t>
        </is>
      </c>
      <c r="B130" s="64" t="inlineStr">
        <is>
          <t>P002400</t>
        </is>
      </c>
      <c r="C130" s="37" t="n">
        <v>4301011333</v>
      </c>
      <c r="D130" s="324" t="n">
        <v>4607091386516</v>
      </c>
      <c r="E130" s="636" t="n"/>
      <c r="F130" s="668" t="n">
        <v>1.4</v>
      </c>
      <c r="G130" s="38" t="n">
        <v>8</v>
      </c>
      <c r="H130" s="668" t="n">
        <v>11.2</v>
      </c>
      <c r="I130" s="668" t="n">
        <v>11.776</v>
      </c>
      <c r="J130" s="38" t="n">
        <v>56</v>
      </c>
      <c r="K130" s="39" t="inlineStr">
        <is>
          <t>СК2</t>
        </is>
      </c>
      <c r="L130" s="38" t="n">
        <v>30</v>
      </c>
      <c r="M130" s="741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N130" s="670" t="n"/>
      <c r="O130" s="670" t="n"/>
      <c r="P130" s="670" t="n"/>
      <c r="Q130" s="636" t="n"/>
      <c r="R130" s="40" t="inlineStr"/>
      <c r="S130" s="40" t="inlineStr"/>
      <c r="T130" s="41" t="inlineStr">
        <is>
          <t>кг</t>
        </is>
      </c>
      <c r="U130" s="671" t="n">
        <v>0</v>
      </c>
      <c r="V130" s="672">
        <f>IFERROR(IF(U130="",0,CEILING((U130/$H130),1)*$H130),"")</f>
        <v/>
      </c>
      <c r="W130" s="42">
        <f>IFERROR(IF(V130=0,"",ROUNDUP(V130/H130,0)*0.02175),"")</f>
        <v/>
      </c>
      <c r="X130" s="69" t="inlineStr"/>
      <c r="Y130" s="70" t="inlineStr"/>
      <c r="AC130" s="71" t="n"/>
      <c r="AZ130" s="138" t="inlineStr">
        <is>
          <t>КИ</t>
        </is>
      </c>
    </row>
    <row r="131">
      <c r="A131" s="319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673" t="n"/>
      <c r="M131" s="674" t="inlineStr">
        <is>
          <t>Итого</t>
        </is>
      </c>
      <c r="N131" s="644" t="n"/>
      <c r="O131" s="644" t="n"/>
      <c r="P131" s="644" t="n"/>
      <c r="Q131" s="644" t="n"/>
      <c r="R131" s="644" t="n"/>
      <c r="S131" s="645" t="n"/>
      <c r="T131" s="43" t="inlineStr">
        <is>
          <t>кор</t>
        </is>
      </c>
      <c r="U131" s="675">
        <f>IFERROR(U128/H128,"0")+IFERROR(U129/H129,"0")+IFERROR(U130/H130,"0")</f>
        <v/>
      </c>
      <c r="V131" s="675">
        <f>IFERROR(V128/H128,"0")+IFERROR(V129/H129,"0")+IFERROR(V130/H130,"0")</f>
        <v/>
      </c>
      <c r="W131" s="675">
        <f>IFERROR(IF(W128="",0,W128),"0")+IFERROR(IF(W129="",0,W129),"0")+IFERROR(IF(W130="",0,W130),"0")</f>
        <v/>
      </c>
      <c r="X131" s="676" t="n"/>
      <c r="Y131" s="676" t="n"/>
    </row>
    <row r="132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673" t="n"/>
      <c r="M132" s="674" t="inlineStr">
        <is>
          <t>Итого</t>
        </is>
      </c>
      <c r="N132" s="644" t="n"/>
      <c r="O132" s="644" t="n"/>
      <c r="P132" s="644" t="n"/>
      <c r="Q132" s="644" t="n"/>
      <c r="R132" s="644" t="n"/>
      <c r="S132" s="645" t="n"/>
      <c r="T132" s="43" t="inlineStr">
        <is>
          <t>кг</t>
        </is>
      </c>
      <c r="U132" s="675">
        <f>IFERROR(SUM(U128:U130),"0")</f>
        <v/>
      </c>
      <c r="V132" s="675">
        <f>IFERROR(SUM(V128:V130),"0")</f>
        <v/>
      </c>
      <c r="W132" s="43" t="n"/>
      <c r="X132" s="676" t="n"/>
      <c r="Y132" s="676" t="n"/>
    </row>
    <row r="133" ht="16.5" customHeight="1">
      <c r="A133" s="328" t="inlineStr">
        <is>
          <t>Мясорубская</t>
        </is>
      </c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328" t="n"/>
      <c r="Y133" s="328" t="n"/>
    </row>
    <row r="134" ht="14.25" customHeight="1">
      <c r="A134" s="329" t="inlineStr">
        <is>
          <t>Копченые колбасы</t>
        </is>
      </c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329" t="n"/>
      <c r="Y134" s="329" t="n"/>
    </row>
    <row r="135" ht="27" customHeight="1">
      <c r="A135" s="64" t="inlineStr">
        <is>
          <t>SU002756</t>
        </is>
      </c>
      <c r="B135" s="64" t="inlineStr">
        <is>
          <t>P003179</t>
        </is>
      </c>
      <c r="C135" s="37" t="n">
        <v>4301031191</v>
      </c>
      <c r="D135" s="324" t="n">
        <v>4680115880993</v>
      </c>
      <c r="E135" s="636" t="n"/>
      <c r="F135" s="668" t="n">
        <v>0.7</v>
      </c>
      <c r="G135" s="38" t="n">
        <v>6</v>
      </c>
      <c r="H135" s="668" t="n">
        <v>4.2</v>
      </c>
      <c r="I135" s="668" t="n">
        <v>4.46</v>
      </c>
      <c r="J135" s="38" t="n">
        <v>156</v>
      </c>
      <c r="K135" s="39" t="inlineStr">
        <is>
          <t>СК2</t>
        </is>
      </c>
      <c r="L135" s="38" t="n">
        <v>40</v>
      </c>
      <c r="M135" s="742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N135" s="670" t="n"/>
      <c r="O135" s="670" t="n"/>
      <c r="P135" s="670" t="n"/>
      <c r="Q135" s="636" t="n"/>
      <c r="R135" s="40" t="inlineStr"/>
      <c r="S135" s="40" t="inlineStr"/>
      <c r="T135" s="41" t="inlineStr">
        <is>
          <t>кг</t>
        </is>
      </c>
      <c r="U135" s="671" t="n">
        <v>0</v>
      </c>
      <c r="V135" s="672">
        <f>IFERROR(IF(U135="",0,CEILING((U135/$H135),1)*$H135),"")</f>
        <v/>
      </c>
      <c r="W135" s="42">
        <f>IFERROR(IF(V135=0,"",ROUNDUP(V135/H135,0)*0.00753),"")</f>
        <v/>
      </c>
      <c r="X135" s="69" t="inlineStr"/>
      <c r="Y135" s="70" t="inlineStr"/>
      <c r="AC135" s="71" t="n"/>
      <c r="AZ135" s="139" t="inlineStr">
        <is>
          <t>КИ</t>
        </is>
      </c>
    </row>
    <row r="136" ht="27" customHeight="1">
      <c r="A136" s="64" t="inlineStr">
        <is>
          <t>SU002876</t>
        </is>
      </c>
      <c r="B136" s="64" t="inlineStr">
        <is>
          <t>P003276</t>
        </is>
      </c>
      <c r="C136" s="37" t="n">
        <v>4301031204</v>
      </c>
      <c r="D136" s="324" t="n">
        <v>4680115881761</v>
      </c>
      <c r="E136" s="636" t="n"/>
      <c r="F136" s="668" t="n">
        <v>0.7</v>
      </c>
      <c r="G136" s="38" t="n">
        <v>6</v>
      </c>
      <c r="H136" s="668" t="n">
        <v>4.2</v>
      </c>
      <c r="I136" s="668" t="n">
        <v>4.46</v>
      </c>
      <c r="J136" s="38" t="n">
        <v>156</v>
      </c>
      <c r="K136" s="39" t="inlineStr">
        <is>
          <t>СК2</t>
        </is>
      </c>
      <c r="L136" s="38" t="n">
        <v>40</v>
      </c>
      <c r="M136" s="743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N136" s="670" t="n"/>
      <c r="O136" s="670" t="n"/>
      <c r="P136" s="670" t="n"/>
      <c r="Q136" s="636" t="n"/>
      <c r="R136" s="40" t="inlineStr"/>
      <c r="S136" s="40" t="inlineStr"/>
      <c r="T136" s="41" t="inlineStr">
        <is>
          <t>кг</t>
        </is>
      </c>
      <c r="U136" s="671" t="n">
        <v>0</v>
      </c>
      <c r="V136" s="672">
        <f>IFERROR(IF(U136="",0,CEILING((U136/$H136),1)*$H136),"")</f>
        <v/>
      </c>
      <c r="W136" s="42">
        <f>IFERROR(IF(V136=0,"",ROUNDUP(V136/H136,0)*0.00753),"")</f>
        <v/>
      </c>
      <c r="X136" s="69" t="inlineStr"/>
      <c r="Y136" s="70" t="inlineStr"/>
      <c r="AC136" s="71" t="n"/>
      <c r="AZ136" s="140" t="inlineStr">
        <is>
          <t>КИ</t>
        </is>
      </c>
    </row>
    <row r="137" ht="27" customHeight="1">
      <c r="A137" s="64" t="inlineStr">
        <is>
          <t>SU002847</t>
        </is>
      </c>
      <c r="B137" s="64" t="inlineStr">
        <is>
          <t>P003259</t>
        </is>
      </c>
      <c r="C137" s="37" t="n">
        <v>4301031201</v>
      </c>
      <c r="D137" s="324" t="n">
        <v>4680115881563</v>
      </c>
      <c r="E137" s="636" t="n"/>
      <c r="F137" s="668" t="n">
        <v>0.7</v>
      </c>
      <c r="G137" s="38" t="n">
        <v>6</v>
      </c>
      <c r="H137" s="668" t="n">
        <v>4.2</v>
      </c>
      <c r="I137" s="668" t="n">
        <v>4.4</v>
      </c>
      <c r="J137" s="38" t="n">
        <v>156</v>
      </c>
      <c r="K137" s="39" t="inlineStr">
        <is>
          <t>СК2</t>
        </is>
      </c>
      <c r="L137" s="38" t="n">
        <v>40</v>
      </c>
      <c r="M137" s="744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N137" s="670" t="n"/>
      <c r="O137" s="670" t="n"/>
      <c r="P137" s="670" t="n"/>
      <c r="Q137" s="636" t="n"/>
      <c r="R137" s="40" t="inlineStr"/>
      <c r="S137" s="40" t="inlineStr"/>
      <c r="T137" s="41" t="inlineStr">
        <is>
          <t>кг</t>
        </is>
      </c>
      <c r="U137" s="671" t="n">
        <v>0</v>
      </c>
      <c r="V137" s="672">
        <f>IFERROR(IF(U137="",0,CEILING((U137/$H137),1)*$H137),"")</f>
        <v/>
      </c>
      <c r="W137" s="42">
        <f>IFERROR(IF(V137=0,"",ROUNDUP(V137/H137,0)*0.00753),"")</f>
        <v/>
      </c>
      <c r="X137" s="69" t="inlineStr"/>
      <c r="Y137" s="70" t="inlineStr"/>
      <c r="AC137" s="71" t="n"/>
      <c r="AZ137" s="141" t="inlineStr">
        <is>
          <t>КИ</t>
        </is>
      </c>
    </row>
    <row r="138" ht="27" customHeight="1">
      <c r="A138" s="64" t="inlineStr">
        <is>
          <t>SU002660</t>
        </is>
      </c>
      <c r="B138" s="64" t="inlineStr">
        <is>
          <t>P003256</t>
        </is>
      </c>
      <c r="C138" s="37" t="n">
        <v>4301031199</v>
      </c>
      <c r="D138" s="324" t="n">
        <v>4680115880986</v>
      </c>
      <c r="E138" s="636" t="n"/>
      <c r="F138" s="668" t="n">
        <v>0.35</v>
      </c>
      <c r="G138" s="38" t="n">
        <v>6</v>
      </c>
      <c r="H138" s="668" t="n">
        <v>2.1</v>
      </c>
      <c r="I138" s="668" t="n">
        <v>2.23</v>
      </c>
      <c r="J138" s="38" t="n">
        <v>234</v>
      </c>
      <c r="K138" s="39" t="inlineStr">
        <is>
          <t>СК2</t>
        </is>
      </c>
      <c r="L138" s="38" t="n">
        <v>40</v>
      </c>
      <c r="M138" s="745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N138" s="670" t="n"/>
      <c r="O138" s="670" t="n"/>
      <c r="P138" s="670" t="n"/>
      <c r="Q138" s="636" t="n"/>
      <c r="R138" s="40" t="inlineStr"/>
      <c r="S138" s="40" t="inlineStr"/>
      <c r="T138" s="41" t="inlineStr">
        <is>
          <t>кг</t>
        </is>
      </c>
      <c r="U138" s="671" t="n">
        <v>0</v>
      </c>
      <c r="V138" s="672">
        <f>IFERROR(IF(U138="",0,CEILING((U138/$H138),1)*$H138),"")</f>
        <v/>
      </c>
      <c r="W138" s="42">
        <f>IFERROR(IF(V138=0,"",ROUNDUP(V138/H138,0)*0.00502),"")</f>
        <v/>
      </c>
      <c r="X138" s="69" t="inlineStr"/>
      <c r="Y138" s="70" t="inlineStr"/>
      <c r="AC138" s="71" t="n"/>
      <c r="AZ138" s="142" t="inlineStr">
        <is>
          <t>КИ</t>
        </is>
      </c>
    </row>
    <row r="139" ht="27" customHeight="1">
      <c r="A139" s="64" t="inlineStr">
        <is>
          <t>SU002826</t>
        </is>
      </c>
      <c r="B139" s="64" t="inlineStr">
        <is>
          <t>P003178</t>
        </is>
      </c>
      <c r="C139" s="37" t="n">
        <v>4301031190</v>
      </c>
      <c r="D139" s="324" t="n">
        <v>4680115880207</v>
      </c>
      <c r="E139" s="636" t="n"/>
      <c r="F139" s="668" t="n">
        <v>0.4</v>
      </c>
      <c r="G139" s="38" t="n">
        <v>6</v>
      </c>
      <c r="H139" s="668" t="n">
        <v>2.4</v>
      </c>
      <c r="I139" s="668" t="n">
        <v>2.63</v>
      </c>
      <c r="J139" s="38" t="n">
        <v>156</v>
      </c>
      <c r="K139" s="39" t="inlineStr">
        <is>
          <t>СК2</t>
        </is>
      </c>
      <c r="L139" s="38" t="n">
        <v>40</v>
      </c>
      <c r="M139" s="746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N139" s="670" t="n"/>
      <c r="O139" s="670" t="n"/>
      <c r="P139" s="670" t="n"/>
      <c r="Q139" s="636" t="n"/>
      <c r="R139" s="40" t="inlineStr"/>
      <c r="S139" s="40" t="inlineStr"/>
      <c r="T139" s="41" t="inlineStr">
        <is>
          <t>кг</t>
        </is>
      </c>
      <c r="U139" s="671" t="n">
        <v>0</v>
      </c>
      <c r="V139" s="672">
        <f>IFERROR(IF(U139="",0,CEILING((U139/$H139),1)*$H139),"")</f>
        <v/>
      </c>
      <c r="W139" s="42">
        <f>IFERROR(IF(V139=0,"",ROUNDUP(V139/H139,0)*0.00753),"")</f>
        <v/>
      </c>
      <c r="X139" s="69" t="inlineStr"/>
      <c r="Y139" s="70" t="inlineStr"/>
      <c r="AC139" s="71" t="n"/>
      <c r="AZ139" s="143" t="inlineStr">
        <is>
          <t>КИ</t>
        </is>
      </c>
    </row>
    <row r="140" ht="27" customHeight="1">
      <c r="A140" s="64" t="inlineStr">
        <is>
          <t>SU002877</t>
        </is>
      </c>
      <c r="B140" s="64" t="inlineStr">
        <is>
          <t>P003277</t>
        </is>
      </c>
      <c r="C140" s="37" t="n">
        <v>4301031205</v>
      </c>
      <c r="D140" s="324" t="n">
        <v>4680115881785</v>
      </c>
      <c r="E140" s="636" t="n"/>
      <c r="F140" s="668" t="n">
        <v>0.35</v>
      </c>
      <c r="G140" s="38" t="n">
        <v>6</v>
      </c>
      <c r="H140" s="668" t="n">
        <v>2.1</v>
      </c>
      <c r="I140" s="668" t="n">
        <v>2.23</v>
      </c>
      <c r="J140" s="38" t="n">
        <v>234</v>
      </c>
      <c r="K140" s="39" t="inlineStr">
        <is>
          <t>СК2</t>
        </is>
      </c>
      <c r="L140" s="38" t="n">
        <v>40</v>
      </c>
      <c r="M140" s="747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N140" s="670" t="n"/>
      <c r="O140" s="670" t="n"/>
      <c r="P140" s="670" t="n"/>
      <c r="Q140" s="636" t="n"/>
      <c r="R140" s="40" t="inlineStr"/>
      <c r="S140" s="40" t="inlineStr"/>
      <c r="T140" s="41" t="inlineStr">
        <is>
          <t>кг</t>
        </is>
      </c>
      <c r="U140" s="671" t="n">
        <v>0</v>
      </c>
      <c r="V140" s="672">
        <f>IFERROR(IF(U140="",0,CEILING((U140/$H140),1)*$H140),"")</f>
        <v/>
      </c>
      <c r="W140" s="42">
        <f>IFERROR(IF(V140=0,"",ROUNDUP(V140/H140,0)*0.00502),"")</f>
        <v/>
      </c>
      <c r="X140" s="69" t="inlineStr"/>
      <c r="Y140" s="70" t="inlineStr"/>
      <c r="AC140" s="71" t="n"/>
      <c r="AZ140" s="144" t="inlineStr">
        <is>
          <t>КИ</t>
        </is>
      </c>
    </row>
    <row r="141" ht="27" customHeight="1">
      <c r="A141" s="64" t="inlineStr">
        <is>
          <t>SU002848</t>
        </is>
      </c>
      <c r="B141" s="64" t="inlineStr">
        <is>
          <t>P003260</t>
        </is>
      </c>
      <c r="C141" s="37" t="n">
        <v>4301031202</v>
      </c>
      <c r="D141" s="324" t="n">
        <v>4680115881679</v>
      </c>
      <c r="E141" s="636" t="n"/>
      <c r="F141" s="668" t="n">
        <v>0.35</v>
      </c>
      <c r="G141" s="38" t="n">
        <v>6</v>
      </c>
      <c r="H141" s="668" t="n">
        <v>2.1</v>
      </c>
      <c r="I141" s="668" t="n">
        <v>2.2</v>
      </c>
      <c r="J141" s="38" t="n">
        <v>234</v>
      </c>
      <c r="K141" s="39" t="inlineStr">
        <is>
          <t>СК2</t>
        </is>
      </c>
      <c r="L141" s="38" t="n">
        <v>40</v>
      </c>
      <c r="M141" s="748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N141" s="670" t="n"/>
      <c r="O141" s="670" t="n"/>
      <c r="P141" s="670" t="n"/>
      <c r="Q141" s="636" t="n"/>
      <c r="R141" s="40" t="inlineStr"/>
      <c r="S141" s="40" t="inlineStr"/>
      <c r="T141" s="41" t="inlineStr">
        <is>
          <t>кг</t>
        </is>
      </c>
      <c r="U141" s="671" t="n">
        <v>0</v>
      </c>
      <c r="V141" s="672">
        <f>IFERROR(IF(U141="",0,CEILING((U141/$H141),1)*$H141),"")</f>
        <v/>
      </c>
      <c r="W141" s="42">
        <f>IFERROR(IF(V141=0,"",ROUNDUP(V141/H141,0)*0.00502),"")</f>
        <v/>
      </c>
      <c r="X141" s="69" t="inlineStr"/>
      <c r="Y141" s="70" t="inlineStr"/>
      <c r="AC141" s="71" t="n"/>
      <c r="AZ141" s="145" t="inlineStr">
        <is>
          <t>КИ</t>
        </is>
      </c>
    </row>
    <row r="142" ht="27" customHeight="1">
      <c r="A142" s="64" t="inlineStr">
        <is>
          <t>SU002659</t>
        </is>
      </c>
      <c r="B142" s="64" t="inlineStr">
        <is>
          <t>P003034</t>
        </is>
      </c>
      <c r="C142" s="37" t="n">
        <v>4301031158</v>
      </c>
      <c r="D142" s="324" t="n">
        <v>4680115880191</v>
      </c>
      <c r="E142" s="636" t="n"/>
      <c r="F142" s="668" t="n">
        <v>0.4</v>
      </c>
      <c r="G142" s="38" t="n">
        <v>6</v>
      </c>
      <c r="H142" s="668" t="n">
        <v>2.4</v>
      </c>
      <c r="I142" s="668" t="n">
        <v>2.6</v>
      </c>
      <c r="J142" s="38" t="n">
        <v>156</v>
      </c>
      <c r="K142" s="39" t="inlineStr">
        <is>
          <t>СК2</t>
        </is>
      </c>
      <c r="L142" s="38" t="n">
        <v>40</v>
      </c>
      <c r="M142" s="749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N142" s="670" t="n"/>
      <c r="O142" s="670" t="n"/>
      <c r="P142" s="670" t="n"/>
      <c r="Q142" s="636" t="n"/>
      <c r="R142" s="40" t="inlineStr"/>
      <c r="S142" s="40" t="inlineStr"/>
      <c r="T142" s="41" t="inlineStr">
        <is>
          <t>кг</t>
        </is>
      </c>
      <c r="U142" s="671" t="n">
        <v>0</v>
      </c>
      <c r="V142" s="672">
        <f>IFERROR(IF(U142="",0,CEILING((U142/$H142),1)*$H142),"")</f>
        <v/>
      </c>
      <c r="W142" s="42">
        <f>IFERROR(IF(V142=0,"",ROUNDUP(V142/H142,0)*0.00753),"")</f>
        <v/>
      </c>
      <c r="X142" s="69" t="inlineStr"/>
      <c r="Y142" s="70" t="inlineStr"/>
      <c r="AC142" s="71" t="n"/>
      <c r="AZ142" s="146" t="inlineStr">
        <is>
          <t>КИ</t>
        </is>
      </c>
    </row>
    <row r="143">
      <c r="A143" s="319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673" t="n"/>
      <c r="M143" s="674" t="inlineStr">
        <is>
          <t>Итого</t>
        </is>
      </c>
      <c r="N143" s="644" t="n"/>
      <c r="O143" s="644" t="n"/>
      <c r="P143" s="644" t="n"/>
      <c r="Q143" s="644" t="n"/>
      <c r="R143" s="644" t="n"/>
      <c r="S143" s="645" t="n"/>
      <c r="T143" s="43" t="inlineStr">
        <is>
          <t>кор</t>
        </is>
      </c>
      <c r="U143" s="675">
        <f>IFERROR(U135/H135,"0")+IFERROR(U136/H136,"0")+IFERROR(U137/H137,"0")+IFERROR(U138/H138,"0")+IFERROR(U139/H139,"0")+IFERROR(U140/H140,"0")+IFERROR(U141/H141,"0")+IFERROR(U142/H142,"0")</f>
        <v/>
      </c>
      <c r="V143" s="675">
        <f>IFERROR(V135/H135,"0")+IFERROR(V136/H136,"0")+IFERROR(V137/H137,"0")+IFERROR(V138/H138,"0")+IFERROR(V139/H139,"0")+IFERROR(V140/H140,"0")+IFERROR(V141/H141,"0")+IFERROR(V142/H142,"0")</f>
        <v/>
      </c>
      <c r="W143" s="675">
        <f>IFERROR(IF(W135="",0,W135),"0")+IFERROR(IF(W136="",0,W136),"0")+IFERROR(IF(W137="",0,W137),"0")+IFERROR(IF(W138="",0,W138),"0")+IFERROR(IF(W139="",0,W139),"0")+IFERROR(IF(W140="",0,W140),"0")+IFERROR(IF(W141="",0,W141),"0")+IFERROR(IF(W142="",0,W142),"0")</f>
        <v/>
      </c>
      <c r="X143" s="676" t="n"/>
      <c r="Y143" s="676" t="n"/>
    </row>
    <row r="144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673" t="n"/>
      <c r="M144" s="674" t="inlineStr">
        <is>
          <t>Итого</t>
        </is>
      </c>
      <c r="N144" s="644" t="n"/>
      <c r="O144" s="644" t="n"/>
      <c r="P144" s="644" t="n"/>
      <c r="Q144" s="644" t="n"/>
      <c r="R144" s="644" t="n"/>
      <c r="S144" s="645" t="n"/>
      <c r="T144" s="43" t="inlineStr">
        <is>
          <t>кг</t>
        </is>
      </c>
      <c r="U144" s="675">
        <f>IFERROR(SUM(U135:U142),"0")</f>
        <v/>
      </c>
      <c r="V144" s="675">
        <f>IFERROR(SUM(V135:V142),"0")</f>
        <v/>
      </c>
      <c r="W144" s="43" t="n"/>
      <c r="X144" s="676" t="n"/>
      <c r="Y144" s="676" t="n"/>
    </row>
    <row r="145" ht="16.5" customHeight="1">
      <c r="A145" s="328" t="inlineStr">
        <is>
          <t>Сочинка</t>
        </is>
      </c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328" t="n"/>
      <c r="Y145" s="328" t="n"/>
    </row>
    <row r="146" ht="14.25" customHeight="1">
      <c r="A146" s="329" t="inlineStr">
        <is>
          <t>Вареные колбасы</t>
        </is>
      </c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329" t="n"/>
      <c r="Y146" s="329" t="n"/>
    </row>
    <row r="147" ht="16.5" customHeight="1">
      <c r="A147" s="64" t="inlineStr">
        <is>
          <t>SU002824</t>
        </is>
      </c>
      <c r="B147" s="64" t="inlineStr">
        <is>
          <t>P003231</t>
        </is>
      </c>
      <c r="C147" s="37" t="n">
        <v>4301011450</v>
      </c>
      <c r="D147" s="324" t="n">
        <v>4680115881402</v>
      </c>
      <c r="E147" s="636" t="n"/>
      <c r="F147" s="668" t="n">
        <v>1.35</v>
      </c>
      <c r="G147" s="38" t="n">
        <v>8</v>
      </c>
      <c r="H147" s="668" t="n">
        <v>10.8</v>
      </c>
      <c r="I147" s="668" t="n">
        <v>11.28</v>
      </c>
      <c r="J147" s="38" t="n">
        <v>56</v>
      </c>
      <c r="K147" s="39" t="inlineStr">
        <is>
          <t>СК1</t>
        </is>
      </c>
      <c r="L147" s="38" t="n">
        <v>55</v>
      </c>
      <c r="M147" s="750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N147" s="670" t="n"/>
      <c r="O147" s="670" t="n"/>
      <c r="P147" s="670" t="n"/>
      <c r="Q147" s="636" t="n"/>
      <c r="R147" s="40" t="inlineStr"/>
      <c r="S147" s="40" t="inlineStr"/>
      <c r="T147" s="41" t="inlineStr">
        <is>
          <t>кг</t>
        </is>
      </c>
      <c r="U147" s="671" t="n">
        <v>0</v>
      </c>
      <c r="V147" s="672">
        <f>IFERROR(IF(U147="",0,CEILING((U147/$H147),1)*$H147),"")</f>
        <v/>
      </c>
      <c r="W147" s="42">
        <f>IFERROR(IF(V147=0,"",ROUNDUP(V147/H147,0)*0.02175),"")</f>
        <v/>
      </c>
      <c r="X147" s="69" t="inlineStr"/>
      <c r="Y147" s="70" t="inlineStr"/>
      <c r="AC147" s="71" t="n"/>
      <c r="AZ147" s="147" t="inlineStr">
        <is>
          <t>КИ</t>
        </is>
      </c>
    </row>
    <row r="148" ht="27" customHeight="1">
      <c r="A148" s="64" t="inlineStr">
        <is>
          <t>SU002823</t>
        </is>
      </c>
      <c r="B148" s="64" t="inlineStr">
        <is>
          <t>P003230</t>
        </is>
      </c>
      <c r="C148" s="37" t="n">
        <v>4301011454</v>
      </c>
      <c r="D148" s="324" t="n">
        <v>4680115881396</v>
      </c>
      <c r="E148" s="636" t="n"/>
      <c r="F148" s="668" t="n">
        <v>0.45</v>
      </c>
      <c r="G148" s="38" t="n">
        <v>6</v>
      </c>
      <c r="H148" s="668" t="n">
        <v>2.7</v>
      </c>
      <c r="I148" s="668" t="n">
        <v>2.9</v>
      </c>
      <c r="J148" s="38" t="n">
        <v>156</v>
      </c>
      <c r="K148" s="39" t="inlineStr">
        <is>
          <t>СК2</t>
        </is>
      </c>
      <c r="L148" s="38" t="n">
        <v>55</v>
      </c>
      <c r="M148" s="751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N148" s="670" t="n"/>
      <c r="O148" s="670" t="n"/>
      <c r="P148" s="670" t="n"/>
      <c r="Q148" s="636" t="n"/>
      <c r="R148" s="40" t="inlineStr"/>
      <c r="S148" s="40" t="inlineStr"/>
      <c r="T148" s="41" t="inlineStr">
        <is>
          <t>кг</t>
        </is>
      </c>
      <c r="U148" s="671" t="n">
        <v>0</v>
      </c>
      <c r="V148" s="672">
        <f>IFERROR(IF(U148="",0,CEILING((U148/$H148),1)*$H148),"")</f>
        <v/>
      </c>
      <c r="W148" s="42">
        <f>IFERROR(IF(V148=0,"",ROUNDUP(V148/H148,0)*0.00753),"")</f>
        <v/>
      </c>
      <c r="X148" s="69" t="inlineStr"/>
      <c r="Y148" s="70" t="inlineStr"/>
      <c r="AC148" s="71" t="n"/>
      <c r="AZ148" s="148" t="inlineStr">
        <is>
          <t>КИ</t>
        </is>
      </c>
    </row>
    <row r="149">
      <c r="A149" s="319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673" t="n"/>
      <c r="M149" s="674" t="inlineStr">
        <is>
          <t>Итого</t>
        </is>
      </c>
      <c r="N149" s="644" t="n"/>
      <c r="O149" s="644" t="n"/>
      <c r="P149" s="644" t="n"/>
      <c r="Q149" s="644" t="n"/>
      <c r="R149" s="644" t="n"/>
      <c r="S149" s="645" t="n"/>
      <c r="T149" s="43" t="inlineStr">
        <is>
          <t>кор</t>
        </is>
      </c>
      <c r="U149" s="675">
        <f>IFERROR(U147/H147,"0")+IFERROR(U148/H148,"0")</f>
        <v/>
      </c>
      <c r="V149" s="675">
        <f>IFERROR(V147/H147,"0")+IFERROR(V148/H148,"0")</f>
        <v/>
      </c>
      <c r="W149" s="675">
        <f>IFERROR(IF(W147="",0,W147),"0")+IFERROR(IF(W148="",0,W148),"0")</f>
        <v/>
      </c>
      <c r="X149" s="676" t="n"/>
      <c r="Y149" s="676" t="n"/>
    </row>
    <row r="150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673" t="n"/>
      <c r="M150" s="674" t="inlineStr">
        <is>
          <t>Итого</t>
        </is>
      </c>
      <c r="N150" s="644" t="n"/>
      <c r="O150" s="644" t="n"/>
      <c r="P150" s="644" t="n"/>
      <c r="Q150" s="644" t="n"/>
      <c r="R150" s="644" t="n"/>
      <c r="S150" s="645" t="n"/>
      <c r="T150" s="43" t="inlineStr">
        <is>
          <t>кг</t>
        </is>
      </c>
      <c r="U150" s="675">
        <f>IFERROR(SUM(U147:U148),"0")</f>
        <v/>
      </c>
      <c r="V150" s="675">
        <f>IFERROR(SUM(V147:V148),"0")</f>
        <v/>
      </c>
      <c r="W150" s="43" t="n"/>
      <c r="X150" s="676" t="n"/>
      <c r="Y150" s="676" t="n"/>
    </row>
    <row r="151" ht="14.25" customHeight="1">
      <c r="A151" s="329" t="inlineStr">
        <is>
          <t>Ветчины</t>
        </is>
      </c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329" t="n"/>
      <c r="Y151" s="329" t="n"/>
    </row>
    <row r="152" ht="16.5" customHeight="1">
      <c r="A152" s="64" t="inlineStr">
        <is>
          <t>SU003068</t>
        </is>
      </c>
      <c r="B152" s="64" t="inlineStr">
        <is>
          <t>P003611</t>
        </is>
      </c>
      <c r="C152" s="37" t="n">
        <v>4301020262</v>
      </c>
      <c r="D152" s="324" t="n">
        <v>4680115882935</v>
      </c>
      <c r="E152" s="636" t="n"/>
      <c r="F152" s="668" t="n">
        <v>1.35</v>
      </c>
      <c r="G152" s="38" t="n">
        <v>8</v>
      </c>
      <c r="H152" s="668" t="n">
        <v>10.8</v>
      </c>
      <c r="I152" s="668" t="n">
        <v>11.28</v>
      </c>
      <c r="J152" s="38" t="n">
        <v>56</v>
      </c>
      <c r="K152" s="39" t="inlineStr">
        <is>
          <t>СК3</t>
        </is>
      </c>
      <c r="L152" s="38" t="n">
        <v>50</v>
      </c>
      <c r="M152" s="752" t="inlineStr">
        <is>
          <t>Ветчина «Сочинка с сочным окороком» Весовой п/а ТМ «Стародворье»</t>
        </is>
      </c>
      <c r="N152" s="670" t="n"/>
      <c r="O152" s="670" t="n"/>
      <c r="P152" s="670" t="n"/>
      <c r="Q152" s="636" t="n"/>
      <c r="R152" s="40" t="inlineStr"/>
      <c r="S152" s="40" t="inlineStr"/>
      <c r="T152" s="41" t="inlineStr">
        <is>
          <t>кг</t>
        </is>
      </c>
      <c r="U152" s="671" t="n">
        <v>0</v>
      </c>
      <c r="V152" s="672">
        <f>IFERROR(IF(U152="",0,CEILING((U152/$H152),1)*$H152),"")</f>
        <v/>
      </c>
      <c r="W152" s="42">
        <f>IFERROR(IF(V152=0,"",ROUNDUP(V152/H152,0)*0.02175),"")</f>
        <v/>
      </c>
      <c r="X152" s="69" t="inlineStr"/>
      <c r="Y152" s="70" t="inlineStr"/>
      <c r="AC152" s="71" t="n"/>
      <c r="AZ152" s="149" t="inlineStr">
        <is>
          <t>КИ</t>
        </is>
      </c>
    </row>
    <row r="153" ht="16.5" customHeight="1">
      <c r="A153" s="64" t="inlineStr">
        <is>
          <t>SU002757</t>
        </is>
      </c>
      <c r="B153" s="64" t="inlineStr">
        <is>
          <t>P003128</t>
        </is>
      </c>
      <c r="C153" s="37" t="n">
        <v>4301020220</v>
      </c>
      <c r="D153" s="324" t="n">
        <v>4680115880764</v>
      </c>
      <c r="E153" s="636" t="n"/>
      <c r="F153" s="668" t="n">
        <v>0.35</v>
      </c>
      <c r="G153" s="38" t="n">
        <v>6</v>
      </c>
      <c r="H153" s="668" t="n">
        <v>2.1</v>
      </c>
      <c r="I153" s="668" t="n">
        <v>2.3</v>
      </c>
      <c r="J153" s="38" t="n">
        <v>156</v>
      </c>
      <c r="K153" s="39" t="inlineStr">
        <is>
          <t>СК1</t>
        </is>
      </c>
      <c r="L153" s="38" t="n">
        <v>50</v>
      </c>
      <c r="M153" s="753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N153" s="670" t="n"/>
      <c r="O153" s="670" t="n"/>
      <c r="P153" s="670" t="n"/>
      <c r="Q153" s="636" t="n"/>
      <c r="R153" s="40" t="inlineStr"/>
      <c r="S153" s="40" t="inlineStr"/>
      <c r="T153" s="41" t="inlineStr">
        <is>
          <t>кг</t>
        </is>
      </c>
      <c r="U153" s="671" t="n">
        <v>0</v>
      </c>
      <c r="V153" s="672">
        <f>IFERROR(IF(U153="",0,CEILING((U153/$H153),1)*$H153),"")</f>
        <v/>
      </c>
      <c r="W153" s="42">
        <f>IFERROR(IF(V153=0,"",ROUNDUP(V153/H153,0)*0.00753),"")</f>
        <v/>
      </c>
      <c r="X153" s="69" t="inlineStr"/>
      <c r="Y153" s="70" t="inlineStr"/>
      <c r="AC153" s="71" t="n"/>
      <c r="AZ153" s="150" t="inlineStr">
        <is>
          <t>КИ</t>
        </is>
      </c>
    </row>
    <row r="154">
      <c r="A154" s="319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673" t="n"/>
      <c r="M154" s="674" t="inlineStr">
        <is>
          <t>Итого</t>
        </is>
      </c>
      <c r="N154" s="644" t="n"/>
      <c r="O154" s="644" t="n"/>
      <c r="P154" s="644" t="n"/>
      <c r="Q154" s="644" t="n"/>
      <c r="R154" s="644" t="n"/>
      <c r="S154" s="645" t="n"/>
      <c r="T154" s="43" t="inlineStr">
        <is>
          <t>кор</t>
        </is>
      </c>
      <c r="U154" s="675">
        <f>IFERROR(U152/H152,"0")+IFERROR(U153/H153,"0")</f>
        <v/>
      </c>
      <c r="V154" s="675">
        <f>IFERROR(V152/H152,"0")+IFERROR(V153/H153,"0")</f>
        <v/>
      </c>
      <c r="W154" s="675">
        <f>IFERROR(IF(W152="",0,W152),"0")+IFERROR(IF(W153="",0,W153),"0")</f>
        <v/>
      </c>
      <c r="X154" s="676" t="n"/>
      <c r="Y154" s="676" t="n"/>
    </row>
    <row r="155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673" t="n"/>
      <c r="M155" s="674" t="inlineStr">
        <is>
          <t>Итого</t>
        </is>
      </c>
      <c r="N155" s="644" t="n"/>
      <c r="O155" s="644" t="n"/>
      <c r="P155" s="644" t="n"/>
      <c r="Q155" s="644" t="n"/>
      <c r="R155" s="644" t="n"/>
      <c r="S155" s="645" t="n"/>
      <c r="T155" s="43" t="inlineStr">
        <is>
          <t>кг</t>
        </is>
      </c>
      <c r="U155" s="675">
        <f>IFERROR(SUM(U152:U153),"0")</f>
        <v/>
      </c>
      <c r="V155" s="675">
        <f>IFERROR(SUM(V152:V153),"0")</f>
        <v/>
      </c>
      <c r="W155" s="43" t="n"/>
      <c r="X155" s="676" t="n"/>
      <c r="Y155" s="676" t="n"/>
    </row>
    <row r="156" ht="14.25" customHeight="1">
      <c r="A156" s="329" t="inlineStr">
        <is>
          <t>Копченые колбасы</t>
        </is>
      </c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329" t="n"/>
      <c r="Y156" s="329" t="n"/>
    </row>
    <row r="157" ht="27" customHeight="1">
      <c r="A157" s="64" t="inlineStr">
        <is>
          <t>SU002941</t>
        </is>
      </c>
      <c r="B157" s="64" t="inlineStr">
        <is>
          <t>P003387</t>
        </is>
      </c>
      <c r="C157" s="37" t="n">
        <v>4301031224</v>
      </c>
      <c r="D157" s="324" t="n">
        <v>4680115882683</v>
      </c>
      <c r="E157" s="636" t="n"/>
      <c r="F157" s="668" t="n">
        <v>0.9</v>
      </c>
      <c r="G157" s="38" t="n">
        <v>6</v>
      </c>
      <c r="H157" s="668" t="n">
        <v>5.4</v>
      </c>
      <c r="I157" s="668" t="n">
        <v>5.61</v>
      </c>
      <c r="J157" s="38" t="n">
        <v>120</v>
      </c>
      <c r="K157" s="39" t="inlineStr">
        <is>
          <t>СК2</t>
        </is>
      </c>
      <c r="L157" s="38" t="n">
        <v>40</v>
      </c>
      <c r="M157" s="754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N157" s="670" t="n"/>
      <c r="O157" s="670" t="n"/>
      <c r="P157" s="670" t="n"/>
      <c r="Q157" s="636" t="n"/>
      <c r="R157" s="40" t="inlineStr"/>
      <c r="S157" s="40" t="inlineStr"/>
      <c r="T157" s="41" t="inlineStr">
        <is>
          <t>кг</t>
        </is>
      </c>
      <c r="U157" s="671" t="n">
        <v>0</v>
      </c>
      <c r="V157" s="672">
        <f>IFERROR(IF(U157="",0,CEILING((U157/$H157),1)*$H157),"")</f>
        <v/>
      </c>
      <c r="W157" s="42">
        <f>IFERROR(IF(V157=0,"",ROUNDUP(V157/H157,0)*0.00937),"")</f>
        <v/>
      </c>
      <c r="X157" s="69" t="inlineStr"/>
      <c r="Y157" s="70" t="inlineStr"/>
      <c r="AC157" s="71" t="n"/>
      <c r="AZ157" s="151" t="inlineStr">
        <is>
          <t>КИ</t>
        </is>
      </c>
    </row>
    <row r="158" ht="27" customHeight="1">
      <c r="A158" s="64" t="inlineStr">
        <is>
          <t>SU002943</t>
        </is>
      </c>
      <c r="B158" s="64" t="inlineStr">
        <is>
          <t>P003401</t>
        </is>
      </c>
      <c r="C158" s="37" t="n">
        <v>4301031230</v>
      </c>
      <c r="D158" s="324" t="n">
        <v>4680115882690</v>
      </c>
      <c r="E158" s="636" t="n"/>
      <c r="F158" s="668" t="n">
        <v>0.9</v>
      </c>
      <c r="G158" s="38" t="n">
        <v>6</v>
      </c>
      <c r="H158" s="668" t="n">
        <v>5.4</v>
      </c>
      <c r="I158" s="668" t="n">
        <v>5.61</v>
      </c>
      <c r="J158" s="38" t="n">
        <v>120</v>
      </c>
      <c r="K158" s="39" t="inlineStr">
        <is>
          <t>СК2</t>
        </is>
      </c>
      <c r="L158" s="38" t="n">
        <v>40</v>
      </c>
      <c r="M158" s="755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N158" s="670" t="n"/>
      <c r="O158" s="670" t="n"/>
      <c r="P158" s="670" t="n"/>
      <c r="Q158" s="636" t="n"/>
      <c r="R158" s="40" t="inlineStr"/>
      <c r="S158" s="40" t="inlineStr"/>
      <c r="T158" s="41" t="inlineStr">
        <is>
          <t>кг</t>
        </is>
      </c>
      <c r="U158" s="671" t="n">
        <v>0</v>
      </c>
      <c r="V158" s="672">
        <f>IFERROR(IF(U158="",0,CEILING((U158/$H158),1)*$H158),"")</f>
        <v/>
      </c>
      <c r="W158" s="42">
        <f>IFERROR(IF(V158=0,"",ROUNDUP(V158/H158,0)*0.00937),"")</f>
        <v/>
      </c>
      <c r="X158" s="69" t="inlineStr"/>
      <c r="Y158" s="70" t="inlineStr"/>
      <c r="AC158" s="71" t="n"/>
      <c r="AZ158" s="152" t="inlineStr">
        <is>
          <t>КИ</t>
        </is>
      </c>
    </row>
    <row r="159" ht="27" customHeight="1">
      <c r="A159" s="64" t="inlineStr">
        <is>
          <t>SU002945</t>
        </is>
      </c>
      <c r="B159" s="64" t="inlineStr">
        <is>
          <t>P003383</t>
        </is>
      </c>
      <c r="C159" s="37" t="n">
        <v>4301031220</v>
      </c>
      <c r="D159" s="324" t="n">
        <v>4680115882669</v>
      </c>
      <c r="E159" s="636" t="n"/>
      <c r="F159" s="668" t="n">
        <v>0.9</v>
      </c>
      <c r="G159" s="38" t="n">
        <v>6</v>
      </c>
      <c r="H159" s="668" t="n">
        <v>5.4</v>
      </c>
      <c r="I159" s="668" t="n">
        <v>5.61</v>
      </c>
      <c r="J159" s="38" t="n">
        <v>120</v>
      </c>
      <c r="K159" s="39" t="inlineStr">
        <is>
          <t>СК2</t>
        </is>
      </c>
      <c r="L159" s="38" t="n">
        <v>40</v>
      </c>
      <c r="M159" s="756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N159" s="670" t="n"/>
      <c r="O159" s="670" t="n"/>
      <c r="P159" s="670" t="n"/>
      <c r="Q159" s="636" t="n"/>
      <c r="R159" s="40" t="inlineStr"/>
      <c r="S159" s="40" t="inlineStr"/>
      <c r="T159" s="41" t="inlineStr">
        <is>
          <t>кг</t>
        </is>
      </c>
      <c r="U159" s="671" t="n">
        <v>0</v>
      </c>
      <c r="V159" s="672">
        <f>IFERROR(IF(U159="",0,CEILING((U159/$H159),1)*$H159),"")</f>
        <v/>
      </c>
      <c r="W159" s="42">
        <f>IFERROR(IF(V159=0,"",ROUNDUP(V159/H159,0)*0.00937),"")</f>
        <v/>
      </c>
      <c r="X159" s="69" t="inlineStr"/>
      <c r="Y159" s="70" t="inlineStr"/>
      <c r="AC159" s="71" t="n"/>
      <c r="AZ159" s="153" t="inlineStr">
        <is>
          <t>КИ</t>
        </is>
      </c>
    </row>
    <row r="160" ht="27" customHeight="1">
      <c r="A160" s="64" t="inlineStr">
        <is>
          <t>SU002947</t>
        </is>
      </c>
      <c r="B160" s="64" t="inlineStr">
        <is>
          <t>P003384</t>
        </is>
      </c>
      <c r="C160" s="37" t="n">
        <v>4301031221</v>
      </c>
      <c r="D160" s="324" t="n">
        <v>4680115882676</v>
      </c>
      <c r="E160" s="636" t="n"/>
      <c r="F160" s="668" t="n">
        <v>0.9</v>
      </c>
      <c r="G160" s="38" t="n">
        <v>6</v>
      </c>
      <c r="H160" s="668" t="n">
        <v>5.4</v>
      </c>
      <c r="I160" s="668" t="n">
        <v>5.61</v>
      </c>
      <c r="J160" s="38" t="n">
        <v>120</v>
      </c>
      <c r="K160" s="39" t="inlineStr">
        <is>
          <t>СК2</t>
        </is>
      </c>
      <c r="L160" s="38" t="n">
        <v>40</v>
      </c>
      <c r="M160" s="757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N160" s="670" t="n"/>
      <c r="O160" s="670" t="n"/>
      <c r="P160" s="670" t="n"/>
      <c r="Q160" s="636" t="n"/>
      <c r="R160" s="40" t="inlineStr"/>
      <c r="S160" s="40" t="inlineStr"/>
      <c r="T160" s="41" t="inlineStr">
        <is>
          <t>кг</t>
        </is>
      </c>
      <c r="U160" s="671" t="n">
        <v>0</v>
      </c>
      <c r="V160" s="672">
        <f>IFERROR(IF(U160="",0,CEILING((U160/$H160),1)*$H160),"")</f>
        <v/>
      </c>
      <c r="W160" s="42">
        <f>IFERROR(IF(V160=0,"",ROUNDUP(V160/H160,0)*0.00937),"")</f>
        <v/>
      </c>
      <c r="X160" s="69" t="inlineStr"/>
      <c r="Y160" s="70" t="inlineStr"/>
      <c r="AC160" s="71" t="n"/>
      <c r="AZ160" s="154" t="inlineStr">
        <is>
          <t>КИ</t>
        </is>
      </c>
    </row>
    <row r="161">
      <c r="A161" s="319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673" t="n"/>
      <c r="M161" s="674" t="inlineStr">
        <is>
          <t>Итого</t>
        </is>
      </c>
      <c r="N161" s="644" t="n"/>
      <c r="O161" s="644" t="n"/>
      <c r="P161" s="644" t="n"/>
      <c r="Q161" s="644" t="n"/>
      <c r="R161" s="644" t="n"/>
      <c r="S161" s="645" t="n"/>
      <c r="T161" s="43" t="inlineStr">
        <is>
          <t>кор</t>
        </is>
      </c>
      <c r="U161" s="675">
        <f>IFERROR(U157/H157,"0")+IFERROR(U158/H158,"0")+IFERROR(U159/H159,"0")+IFERROR(U160/H160,"0")</f>
        <v/>
      </c>
      <c r="V161" s="675">
        <f>IFERROR(V157/H157,"0")+IFERROR(V158/H158,"0")+IFERROR(V159/H159,"0")+IFERROR(V160/H160,"0")</f>
        <v/>
      </c>
      <c r="W161" s="675">
        <f>IFERROR(IF(W157="",0,W157),"0")+IFERROR(IF(W158="",0,W158),"0")+IFERROR(IF(W159="",0,W159),"0")+IFERROR(IF(W160="",0,W160),"0")</f>
        <v/>
      </c>
      <c r="X161" s="676" t="n"/>
      <c r="Y161" s="676" t="n"/>
    </row>
    <row r="162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673" t="n"/>
      <c r="M162" s="674" t="inlineStr">
        <is>
          <t>Итого</t>
        </is>
      </c>
      <c r="N162" s="644" t="n"/>
      <c r="O162" s="644" t="n"/>
      <c r="P162" s="644" t="n"/>
      <c r="Q162" s="644" t="n"/>
      <c r="R162" s="644" t="n"/>
      <c r="S162" s="645" t="n"/>
      <c r="T162" s="43" t="inlineStr">
        <is>
          <t>кг</t>
        </is>
      </c>
      <c r="U162" s="675">
        <f>IFERROR(SUM(U157:U160),"0")</f>
        <v/>
      </c>
      <c r="V162" s="675">
        <f>IFERROR(SUM(V157:V160),"0")</f>
        <v/>
      </c>
      <c r="W162" s="43" t="n"/>
      <c r="X162" s="676" t="n"/>
      <c r="Y162" s="676" t="n"/>
    </row>
    <row r="163" ht="14.25" customHeight="1">
      <c r="A163" s="329" t="inlineStr">
        <is>
          <t>Сосиски</t>
        </is>
      </c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329" t="n"/>
      <c r="Y163" s="329" t="n"/>
    </row>
    <row r="164" ht="27" customHeight="1">
      <c r="A164" s="64" t="inlineStr">
        <is>
          <t>SU002857</t>
        </is>
      </c>
      <c r="B164" s="64" t="inlineStr">
        <is>
          <t>P003264</t>
        </is>
      </c>
      <c r="C164" s="37" t="n">
        <v>4301051409</v>
      </c>
      <c r="D164" s="324" t="n">
        <v>4680115881556</v>
      </c>
      <c r="E164" s="636" t="n"/>
      <c r="F164" s="668" t="n">
        <v>1</v>
      </c>
      <c r="G164" s="38" t="n">
        <v>4</v>
      </c>
      <c r="H164" s="668" t="n">
        <v>4</v>
      </c>
      <c r="I164" s="668" t="n">
        <v>4.408</v>
      </c>
      <c r="J164" s="38" t="n">
        <v>104</v>
      </c>
      <c r="K164" s="39" t="inlineStr">
        <is>
          <t>СК3</t>
        </is>
      </c>
      <c r="L164" s="38" t="n">
        <v>45</v>
      </c>
      <c r="M164" s="758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N164" s="670" t="n"/>
      <c r="O164" s="670" t="n"/>
      <c r="P164" s="670" t="n"/>
      <c r="Q164" s="636" t="n"/>
      <c r="R164" s="40" t="inlineStr"/>
      <c r="S164" s="40" t="inlineStr"/>
      <c r="T164" s="41" t="inlineStr">
        <is>
          <t>кг</t>
        </is>
      </c>
      <c r="U164" s="671" t="n">
        <v>0</v>
      </c>
      <c r="V164" s="672">
        <f>IFERROR(IF(U164="",0,CEILING((U164/$H164),1)*$H164),"")</f>
        <v/>
      </c>
      <c r="W164" s="42">
        <f>IFERROR(IF(V164=0,"",ROUNDUP(V164/H164,0)*0.01196),"")</f>
        <v/>
      </c>
      <c r="X164" s="69" t="inlineStr"/>
      <c r="Y164" s="70" t="inlineStr"/>
      <c r="AC164" s="71" t="n"/>
      <c r="AZ164" s="155" t="inlineStr">
        <is>
          <t>КИ</t>
        </is>
      </c>
    </row>
    <row r="165" ht="16.5" customHeight="1">
      <c r="A165" s="64" t="inlineStr">
        <is>
          <t>SU002725</t>
        </is>
      </c>
      <c r="B165" s="64" t="inlineStr">
        <is>
          <t>P003404</t>
        </is>
      </c>
      <c r="C165" s="37" t="n">
        <v>4301051470</v>
      </c>
      <c r="D165" s="324" t="n">
        <v>4680115880573</v>
      </c>
      <c r="E165" s="636" t="n"/>
      <c r="F165" s="668" t="n">
        <v>1.3</v>
      </c>
      <c r="G165" s="38" t="n">
        <v>6</v>
      </c>
      <c r="H165" s="668" t="n">
        <v>7.8</v>
      </c>
      <c r="I165" s="668" t="n">
        <v>8.364000000000001</v>
      </c>
      <c r="J165" s="38" t="n">
        <v>56</v>
      </c>
      <c r="K165" s="39" t="inlineStr">
        <is>
          <t>СК3</t>
        </is>
      </c>
      <c r="L165" s="38" t="n">
        <v>45</v>
      </c>
      <c r="M165" s="759">
        <f>HYPERLINK("https://abi.ru/products/Охлажденные/Стародворье/Сочинка/Сосиски/P003404/","Сосиски «Сочинки» Весовой п/а ТМ «Стародворье»")</f>
        <v/>
      </c>
      <c r="N165" s="670" t="n"/>
      <c r="O165" s="670" t="n"/>
      <c r="P165" s="670" t="n"/>
      <c r="Q165" s="636" t="n"/>
      <c r="R165" s="40" t="inlineStr"/>
      <c r="S165" s="40" t="inlineStr"/>
      <c r="T165" s="41" t="inlineStr">
        <is>
          <t>кг</t>
        </is>
      </c>
      <c r="U165" s="671" t="n">
        <v>0</v>
      </c>
      <c r="V165" s="672">
        <f>IFERROR(IF(U165="",0,CEILING((U165/$H165),1)*$H165),"")</f>
        <v/>
      </c>
      <c r="W165" s="42">
        <f>IFERROR(IF(V165=0,"",ROUNDUP(V165/H165,0)*0.02175),"")</f>
        <v/>
      </c>
      <c r="X165" s="69" t="inlineStr"/>
      <c r="Y165" s="70" t="inlineStr"/>
      <c r="AC165" s="71" t="n"/>
      <c r="AZ165" s="156" t="inlineStr">
        <is>
          <t>КИ</t>
        </is>
      </c>
    </row>
    <row r="166" ht="27" customHeight="1">
      <c r="A166" s="64" t="inlineStr">
        <is>
          <t>SU002843</t>
        </is>
      </c>
      <c r="B166" s="64" t="inlineStr">
        <is>
          <t>P003263</t>
        </is>
      </c>
      <c r="C166" s="37" t="n">
        <v>4301051408</v>
      </c>
      <c r="D166" s="324" t="n">
        <v>4680115881594</v>
      </c>
      <c r="E166" s="636" t="n"/>
      <c r="F166" s="668" t="n">
        <v>1.35</v>
      </c>
      <c r="G166" s="38" t="n">
        <v>6</v>
      </c>
      <c r="H166" s="668" t="n">
        <v>8.1</v>
      </c>
      <c r="I166" s="668" t="n">
        <v>8.664</v>
      </c>
      <c r="J166" s="38" t="n">
        <v>56</v>
      </c>
      <c r="K166" s="39" t="inlineStr">
        <is>
          <t>СК3</t>
        </is>
      </c>
      <c r="L166" s="38" t="n">
        <v>40</v>
      </c>
      <c r="M166" s="760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N166" s="670" t="n"/>
      <c r="O166" s="670" t="n"/>
      <c r="P166" s="670" t="n"/>
      <c r="Q166" s="636" t="n"/>
      <c r="R166" s="40" t="inlineStr"/>
      <c r="S166" s="40" t="inlineStr"/>
      <c r="T166" s="41" t="inlineStr">
        <is>
          <t>кг</t>
        </is>
      </c>
      <c r="U166" s="671" t="n">
        <v>0</v>
      </c>
      <c r="V166" s="672">
        <f>IFERROR(IF(U166="",0,CEILING((U166/$H166),1)*$H166),"")</f>
        <v/>
      </c>
      <c r="W166" s="42">
        <f>IFERROR(IF(V166=0,"",ROUNDUP(V166/H166,0)*0.02175),"")</f>
        <v/>
      </c>
      <c r="X166" s="69" t="inlineStr"/>
      <c r="Y166" s="70" t="inlineStr"/>
      <c r="AC166" s="71" t="n"/>
      <c r="AZ166" s="157" t="inlineStr">
        <is>
          <t>КИ</t>
        </is>
      </c>
    </row>
    <row r="167" ht="27" customHeight="1">
      <c r="A167" s="64" t="inlineStr">
        <is>
          <t>SU002858</t>
        </is>
      </c>
      <c r="B167" s="64" t="inlineStr">
        <is>
          <t>P003322</t>
        </is>
      </c>
      <c r="C167" s="37" t="n">
        <v>4301051433</v>
      </c>
      <c r="D167" s="324" t="n">
        <v>4680115881587</v>
      </c>
      <c r="E167" s="636" t="n"/>
      <c r="F167" s="668" t="n">
        <v>1</v>
      </c>
      <c r="G167" s="38" t="n">
        <v>4</v>
      </c>
      <c r="H167" s="668" t="n">
        <v>4</v>
      </c>
      <c r="I167" s="668" t="n">
        <v>4.408</v>
      </c>
      <c r="J167" s="38" t="n">
        <v>104</v>
      </c>
      <c r="K167" s="39" t="inlineStr">
        <is>
          <t>СК2</t>
        </is>
      </c>
      <c r="L167" s="38" t="n">
        <v>35</v>
      </c>
      <c r="M167" s="761">
        <f>HYPERLINK("https://abi.ru/products/Охлажденные/Стародворье/Сочинка/Сосиски/P003322/","Сосиски Сочинки по-баварски с сыром Бордо Весовой п/а Стародворье")</f>
        <v/>
      </c>
      <c r="N167" s="670" t="n"/>
      <c r="O167" s="670" t="n"/>
      <c r="P167" s="670" t="n"/>
      <c r="Q167" s="636" t="n"/>
      <c r="R167" s="40" t="inlineStr"/>
      <c r="S167" s="40" t="inlineStr"/>
      <c r="T167" s="41" t="inlineStr">
        <is>
          <t>кг</t>
        </is>
      </c>
      <c r="U167" s="671" t="n">
        <v>0</v>
      </c>
      <c r="V167" s="672">
        <f>IFERROR(IF(U167="",0,CEILING((U167/$H167),1)*$H167),"")</f>
        <v/>
      </c>
      <c r="W167" s="42">
        <f>IFERROR(IF(V167=0,"",ROUNDUP(V167/H167,0)*0.01196),"")</f>
        <v/>
      </c>
      <c r="X167" s="69" t="inlineStr"/>
      <c r="Y167" s="70" t="inlineStr"/>
      <c r="AC167" s="71" t="n"/>
      <c r="AZ167" s="158" t="inlineStr">
        <is>
          <t>КИ</t>
        </is>
      </c>
    </row>
    <row r="168" ht="16.5" customHeight="1">
      <c r="A168" s="64" t="inlineStr">
        <is>
          <t>SU002795</t>
        </is>
      </c>
      <c r="B168" s="64" t="inlineStr">
        <is>
          <t>P003203</t>
        </is>
      </c>
      <c r="C168" s="37" t="n">
        <v>4301051380</v>
      </c>
      <c r="D168" s="324" t="n">
        <v>4680115880962</v>
      </c>
      <c r="E168" s="636" t="n"/>
      <c r="F168" s="668" t="n">
        <v>1.3</v>
      </c>
      <c r="G168" s="38" t="n">
        <v>6</v>
      </c>
      <c r="H168" s="668" t="n">
        <v>7.8</v>
      </c>
      <c r="I168" s="668" t="n">
        <v>8.364000000000001</v>
      </c>
      <c r="J168" s="38" t="n">
        <v>56</v>
      </c>
      <c r="K168" s="39" t="inlineStr">
        <is>
          <t>СК2</t>
        </is>
      </c>
      <c r="L168" s="38" t="n">
        <v>40</v>
      </c>
      <c r="M168" s="762">
        <f>HYPERLINK("https://abi.ru/products/Охлажденные/Стародворье/Сочинка/Сосиски/P003203/","Сосиски Сочинки с сыром Бордо Весовой п/а Стародворье")</f>
        <v/>
      </c>
      <c r="N168" s="670" t="n"/>
      <c r="O168" s="670" t="n"/>
      <c r="P168" s="670" t="n"/>
      <c r="Q168" s="636" t="n"/>
      <c r="R168" s="40" t="inlineStr"/>
      <c r="S168" s="40" t="inlineStr"/>
      <c r="T168" s="41" t="inlineStr">
        <is>
          <t>кг</t>
        </is>
      </c>
      <c r="U168" s="671" t="n">
        <v>0</v>
      </c>
      <c r="V168" s="672">
        <f>IFERROR(IF(U168="",0,CEILING((U168/$H168),1)*$H168),"")</f>
        <v/>
      </c>
      <c r="W168" s="42">
        <f>IFERROR(IF(V168=0,"",ROUNDUP(V168/H168,0)*0.02175),"")</f>
        <v/>
      </c>
      <c r="X168" s="69" t="inlineStr"/>
      <c r="Y168" s="70" t="inlineStr"/>
      <c r="AC168" s="71" t="n"/>
      <c r="AZ168" s="159" t="inlineStr">
        <is>
          <t>КИ</t>
        </is>
      </c>
    </row>
    <row r="169" ht="27" customHeight="1">
      <c r="A169" s="64" t="inlineStr">
        <is>
          <t>SU002845</t>
        </is>
      </c>
      <c r="B169" s="64" t="inlineStr">
        <is>
          <t>P003266</t>
        </is>
      </c>
      <c r="C169" s="37" t="n">
        <v>4301051411</v>
      </c>
      <c r="D169" s="324" t="n">
        <v>4680115881617</v>
      </c>
      <c r="E169" s="636" t="n"/>
      <c r="F169" s="668" t="n">
        <v>1.35</v>
      </c>
      <c r="G169" s="38" t="n">
        <v>6</v>
      </c>
      <c r="H169" s="668" t="n">
        <v>8.1</v>
      </c>
      <c r="I169" s="668" t="n">
        <v>8.646000000000001</v>
      </c>
      <c r="J169" s="38" t="n">
        <v>56</v>
      </c>
      <c r="K169" s="39" t="inlineStr">
        <is>
          <t>СК3</t>
        </is>
      </c>
      <c r="L169" s="38" t="n">
        <v>40</v>
      </c>
      <c r="M169" s="763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N169" s="670" t="n"/>
      <c r="O169" s="670" t="n"/>
      <c r="P169" s="670" t="n"/>
      <c r="Q169" s="636" t="n"/>
      <c r="R169" s="40" t="inlineStr"/>
      <c r="S169" s="40" t="inlineStr"/>
      <c r="T169" s="41" t="inlineStr">
        <is>
          <t>кг</t>
        </is>
      </c>
      <c r="U169" s="671" t="n">
        <v>0</v>
      </c>
      <c r="V169" s="672">
        <f>IFERROR(IF(U169="",0,CEILING((U169/$H169),1)*$H169),"")</f>
        <v/>
      </c>
      <c r="W169" s="42">
        <f>IFERROR(IF(V169=0,"",ROUNDUP(V169/H169,0)*0.02175),"")</f>
        <v/>
      </c>
      <c r="X169" s="69" t="inlineStr"/>
      <c r="Y169" s="70" t="inlineStr"/>
      <c r="AC169" s="71" t="n"/>
      <c r="AZ169" s="160" t="inlineStr">
        <is>
          <t>КИ</t>
        </is>
      </c>
    </row>
    <row r="170" ht="27" customHeight="1">
      <c r="A170" s="64" t="inlineStr">
        <is>
          <t>SU002801</t>
        </is>
      </c>
      <c r="B170" s="64" t="inlineStr">
        <is>
          <t>P003200</t>
        </is>
      </c>
      <c r="C170" s="37" t="n">
        <v>4301051377</v>
      </c>
      <c r="D170" s="324" t="n">
        <v>4680115881228</v>
      </c>
      <c r="E170" s="636" t="n"/>
      <c r="F170" s="668" t="n">
        <v>0.4</v>
      </c>
      <c r="G170" s="38" t="n">
        <v>6</v>
      </c>
      <c r="H170" s="668" t="n">
        <v>2.4</v>
      </c>
      <c r="I170" s="668" t="n">
        <v>2.6</v>
      </c>
      <c r="J170" s="38" t="n">
        <v>156</v>
      </c>
      <c r="K170" s="39" t="inlineStr">
        <is>
          <t>СК2</t>
        </is>
      </c>
      <c r="L170" s="38" t="n">
        <v>35</v>
      </c>
      <c r="M170" s="764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/>
      </c>
      <c r="N170" s="670" t="n"/>
      <c r="O170" s="670" t="n"/>
      <c r="P170" s="670" t="n"/>
      <c r="Q170" s="636" t="n"/>
      <c r="R170" s="40" t="inlineStr"/>
      <c r="S170" s="40" t="inlineStr"/>
      <c r="T170" s="41" t="inlineStr">
        <is>
          <t>кг</t>
        </is>
      </c>
      <c r="U170" s="671" t="n">
        <v>0</v>
      </c>
      <c r="V170" s="672">
        <f>IFERROR(IF(U170="",0,CEILING((U170/$H170),1)*$H170),"")</f>
        <v/>
      </c>
      <c r="W170" s="42">
        <f>IFERROR(IF(V170=0,"",ROUNDUP(V170/H170,0)*0.00753),"")</f>
        <v/>
      </c>
      <c r="X170" s="69" t="inlineStr"/>
      <c r="Y170" s="70" t="inlineStr"/>
      <c r="AC170" s="71" t="n"/>
      <c r="AZ170" s="161" t="inlineStr">
        <is>
          <t>КИ</t>
        </is>
      </c>
    </row>
    <row r="171" ht="27" customHeight="1">
      <c r="A171" s="64" t="inlineStr">
        <is>
          <t>SU002802</t>
        </is>
      </c>
      <c r="B171" s="64" t="inlineStr">
        <is>
          <t>P003321</t>
        </is>
      </c>
      <c r="C171" s="37" t="n">
        <v>4301051432</v>
      </c>
      <c r="D171" s="324" t="n">
        <v>4680115881037</v>
      </c>
      <c r="E171" s="636" t="n"/>
      <c r="F171" s="668" t="n">
        <v>0.84</v>
      </c>
      <c r="G171" s="38" t="n">
        <v>4</v>
      </c>
      <c r="H171" s="668" t="n">
        <v>3.36</v>
      </c>
      <c r="I171" s="668" t="n">
        <v>3.618</v>
      </c>
      <c r="J171" s="38" t="n">
        <v>120</v>
      </c>
      <c r="K171" s="39" t="inlineStr">
        <is>
          <t>СК2</t>
        </is>
      </c>
      <c r="L171" s="38" t="n">
        <v>35</v>
      </c>
      <c r="M171" s="765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/>
      </c>
      <c r="N171" s="670" t="n"/>
      <c r="O171" s="670" t="n"/>
      <c r="P171" s="670" t="n"/>
      <c r="Q171" s="636" t="n"/>
      <c r="R171" s="40" t="inlineStr"/>
      <c r="S171" s="40" t="inlineStr"/>
      <c r="T171" s="41" t="inlineStr">
        <is>
          <t>кг</t>
        </is>
      </c>
      <c r="U171" s="671" t="n">
        <v>0</v>
      </c>
      <c r="V171" s="672">
        <f>IFERROR(IF(U171="",0,CEILING((U171/$H171),1)*$H171),"")</f>
        <v/>
      </c>
      <c r="W171" s="42">
        <f>IFERROR(IF(V171=0,"",ROUNDUP(V171/H171,0)*0.00937),"")</f>
        <v/>
      </c>
      <c r="X171" s="69" t="inlineStr"/>
      <c r="Y171" s="70" t="inlineStr"/>
      <c r="AC171" s="71" t="n"/>
      <c r="AZ171" s="162" t="inlineStr">
        <is>
          <t>КИ</t>
        </is>
      </c>
    </row>
    <row r="172" ht="27" customHeight="1">
      <c r="A172" s="64" t="inlineStr">
        <is>
          <t>SU002799</t>
        </is>
      </c>
      <c r="B172" s="64" t="inlineStr">
        <is>
          <t>P003217</t>
        </is>
      </c>
      <c r="C172" s="37" t="n">
        <v>4301051384</v>
      </c>
      <c r="D172" s="324" t="n">
        <v>4680115881211</v>
      </c>
      <c r="E172" s="636" t="n"/>
      <c r="F172" s="668" t="n">
        <v>0.4</v>
      </c>
      <c r="G172" s="38" t="n">
        <v>6</v>
      </c>
      <c r="H172" s="668" t="n">
        <v>2.4</v>
      </c>
      <c r="I172" s="668" t="n">
        <v>2.6</v>
      </c>
      <c r="J172" s="38" t="n">
        <v>156</v>
      </c>
      <c r="K172" s="39" t="inlineStr">
        <is>
          <t>СК2</t>
        </is>
      </c>
      <c r="L172" s="38" t="n">
        <v>45</v>
      </c>
      <c r="M172" s="766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N172" s="670" t="n"/>
      <c r="O172" s="670" t="n"/>
      <c r="P172" s="670" t="n"/>
      <c r="Q172" s="636" t="n"/>
      <c r="R172" s="40" t="inlineStr"/>
      <c r="S172" s="40" t="inlineStr"/>
      <c r="T172" s="41" t="inlineStr">
        <is>
          <t>кг</t>
        </is>
      </c>
      <c r="U172" s="671" t="n">
        <v>0</v>
      </c>
      <c r="V172" s="672">
        <f>IFERROR(IF(U172="",0,CEILING((U172/$H172),1)*$H172),"")</f>
        <v/>
      </c>
      <c r="W172" s="42">
        <f>IFERROR(IF(V172=0,"",ROUNDUP(V172/H172,0)*0.00753),"")</f>
        <v/>
      </c>
      <c r="X172" s="69" t="inlineStr"/>
      <c r="Y172" s="70" t="inlineStr"/>
      <c r="AC172" s="71" t="n"/>
      <c r="AZ172" s="163" t="inlineStr">
        <is>
          <t>КИ</t>
        </is>
      </c>
    </row>
    <row r="173" ht="27" customHeight="1">
      <c r="A173" s="64" t="inlineStr">
        <is>
          <t>SU002800</t>
        </is>
      </c>
      <c r="B173" s="64" t="inlineStr">
        <is>
          <t>P003201</t>
        </is>
      </c>
      <c r="C173" s="37" t="n">
        <v>4301051378</v>
      </c>
      <c r="D173" s="324" t="n">
        <v>4680115881020</v>
      </c>
      <c r="E173" s="636" t="n"/>
      <c r="F173" s="668" t="n">
        <v>0.84</v>
      </c>
      <c r="G173" s="38" t="n">
        <v>4</v>
      </c>
      <c r="H173" s="668" t="n">
        <v>3.36</v>
      </c>
      <c r="I173" s="668" t="n">
        <v>3.57</v>
      </c>
      <c r="J173" s="38" t="n">
        <v>120</v>
      </c>
      <c r="K173" s="39" t="inlineStr">
        <is>
          <t>СК2</t>
        </is>
      </c>
      <c r="L173" s="38" t="n">
        <v>45</v>
      </c>
      <c r="M173" s="767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N173" s="670" t="n"/>
      <c r="O173" s="670" t="n"/>
      <c r="P173" s="670" t="n"/>
      <c r="Q173" s="636" t="n"/>
      <c r="R173" s="40" t="inlineStr"/>
      <c r="S173" s="40" t="inlineStr"/>
      <c r="T173" s="41" t="inlineStr">
        <is>
          <t>кг</t>
        </is>
      </c>
      <c r="U173" s="671" t="n">
        <v>0</v>
      </c>
      <c r="V173" s="672">
        <f>IFERROR(IF(U173="",0,CEILING((U173/$H173),1)*$H173),"")</f>
        <v/>
      </c>
      <c r="W173" s="42">
        <f>IFERROR(IF(V173=0,"",ROUNDUP(V173/H173,0)*0.00937),"")</f>
        <v/>
      </c>
      <c r="X173" s="69" t="inlineStr"/>
      <c r="Y173" s="70" t="inlineStr"/>
      <c r="AC173" s="71" t="n"/>
      <c r="AZ173" s="164" t="inlineStr">
        <is>
          <t>КИ</t>
        </is>
      </c>
    </row>
    <row r="174" ht="27" customHeight="1">
      <c r="A174" s="64" t="inlineStr">
        <is>
          <t>SU002842</t>
        </is>
      </c>
      <c r="B174" s="64" t="inlineStr">
        <is>
          <t>P003262</t>
        </is>
      </c>
      <c r="C174" s="37" t="n">
        <v>4301051407</v>
      </c>
      <c r="D174" s="324" t="n">
        <v>4680115882195</v>
      </c>
      <c r="E174" s="636" t="n"/>
      <c r="F174" s="668" t="n">
        <v>0.4</v>
      </c>
      <c r="G174" s="38" t="n">
        <v>6</v>
      </c>
      <c r="H174" s="668" t="n">
        <v>2.4</v>
      </c>
      <c r="I174" s="668" t="n">
        <v>2.69</v>
      </c>
      <c r="J174" s="38" t="n">
        <v>156</v>
      </c>
      <c r="K174" s="39" t="inlineStr">
        <is>
          <t>СК3</t>
        </is>
      </c>
      <c r="L174" s="38" t="n">
        <v>40</v>
      </c>
      <c r="M174" s="768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N174" s="670" t="n"/>
      <c r="O174" s="670" t="n"/>
      <c r="P174" s="670" t="n"/>
      <c r="Q174" s="636" t="n"/>
      <c r="R174" s="40" t="inlineStr"/>
      <c r="S174" s="40" t="inlineStr"/>
      <c r="T174" s="41" t="inlineStr">
        <is>
          <t>кг</t>
        </is>
      </c>
      <c r="U174" s="671" t="n">
        <v>0</v>
      </c>
      <c r="V174" s="672">
        <f>IFERROR(IF(U174="",0,CEILING((U174/$H174),1)*$H174),"")</f>
        <v/>
      </c>
      <c r="W174" s="42">
        <f>IFERROR(IF(V174=0,"",ROUNDUP(V174/H174,0)*0.00753),"")</f>
        <v/>
      </c>
      <c r="X174" s="69" t="inlineStr"/>
      <c r="Y174" s="70" t="inlineStr"/>
      <c r="AC174" s="71" t="n"/>
      <c r="AZ174" s="165" t="inlineStr">
        <is>
          <t>КИ</t>
        </is>
      </c>
    </row>
    <row r="175" ht="27" customHeight="1">
      <c r="A175" s="64" t="inlineStr">
        <is>
          <t>SU002992</t>
        </is>
      </c>
      <c r="B175" s="64" t="inlineStr">
        <is>
          <t>P003443</t>
        </is>
      </c>
      <c r="C175" s="37" t="n">
        <v>4301051479</v>
      </c>
      <c r="D175" s="324" t="n">
        <v>4680115882607</v>
      </c>
      <c r="E175" s="636" t="n"/>
      <c r="F175" s="668" t="n">
        <v>0.3</v>
      </c>
      <c r="G175" s="38" t="n">
        <v>6</v>
      </c>
      <c r="H175" s="668" t="n">
        <v>1.8</v>
      </c>
      <c r="I175" s="668" t="n">
        <v>2.072</v>
      </c>
      <c r="J175" s="38" t="n">
        <v>156</v>
      </c>
      <c r="K175" s="39" t="inlineStr">
        <is>
          <t>СК3</t>
        </is>
      </c>
      <c r="L175" s="38" t="n">
        <v>45</v>
      </c>
      <c r="M175" s="769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N175" s="670" t="n"/>
      <c r="O175" s="670" t="n"/>
      <c r="P175" s="670" t="n"/>
      <c r="Q175" s="636" t="n"/>
      <c r="R175" s="40" t="inlineStr"/>
      <c r="S175" s="40" t="inlineStr"/>
      <c r="T175" s="41" t="inlineStr">
        <is>
          <t>кг</t>
        </is>
      </c>
      <c r="U175" s="671" t="n">
        <v>0</v>
      </c>
      <c r="V175" s="672">
        <f>IFERROR(IF(U175="",0,CEILING((U175/$H175),1)*$H175),"")</f>
        <v/>
      </c>
      <c r="W175" s="42">
        <f>IFERROR(IF(V175=0,"",ROUNDUP(V175/H175,0)*0.00753),"")</f>
        <v/>
      </c>
      <c r="X175" s="69" t="inlineStr"/>
      <c r="Y175" s="70" t="inlineStr"/>
      <c r="AC175" s="71" t="n"/>
      <c r="AZ175" s="166" t="inlineStr">
        <is>
          <t>КИ</t>
        </is>
      </c>
    </row>
    <row r="176" ht="27" customHeight="1">
      <c r="A176" s="64" t="inlineStr">
        <is>
          <t>SU002618</t>
        </is>
      </c>
      <c r="B176" s="64" t="inlineStr">
        <is>
          <t>P003398</t>
        </is>
      </c>
      <c r="C176" s="37" t="n">
        <v>4301051468</v>
      </c>
      <c r="D176" s="324" t="n">
        <v>4680115880092</v>
      </c>
      <c r="E176" s="636" t="n"/>
      <c r="F176" s="668" t="n">
        <v>0.4</v>
      </c>
      <c r="G176" s="38" t="n">
        <v>6</v>
      </c>
      <c r="H176" s="668" t="n">
        <v>2.4</v>
      </c>
      <c r="I176" s="668" t="n">
        <v>2.672</v>
      </c>
      <c r="J176" s="38" t="n">
        <v>156</v>
      </c>
      <c r="K176" s="39" t="inlineStr">
        <is>
          <t>СК3</t>
        </is>
      </c>
      <c r="L176" s="38" t="n">
        <v>45</v>
      </c>
      <c r="M176" s="770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N176" s="670" t="n"/>
      <c r="O176" s="670" t="n"/>
      <c r="P176" s="670" t="n"/>
      <c r="Q176" s="636" t="n"/>
      <c r="R176" s="40" t="inlineStr"/>
      <c r="S176" s="40" t="inlineStr"/>
      <c r="T176" s="41" t="inlineStr">
        <is>
          <t>кг</t>
        </is>
      </c>
      <c r="U176" s="671" t="n">
        <v>0</v>
      </c>
      <c r="V176" s="672">
        <f>IFERROR(IF(U176="",0,CEILING((U176/$H176),1)*$H176),"")</f>
        <v/>
      </c>
      <c r="W176" s="42">
        <f>IFERROR(IF(V176=0,"",ROUNDUP(V176/H176,0)*0.00753),"")</f>
        <v/>
      </c>
      <c r="X176" s="69" t="inlineStr"/>
      <c r="Y176" s="70" t="inlineStr"/>
      <c r="AC176" s="71" t="n"/>
      <c r="AZ176" s="167" t="inlineStr">
        <is>
          <t>КИ</t>
        </is>
      </c>
    </row>
    <row r="177" ht="27" customHeight="1">
      <c r="A177" s="64" t="inlineStr">
        <is>
          <t>SU002621</t>
        </is>
      </c>
      <c r="B177" s="64" t="inlineStr">
        <is>
          <t>P003399</t>
        </is>
      </c>
      <c r="C177" s="37" t="n">
        <v>4301051469</v>
      </c>
      <c r="D177" s="324" t="n">
        <v>4680115880221</v>
      </c>
      <c r="E177" s="636" t="n"/>
      <c r="F177" s="668" t="n">
        <v>0.4</v>
      </c>
      <c r="G177" s="38" t="n">
        <v>6</v>
      </c>
      <c r="H177" s="668" t="n">
        <v>2.4</v>
      </c>
      <c r="I177" s="668" t="n">
        <v>2.672</v>
      </c>
      <c r="J177" s="38" t="n">
        <v>156</v>
      </c>
      <c r="K177" s="39" t="inlineStr">
        <is>
          <t>СК3</t>
        </is>
      </c>
      <c r="L177" s="38" t="n">
        <v>45</v>
      </c>
      <c r="M177" s="771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N177" s="670" t="n"/>
      <c r="O177" s="670" t="n"/>
      <c r="P177" s="670" t="n"/>
      <c r="Q177" s="636" t="n"/>
      <c r="R177" s="40" t="inlineStr"/>
      <c r="S177" s="40" t="inlineStr"/>
      <c r="T177" s="41" t="inlineStr">
        <is>
          <t>кг</t>
        </is>
      </c>
      <c r="U177" s="671" t="n">
        <v>0</v>
      </c>
      <c r="V177" s="672">
        <f>IFERROR(IF(U177="",0,CEILING((U177/$H177),1)*$H177),"")</f>
        <v/>
      </c>
      <c r="W177" s="42">
        <f>IFERROR(IF(V177=0,"",ROUNDUP(V177/H177,0)*0.00753),"")</f>
        <v/>
      </c>
      <c r="X177" s="69" t="inlineStr"/>
      <c r="Y177" s="70" t="inlineStr"/>
      <c r="AC177" s="71" t="n"/>
      <c r="AZ177" s="168" t="inlineStr">
        <is>
          <t>КИ</t>
        </is>
      </c>
    </row>
    <row r="178" ht="16.5" customHeight="1">
      <c r="A178" s="64" t="inlineStr">
        <is>
          <t>SU003073</t>
        </is>
      </c>
      <c r="B178" s="64" t="inlineStr">
        <is>
          <t>P003613</t>
        </is>
      </c>
      <c r="C178" s="37" t="n">
        <v>4301051523</v>
      </c>
      <c r="D178" s="324" t="n">
        <v>4680115882942</v>
      </c>
      <c r="E178" s="636" t="n"/>
      <c r="F178" s="668" t="n">
        <v>0.3</v>
      </c>
      <c r="G178" s="38" t="n">
        <v>6</v>
      </c>
      <c r="H178" s="668" t="n">
        <v>1.8</v>
      </c>
      <c r="I178" s="668" t="n">
        <v>2.072</v>
      </c>
      <c r="J178" s="38" t="n">
        <v>156</v>
      </c>
      <c r="K178" s="39" t="inlineStr">
        <is>
          <t>СК2</t>
        </is>
      </c>
      <c r="L178" s="38" t="n">
        <v>40</v>
      </c>
      <c r="M178" s="772">
        <f>HYPERLINK("https://abi.ru/products/Охлажденные/Стародворье/Сочинка/Сосиски/P003613/","Сосиски «Сочинки с сыром» ф/в 0,3 кг п/а ТМ «Стародворье»")</f>
        <v/>
      </c>
      <c r="N178" s="670" t="n"/>
      <c r="O178" s="670" t="n"/>
      <c r="P178" s="670" t="n"/>
      <c r="Q178" s="636" t="n"/>
      <c r="R178" s="40" t="inlineStr"/>
      <c r="S178" s="40" t="inlineStr"/>
      <c r="T178" s="41" t="inlineStr">
        <is>
          <t>кг</t>
        </is>
      </c>
      <c r="U178" s="671" t="n">
        <v>0</v>
      </c>
      <c r="V178" s="672">
        <f>IFERROR(IF(U178="",0,CEILING((U178/$H178),1)*$H178),"")</f>
        <v/>
      </c>
      <c r="W178" s="42">
        <f>IFERROR(IF(V178=0,"",ROUNDUP(V178/H178,0)*0.00753),"")</f>
        <v/>
      </c>
      <c r="X178" s="69" t="inlineStr"/>
      <c r="Y178" s="70" t="inlineStr"/>
      <c r="AC178" s="71" t="n"/>
      <c r="AZ178" s="169" t="inlineStr">
        <is>
          <t>КИ</t>
        </is>
      </c>
    </row>
    <row r="179" ht="16.5" customHeight="1">
      <c r="A179" s="64" t="inlineStr">
        <is>
          <t>SU002686</t>
        </is>
      </c>
      <c r="B179" s="64" t="inlineStr">
        <is>
          <t>P003071</t>
        </is>
      </c>
      <c r="C179" s="37" t="n">
        <v>4301051326</v>
      </c>
      <c r="D179" s="324" t="n">
        <v>4680115880504</v>
      </c>
      <c r="E179" s="636" t="n"/>
      <c r="F179" s="668" t="n">
        <v>0.4</v>
      </c>
      <c r="G179" s="38" t="n">
        <v>6</v>
      </c>
      <c r="H179" s="668" t="n">
        <v>2.4</v>
      </c>
      <c r="I179" s="668" t="n">
        <v>2.672</v>
      </c>
      <c r="J179" s="38" t="n">
        <v>156</v>
      </c>
      <c r="K179" s="39" t="inlineStr">
        <is>
          <t>СК2</t>
        </is>
      </c>
      <c r="L179" s="38" t="n">
        <v>40</v>
      </c>
      <c r="M179" s="773">
        <f>HYPERLINK("https://abi.ru/products/Охлажденные/Стародворье/Сочинка/Сосиски/P003071/","Сосиски Сочинки с сыром Бордо ф/в 0,4 кг п/а Стародворье")</f>
        <v/>
      </c>
      <c r="N179" s="670" t="n"/>
      <c r="O179" s="670" t="n"/>
      <c r="P179" s="670" t="n"/>
      <c r="Q179" s="636" t="n"/>
      <c r="R179" s="40" t="inlineStr"/>
      <c r="S179" s="40" t="inlineStr"/>
      <c r="T179" s="41" t="inlineStr">
        <is>
          <t>кг</t>
        </is>
      </c>
      <c r="U179" s="671" t="n">
        <v>0</v>
      </c>
      <c r="V179" s="672">
        <f>IFERROR(IF(U179="",0,CEILING((U179/$H179),1)*$H179),"")</f>
        <v/>
      </c>
      <c r="W179" s="42">
        <f>IFERROR(IF(V179=0,"",ROUNDUP(V179/H179,0)*0.00753),"")</f>
        <v/>
      </c>
      <c r="X179" s="69" t="inlineStr"/>
      <c r="Y179" s="70" t="inlineStr"/>
      <c r="AC179" s="71" t="n"/>
      <c r="AZ179" s="170" t="inlineStr">
        <is>
          <t>КИ</t>
        </is>
      </c>
    </row>
    <row r="180" ht="27" customHeight="1">
      <c r="A180" s="64" t="inlineStr">
        <is>
          <t>SU002844</t>
        </is>
      </c>
      <c r="B180" s="64" t="inlineStr">
        <is>
          <t>P003265</t>
        </is>
      </c>
      <c r="C180" s="37" t="n">
        <v>4301051410</v>
      </c>
      <c r="D180" s="324" t="n">
        <v>4680115882164</v>
      </c>
      <c r="E180" s="636" t="n"/>
      <c r="F180" s="668" t="n">
        <v>0.4</v>
      </c>
      <c r="G180" s="38" t="n">
        <v>6</v>
      </c>
      <c r="H180" s="668" t="n">
        <v>2.4</v>
      </c>
      <c r="I180" s="668" t="n">
        <v>2.678</v>
      </c>
      <c r="J180" s="38" t="n">
        <v>156</v>
      </c>
      <c r="K180" s="39" t="inlineStr">
        <is>
          <t>СК3</t>
        </is>
      </c>
      <c r="L180" s="38" t="n">
        <v>40</v>
      </c>
      <c r="M180" s="774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N180" s="670" t="n"/>
      <c r="O180" s="670" t="n"/>
      <c r="P180" s="670" t="n"/>
      <c r="Q180" s="636" t="n"/>
      <c r="R180" s="40" t="inlineStr"/>
      <c r="S180" s="40" t="inlineStr"/>
      <c r="T180" s="41" t="inlineStr">
        <is>
          <t>кг</t>
        </is>
      </c>
      <c r="U180" s="671" t="n">
        <v>0</v>
      </c>
      <c r="V180" s="672">
        <f>IFERROR(IF(U180="",0,CEILING((U180/$H180),1)*$H180),"")</f>
        <v/>
      </c>
      <c r="W180" s="42">
        <f>IFERROR(IF(V180=0,"",ROUNDUP(V180/H180,0)*0.00753),"")</f>
        <v/>
      </c>
      <c r="X180" s="69" t="inlineStr"/>
      <c r="Y180" s="70" t="inlineStr"/>
      <c r="AC180" s="71" t="n"/>
      <c r="AZ180" s="171" t="inlineStr">
        <is>
          <t>КИ</t>
        </is>
      </c>
    </row>
    <row r="181">
      <c r="A181" s="319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673" t="n"/>
      <c r="M181" s="674" t="inlineStr">
        <is>
          <t>Итого</t>
        </is>
      </c>
      <c r="N181" s="644" t="n"/>
      <c r="O181" s="644" t="n"/>
      <c r="P181" s="644" t="n"/>
      <c r="Q181" s="644" t="n"/>
      <c r="R181" s="644" t="n"/>
      <c r="S181" s="645" t="n"/>
      <c r="T181" s="43" t="inlineStr">
        <is>
          <t>кор</t>
        </is>
      </c>
      <c r="U181" s="675">
        <f>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+IFERROR(U180/H180,"0")</f>
        <v/>
      </c>
      <c r="V181" s="675">
        <f>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</f>
        <v/>
      </c>
      <c r="W181" s="675">
        <f>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</f>
        <v/>
      </c>
      <c r="X181" s="676" t="n"/>
      <c r="Y181" s="676" t="n"/>
    </row>
    <row r="182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673" t="n"/>
      <c r="M182" s="674" t="inlineStr">
        <is>
          <t>Итого</t>
        </is>
      </c>
      <c r="N182" s="644" t="n"/>
      <c r="O182" s="644" t="n"/>
      <c r="P182" s="644" t="n"/>
      <c r="Q182" s="644" t="n"/>
      <c r="R182" s="644" t="n"/>
      <c r="S182" s="645" t="n"/>
      <c r="T182" s="43" t="inlineStr">
        <is>
          <t>кг</t>
        </is>
      </c>
      <c r="U182" s="675">
        <f>IFERROR(SUM(U164:U180),"0")</f>
        <v/>
      </c>
      <c r="V182" s="675">
        <f>IFERROR(SUM(V164:V180),"0")</f>
        <v/>
      </c>
      <c r="W182" s="43" t="n"/>
      <c r="X182" s="676" t="n"/>
      <c r="Y182" s="676" t="n"/>
    </row>
    <row r="183" ht="14.25" customHeight="1">
      <c r="A183" s="329" t="inlineStr">
        <is>
          <t>Сардельки</t>
        </is>
      </c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329" t="n"/>
      <c r="Y183" s="329" t="n"/>
    </row>
    <row r="184" ht="16.5" customHeight="1">
      <c r="A184" s="64" t="inlineStr">
        <is>
          <t>SU002758</t>
        </is>
      </c>
      <c r="B184" s="64" t="inlineStr">
        <is>
          <t>P003129</t>
        </is>
      </c>
      <c r="C184" s="37" t="n">
        <v>4301060338</v>
      </c>
      <c r="D184" s="324" t="n">
        <v>4680115880801</v>
      </c>
      <c r="E184" s="636" t="n"/>
      <c r="F184" s="668" t="n">
        <v>0.4</v>
      </c>
      <c r="G184" s="38" t="n">
        <v>6</v>
      </c>
      <c r="H184" s="668" t="n">
        <v>2.4</v>
      </c>
      <c r="I184" s="668" t="n">
        <v>2.672</v>
      </c>
      <c r="J184" s="38" t="n">
        <v>156</v>
      </c>
      <c r="K184" s="39" t="inlineStr">
        <is>
          <t>СК2</t>
        </is>
      </c>
      <c r="L184" s="38" t="n">
        <v>40</v>
      </c>
      <c r="M184" s="775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N184" s="670" t="n"/>
      <c r="O184" s="670" t="n"/>
      <c r="P184" s="670" t="n"/>
      <c r="Q184" s="636" t="n"/>
      <c r="R184" s="40" t="inlineStr"/>
      <c r="S184" s="40" t="inlineStr"/>
      <c r="T184" s="41" t="inlineStr">
        <is>
          <t>кг</t>
        </is>
      </c>
      <c r="U184" s="671" t="n">
        <v>0</v>
      </c>
      <c r="V184" s="672">
        <f>IFERROR(IF(U184="",0,CEILING((U184/$H184),1)*$H184),"")</f>
        <v/>
      </c>
      <c r="W184" s="42">
        <f>IFERROR(IF(V184=0,"",ROUNDUP(V184/H184,0)*0.00753),"")</f>
        <v/>
      </c>
      <c r="X184" s="69" t="inlineStr"/>
      <c r="Y184" s="70" t="inlineStr"/>
      <c r="AC184" s="71" t="n"/>
      <c r="AZ184" s="172" t="inlineStr">
        <is>
          <t>КИ</t>
        </is>
      </c>
    </row>
    <row r="185" ht="27" customHeight="1">
      <c r="A185" s="64" t="inlineStr">
        <is>
          <t>SU002759</t>
        </is>
      </c>
      <c r="B185" s="64" t="inlineStr">
        <is>
          <t>P003130</t>
        </is>
      </c>
      <c r="C185" s="37" t="n">
        <v>4301060339</v>
      </c>
      <c r="D185" s="324" t="n">
        <v>4680115880818</v>
      </c>
      <c r="E185" s="636" t="n"/>
      <c r="F185" s="668" t="n">
        <v>0.4</v>
      </c>
      <c r="G185" s="38" t="n">
        <v>6</v>
      </c>
      <c r="H185" s="668" t="n">
        <v>2.4</v>
      </c>
      <c r="I185" s="668" t="n">
        <v>2.672</v>
      </c>
      <c r="J185" s="38" t="n">
        <v>156</v>
      </c>
      <c r="K185" s="39" t="inlineStr">
        <is>
          <t>СК2</t>
        </is>
      </c>
      <c r="L185" s="38" t="n">
        <v>40</v>
      </c>
      <c r="M185" s="776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N185" s="670" t="n"/>
      <c r="O185" s="670" t="n"/>
      <c r="P185" s="670" t="n"/>
      <c r="Q185" s="636" t="n"/>
      <c r="R185" s="40" t="inlineStr"/>
      <c r="S185" s="40" t="inlineStr"/>
      <c r="T185" s="41" t="inlineStr">
        <is>
          <t>кг</t>
        </is>
      </c>
      <c r="U185" s="671" t="n">
        <v>0</v>
      </c>
      <c r="V185" s="672">
        <f>IFERROR(IF(U185="",0,CEILING((U185/$H185),1)*$H185),"")</f>
        <v/>
      </c>
      <c r="W185" s="42">
        <f>IFERROR(IF(V185=0,"",ROUNDUP(V185/H185,0)*0.00753),"")</f>
        <v/>
      </c>
      <c r="X185" s="69" t="inlineStr"/>
      <c r="Y185" s="70" t="inlineStr"/>
      <c r="AC185" s="71" t="n"/>
      <c r="AZ185" s="173" t="inlineStr">
        <is>
          <t>КИ</t>
        </is>
      </c>
    </row>
    <row r="186">
      <c r="A186" s="319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673" t="n"/>
      <c r="M186" s="674" t="inlineStr">
        <is>
          <t>Итого</t>
        </is>
      </c>
      <c r="N186" s="644" t="n"/>
      <c r="O186" s="644" t="n"/>
      <c r="P186" s="644" t="n"/>
      <c r="Q186" s="644" t="n"/>
      <c r="R186" s="644" t="n"/>
      <c r="S186" s="645" t="n"/>
      <c r="T186" s="43" t="inlineStr">
        <is>
          <t>кор</t>
        </is>
      </c>
      <c r="U186" s="675">
        <f>IFERROR(U184/H184,"0")+IFERROR(U185/H185,"0")</f>
        <v/>
      </c>
      <c r="V186" s="675">
        <f>IFERROR(V184/H184,"0")+IFERROR(V185/H185,"0")</f>
        <v/>
      </c>
      <c r="W186" s="675">
        <f>IFERROR(IF(W184="",0,W184),"0")+IFERROR(IF(W185="",0,W185),"0")</f>
        <v/>
      </c>
      <c r="X186" s="676" t="n"/>
      <c r="Y186" s="676" t="n"/>
    </row>
    <row r="187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673" t="n"/>
      <c r="M187" s="674" t="inlineStr">
        <is>
          <t>Итого</t>
        </is>
      </c>
      <c r="N187" s="644" t="n"/>
      <c r="O187" s="644" t="n"/>
      <c r="P187" s="644" t="n"/>
      <c r="Q187" s="644" t="n"/>
      <c r="R187" s="644" t="n"/>
      <c r="S187" s="645" t="n"/>
      <c r="T187" s="43" t="inlineStr">
        <is>
          <t>кг</t>
        </is>
      </c>
      <c r="U187" s="675">
        <f>IFERROR(SUM(U184:U185),"0")</f>
        <v/>
      </c>
      <c r="V187" s="675">
        <f>IFERROR(SUM(V184:V185),"0")</f>
        <v/>
      </c>
      <c r="W187" s="43" t="n"/>
      <c r="X187" s="676" t="n"/>
      <c r="Y187" s="676" t="n"/>
    </row>
    <row r="188" ht="16.5" customHeight="1">
      <c r="A188" s="328" t="inlineStr">
        <is>
          <t>Бордо</t>
        </is>
      </c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328" t="n"/>
      <c r="Y188" s="328" t="n"/>
    </row>
    <row r="189" ht="14.25" customHeight="1">
      <c r="A189" s="329" t="inlineStr">
        <is>
          <t>Вареные колбасы</t>
        </is>
      </c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329" t="n"/>
      <c r="Y189" s="329" t="n"/>
    </row>
    <row r="190" ht="27" customHeight="1">
      <c r="A190" s="64" t="inlineStr">
        <is>
          <t>SU000057</t>
        </is>
      </c>
      <c r="B190" s="64" t="inlineStr">
        <is>
          <t>P002047</t>
        </is>
      </c>
      <c r="C190" s="37" t="n">
        <v>4301011346</v>
      </c>
      <c r="D190" s="324" t="n">
        <v>4607091387445</v>
      </c>
      <c r="E190" s="636" t="n"/>
      <c r="F190" s="668" t="n">
        <v>0.9</v>
      </c>
      <c r="G190" s="38" t="n">
        <v>10</v>
      </c>
      <c r="H190" s="668" t="n">
        <v>9</v>
      </c>
      <c r="I190" s="668" t="n">
        <v>9.630000000000001</v>
      </c>
      <c r="J190" s="38" t="n">
        <v>56</v>
      </c>
      <c r="K190" s="39" t="inlineStr">
        <is>
          <t>СК1</t>
        </is>
      </c>
      <c r="L190" s="38" t="n">
        <v>31</v>
      </c>
      <c r="M190" s="777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N190" s="670" t="n"/>
      <c r="O190" s="670" t="n"/>
      <c r="P190" s="670" t="n"/>
      <c r="Q190" s="636" t="n"/>
      <c r="R190" s="40" t="inlineStr"/>
      <c r="S190" s="40" t="inlineStr"/>
      <c r="T190" s="41" t="inlineStr">
        <is>
          <t>кг</t>
        </is>
      </c>
      <c r="U190" s="671" t="n">
        <v>0</v>
      </c>
      <c r="V190" s="672">
        <f>IFERROR(IF(U190="",0,CEILING((U190/$H190),1)*$H190),"")</f>
        <v/>
      </c>
      <c r="W190" s="42">
        <f>IFERROR(IF(V190=0,"",ROUNDUP(V190/H190,0)*0.02175),"")</f>
        <v/>
      </c>
      <c r="X190" s="69" t="inlineStr"/>
      <c r="Y190" s="70" t="inlineStr"/>
      <c r="AC190" s="71" t="n"/>
      <c r="AZ190" s="174" t="inlineStr">
        <is>
          <t>КИ</t>
        </is>
      </c>
    </row>
    <row r="191" ht="27" customHeight="1">
      <c r="A191" s="64" t="inlineStr">
        <is>
          <t>SU001777</t>
        </is>
      </c>
      <c r="B191" s="64" t="inlineStr">
        <is>
          <t>P002226</t>
        </is>
      </c>
      <c r="C191" s="37" t="n">
        <v>4301011362</v>
      </c>
      <c r="D191" s="324" t="n">
        <v>4607091386004</v>
      </c>
      <c r="E191" s="636" t="n"/>
      <c r="F191" s="668" t="n">
        <v>1.35</v>
      </c>
      <c r="G191" s="38" t="n">
        <v>8</v>
      </c>
      <c r="H191" s="668" t="n">
        <v>10.8</v>
      </c>
      <c r="I191" s="668" t="n">
        <v>11.28</v>
      </c>
      <c r="J191" s="38" t="n">
        <v>48</v>
      </c>
      <c r="K191" s="39" t="inlineStr">
        <is>
          <t>ВЗ</t>
        </is>
      </c>
      <c r="L191" s="38" t="n">
        <v>55</v>
      </c>
      <c r="M191" s="778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N191" s="670" t="n"/>
      <c r="O191" s="670" t="n"/>
      <c r="P191" s="670" t="n"/>
      <c r="Q191" s="636" t="n"/>
      <c r="R191" s="40" t="inlineStr"/>
      <c r="S191" s="40" t="inlineStr"/>
      <c r="T191" s="41" t="inlineStr">
        <is>
          <t>кг</t>
        </is>
      </c>
      <c r="U191" s="671" t="n">
        <v>0</v>
      </c>
      <c r="V191" s="672">
        <f>IFERROR(IF(U191="",0,CEILING((U191/$H191),1)*$H191),"")</f>
        <v/>
      </c>
      <c r="W191" s="42">
        <f>IFERROR(IF(V191=0,"",ROUNDUP(V191/H191,0)*0.02039),"")</f>
        <v/>
      </c>
      <c r="X191" s="69" t="inlineStr"/>
      <c r="Y191" s="70" t="inlineStr"/>
      <c r="AC191" s="71" t="n"/>
      <c r="AZ191" s="175" t="inlineStr">
        <is>
          <t>КИ</t>
        </is>
      </c>
    </row>
    <row r="192" ht="27" customHeight="1">
      <c r="A192" s="64" t="inlineStr">
        <is>
          <t>SU001777</t>
        </is>
      </c>
      <c r="B192" s="64" t="inlineStr">
        <is>
          <t>P001777</t>
        </is>
      </c>
      <c r="C192" s="37" t="n">
        <v>4301011308</v>
      </c>
      <c r="D192" s="324" t="n">
        <v>4607091386004</v>
      </c>
      <c r="E192" s="636" t="n"/>
      <c r="F192" s="668" t="n">
        <v>1.35</v>
      </c>
      <c r="G192" s="38" t="n">
        <v>8</v>
      </c>
      <c r="H192" s="668" t="n">
        <v>10.8</v>
      </c>
      <c r="I192" s="668" t="n">
        <v>11.28</v>
      </c>
      <c r="J192" s="38" t="n">
        <v>56</v>
      </c>
      <c r="K192" s="39" t="inlineStr">
        <is>
          <t>СК1</t>
        </is>
      </c>
      <c r="L192" s="38" t="n">
        <v>55</v>
      </c>
      <c r="M192" s="779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N192" s="670" t="n"/>
      <c r="O192" s="670" t="n"/>
      <c r="P192" s="670" t="n"/>
      <c r="Q192" s="636" t="n"/>
      <c r="R192" s="40" t="inlineStr"/>
      <c r="S192" s="40" t="inlineStr"/>
      <c r="T192" s="41" t="inlineStr">
        <is>
          <t>кг</t>
        </is>
      </c>
      <c r="U192" s="671" t="n">
        <v>0</v>
      </c>
      <c r="V192" s="672">
        <f>IFERROR(IF(U192="",0,CEILING((U192/$H192),1)*$H192),"")</f>
        <v/>
      </c>
      <c r="W192" s="42">
        <f>IFERROR(IF(V192=0,"",ROUNDUP(V192/H192,0)*0.02175),"")</f>
        <v/>
      </c>
      <c r="X192" s="69" t="inlineStr"/>
      <c r="Y192" s="70" t="inlineStr"/>
      <c r="AC192" s="71" t="n"/>
      <c r="AZ192" s="176" t="inlineStr">
        <is>
          <t>КИ</t>
        </is>
      </c>
    </row>
    <row r="193" ht="27" customHeight="1">
      <c r="A193" s="64" t="inlineStr">
        <is>
          <t>SU000058</t>
        </is>
      </c>
      <c r="B193" s="64" t="inlineStr">
        <is>
          <t>P002048</t>
        </is>
      </c>
      <c r="C193" s="37" t="n">
        <v>4301011347</v>
      </c>
      <c r="D193" s="324" t="n">
        <v>4607091386073</v>
      </c>
      <c r="E193" s="636" t="n"/>
      <c r="F193" s="668" t="n">
        <v>0.9</v>
      </c>
      <c r="G193" s="38" t="n">
        <v>10</v>
      </c>
      <c r="H193" s="668" t="n">
        <v>9</v>
      </c>
      <c r="I193" s="668" t="n">
        <v>9.630000000000001</v>
      </c>
      <c r="J193" s="38" t="n">
        <v>56</v>
      </c>
      <c r="K193" s="39" t="inlineStr">
        <is>
          <t>СК1</t>
        </is>
      </c>
      <c r="L193" s="38" t="n">
        <v>31</v>
      </c>
      <c r="M193" s="780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N193" s="670" t="n"/>
      <c r="O193" s="670" t="n"/>
      <c r="P193" s="670" t="n"/>
      <c r="Q193" s="636" t="n"/>
      <c r="R193" s="40" t="inlineStr"/>
      <c r="S193" s="40" t="inlineStr"/>
      <c r="T193" s="41" t="inlineStr">
        <is>
          <t>кг</t>
        </is>
      </c>
      <c r="U193" s="671" t="n">
        <v>0</v>
      </c>
      <c r="V193" s="672">
        <f>IFERROR(IF(U193="",0,CEILING((U193/$H193),1)*$H193),"")</f>
        <v/>
      </c>
      <c r="W193" s="42">
        <f>IFERROR(IF(V193=0,"",ROUNDUP(V193/H193,0)*0.02175),"")</f>
        <v/>
      </c>
      <c r="X193" s="69" t="inlineStr"/>
      <c r="Y193" s="70" t="inlineStr"/>
      <c r="AC193" s="71" t="n"/>
      <c r="AZ193" s="177" t="inlineStr">
        <is>
          <t>КИ</t>
        </is>
      </c>
    </row>
    <row r="194" ht="27" customHeight="1">
      <c r="A194" s="64" t="inlineStr">
        <is>
          <t>SU001780</t>
        </is>
      </c>
      <c r="B194" s="64" t="inlineStr">
        <is>
          <t>P003075</t>
        </is>
      </c>
      <c r="C194" s="37" t="n">
        <v>4301011395</v>
      </c>
      <c r="D194" s="324" t="n">
        <v>4607091387322</v>
      </c>
      <c r="E194" s="636" t="n"/>
      <c r="F194" s="668" t="n">
        <v>1.35</v>
      </c>
      <c r="G194" s="38" t="n">
        <v>8</v>
      </c>
      <c r="H194" s="668" t="n">
        <v>10.8</v>
      </c>
      <c r="I194" s="668" t="n">
        <v>11.28</v>
      </c>
      <c r="J194" s="38" t="n">
        <v>48</v>
      </c>
      <c r="K194" s="39" t="inlineStr">
        <is>
          <t>ВЗ</t>
        </is>
      </c>
      <c r="L194" s="38" t="n">
        <v>55</v>
      </c>
      <c r="M194" s="781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N194" s="670" t="n"/>
      <c r="O194" s="670" t="n"/>
      <c r="P194" s="670" t="n"/>
      <c r="Q194" s="636" t="n"/>
      <c r="R194" s="40" t="inlineStr"/>
      <c r="S194" s="40" t="inlineStr"/>
      <c r="T194" s="41" t="inlineStr">
        <is>
          <t>кг</t>
        </is>
      </c>
      <c r="U194" s="671" t="n">
        <v>0</v>
      </c>
      <c r="V194" s="672">
        <f>IFERROR(IF(U194="",0,CEILING((U194/$H194),1)*$H194),"")</f>
        <v/>
      </c>
      <c r="W194" s="42">
        <f>IFERROR(IF(V194=0,"",ROUNDUP(V194/H194,0)*0.02039),"")</f>
        <v/>
      </c>
      <c r="X194" s="69" t="inlineStr"/>
      <c r="Y194" s="70" t="inlineStr"/>
      <c r="AC194" s="71" t="n"/>
      <c r="AZ194" s="178" t="inlineStr">
        <is>
          <t>КИ</t>
        </is>
      </c>
    </row>
    <row r="195" ht="27" customHeight="1">
      <c r="A195" s="64" t="inlineStr">
        <is>
          <t>SU001780</t>
        </is>
      </c>
      <c r="B195" s="64" t="inlineStr">
        <is>
          <t>P001780</t>
        </is>
      </c>
      <c r="C195" s="37" t="n">
        <v>4301010928</v>
      </c>
      <c r="D195" s="324" t="n">
        <v>4607091387322</v>
      </c>
      <c r="E195" s="636" t="n"/>
      <c r="F195" s="668" t="n">
        <v>1.35</v>
      </c>
      <c r="G195" s="38" t="n">
        <v>8</v>
      </c>
      <c r="H195" s="668" t="n">
        <v>10.8</v>
      </c>
      <c r="I195" s="668" t="n">
        <v>11.28</v>
      </c>
      <c r="J195" s="38" t="n">
        <v>56</v>
      </c>
      <c r="K195" s="39" t="inlineStr">
        <is>
          <t>СК1</t>
        </is>
      </c>
      <c r="L195" s="38" t="n">
        <v>55</v>
      </c>
      <c r="M195" s="782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N195" s="670" t="n"/>
      <c r="O195" s="670" t="n"/>
      <c r="P195" s="670" t="n"/>
      <c r="Q195" s="636" t="n"/>
      <c r="R195" s="40" t="inlineStr"/>
      <c r="S195" s="40" t="inlineStr"/>
      <c r="T195" s="41" t="inlineStr">
        <is>
          <t>кг</t>
        </is>
      </c>
      <c r="U195" s="671" t="n">
        <v>0</v>
      </c>
      <c r="V195" s="672">
        <f>IFERROR(IF(U195="",0,CEILING((U195/$H195),1)*$H195),"")</f>
        <v/>
      </c>
      <c r="W195" s="42">
        <f>IFERROR(IF(V195=0,"",ROUNDUP(V195/H195,0)*0.02175),"")</f>
        <v/>
      </c>
      <c r="X195" s="69" t="inlineStr"/>
      <c r="Y195" s="70" t="inlineStr"/>
      <c r="AC195" s="71" t="n"/>
      <c r="AZ195" s="179" t="inlineStr">
        <is>
          <t>КИ</t>
        </is>
      </c>
    </row>
    <row r="196" ht="27" customHeight="1">
      <c r="A196" s="64" t="inlineStr">
        <is>
          <t>SU001778</t>
        </is>
      </c>
      <c r="B196" s="64" t="inlineStr">
        <is>
          <t>P001778</t>
        </is>
      </c>
      <c r="C196" s="37" t="n">
        <v>4301011311</v>
      </c>
      <c r="D196" s="324" t="n">
        <v>4607091387377</v>
      </c>
      <c r="E196" s="636" t="n"/>
      <c r="F196" s="668" t="n">
        <v>1.35</v>
      </c>
      <c r="G196" s="38" t="n">
        <v>8</v>
      </c>
      <c r="H196" s="668" t="n">
        <v>10.8</v>
      </c>
      <c r="I196" s="668" t="n">
        <v>11.28</v>
      </c>
      <c r="J196" s="38" t="n">
        <v>56</v>
      </c>
      <c r="K196" s="39" t="inlineStr">
        <is>
          <t>СК1</t>
        </is>
      </c>
      <c r="L196" s="38" t="n">
        <v>55</v>
      </c>
      <c r="M196" s="783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N196" s="670" t="n"/>
      <c r="O196" s="670" t="n"/>
      <c r="P196" s="670" t="n"/>
      <c r="Q196" s="636" t="n"/>
      <c r="R196" s="40" t="inlineStr"/>
      <c r="S196" s="40" t="inlineStr"/>
      <c r="T196" s="41" t="inlineStr">
        <is>
          <t>кг</t>
        </is>
      </c>
      <c r="U196" s="671" t="n">
        <v>0</v>
      </c>
      <c r="V196" s="672">
        <f>IFERROR(IF(U196="",0,CEILING((U196/$H196),1)*$H196),"")</f>
        <v/>
      </c>
      <c r="W196" s="42">
        <f>IFERROR(IF(V196=0,"",ROUNDUP(V196/H196,0)*0.02175),"")</f>
        <v/>
      </c>
      <c r="X196" s="69" t="inlineStr"/>
      <c r="Y196" s="70" t="inlineStr"/>
      <c r="AC196" s="71" t="n"/>
      <c r="AZ196" s="180" t="inlineStr">
        <is>
          <t>КИ</t>
        </is>
      </c>
    </row>
    <row r="197" ht="27" customHeight="1">
      <c r="A197" s="64" t="inlineStr">
        <is>
          <t>SU000043</t>
        </is>
      </c>
      <c r="B197" s="64" t="inlineStr">
        <is>
          <t>P001807</t>
        </is>
      </c>
      <c r="C197" s="37" t="n">
        <v>4301010945</v>
      </c>
      <c r="D197" s="324" t="n">
        <v>4607091387353</v>
      </c>
      <c r="E197" s="636" t="n"/>
      <c r="F197" s="668" t="n">
        <v>1.35</v>
      </c>
      <c r="G197" s="38" t="n">
        <v>8</v>
      </c>
      <c r="H197" s="668" t="n">
        <v>10.8</v>
      </c>
      <c r="I197" s="668" t="n">
        <v>11.28</v>
      </c>
      <c r="J197" s="38" t="n">
        <v>56</v>
      </c>
      <c r="K197" s="39" t="inlineStr">
        <is>
          <t>СК1</t>
        </is>
      </c>
      <c r="L197" s="38" t="n">
        <v>55</v>
      </c>
      <c r="M197" s="784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N197" s="670" t="n"/>
      <c r="O197" s="670" t="n"/>
      <c r="P197" s="670" t="n"/>
      <c r="Q197" s="636" t="n"/>
      <c r="R197" s="40" t="inlineStr"/>
      <c r="S197" s="40" t="inlineStr"/>
      <c r="T197" s="41" t="inlineStr">
        <is>
          <t>кг</t>
        </is>
      </c>
      <c r="U197" s="671" t="n">
        <v>0</v>
      </c>
      <c r="V197" s="672">
        <f>IFERROR(IF(U197="",0,CEILING((U197/$H197),1)*$H197),"")</f>
        <v/>
      </c>
      <c r="W197" s="42">
        <f>IFERROR(IF(V197=0,"",ROUNDUP(V197/H197,0)*0.02175),"")</f>
        <v/>
      </c>
      <c r="X197" s="69" t="inlineStr"/>
      <c r="Y197" s="70" t="inlineStr"/>
      <c r="AC197" s="71" t="n"/>
      <c r="AZ197" s="181" t="inlineStr">
        <is>
          <t>КИ</t>
        </is>
      </c>
    </row>
    <row r="198" ht="27" customHeight="1">
      <c r="A198" s="64" t="inlineStr">
        <is>
          <t>SU001800</t>
        </is>
      </c>
      <c r="B198" s="64" t="inlineStr">
        <is>
          <t>P001800</t>
        </is>
      </c>
      <c r="C198" s="37" t="n">
        <v>4301011328</v>
      </c>
      <c r="D198" s="324" t="n">
        <v>4607091386011</v>
      </c>
      <c r="E198" s="636" t="n"/>
      <c r="F198" s="668" t="n">
        <v>0.5</v>
      </c>
      <c r="G198" s="38" t="n">
        <v>10</v>
      </c>
      <c r="H198" s="668" t="n">
        <v>5</v>
      </c>
      <c r="I198" s="668" t="n">
        <v>5.21</v>
      </c>
      <c r="J198" s="38" t="n">
        <v>120</v>
      </c>
      <c r="K198" s="39" t="inlineStr">
        <is>
          <t>СК2</t>
        </is>
      </c>
      <c r="L198" s="38" t="n">
        <v>55</v>
      </c>
      <c r="M198" s="785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N198" s="670" t="n"/>
      <c r="O198" s="670" t="n"/>
      <c r="P198" s="670" t="n"/>
      <c r="Q198" s="636" t="n"/>
      <c r="R198" s="40" t="inlineStr"/>
      <c r="S198" s="40" t="inlineStr"/>
      <c r="T198" s="41" t="inlineStr">
        <is>
          <t>кг</t>
        </is>
      </c>
      <c r="U198" s="671" t="n">
        <v>0</v>
      </c>
      <c r="V198" s="672">
        <f>IFERROR(IF(U198="",0,CEILING((U198/$H198),1)*$H198),"")</f>
        <v/>
      </c>
      <c r="W198" s="42">
        <f>IFERROR(IF(V198=0,"",ROUNDUP(V198/H198,0)*0.00937),"")</f>
        <v/>
      </c>
      <c r="X198" s="69" t="inlineStr"/>
      <c r="Y198" s="70" t="inlineStr"/>
      <c r="AC198" s="71" t="n"/>
      <c r="AZ198" s="182" t="inlineStr">
        <is>
          <t>КИ</t>
        </is>
      </c>
    </row>
    <row r="199" ht="27" customHeight="1">
      <c r="A199" s="64" t="inlineStr">
        <is>
          <t>SU001805</t>
        </is>
      </c>
      <c r="B199" s="64" t="inlineStr">
        <is>
          <t>P001805</t>
        </is>
      </c>
      <c r="C199" s="37" t="n">
        <v>4301011329</v>
      </c>
      <c r="D199" s="324" t="n">
        <v>4607091387308</v>
      </c>
      <c r="E199" s="636" t="n"/>
      <c r="F199" s="668" t="n">
        <v>0.5</v>
      </c>
      <c r="G199" s="38" t="n">
        <v>10</v>
      </c>
      <c r="H199" s="668" t="n">
        <v>5</v>
      </c>
      <c r="I199" s="668" t="n">
        <v>5.21</v>
      </c>
      <c r="J199" s="38" t="n">
        <v>120</v>
      </c>
      <c r="K199" s="39" t="inlineStr">
        <is>
          <t>СК2</t>
        </is>
      </c>
      <c r="L199" s="38" t="n">
        <v>55</v>
      </c>
      <c r="M199" s="786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N199" s="670" t="n"/>
      <c r="O199" s="670" t="n"/>
      <c r="P199" s="670" t="n"/>
      <c r="Q199" s="636" t="n"/>
      <c r="R199" s="40" t="inlineStr"/>
      <c r="S199" s="40" t="inlineStr"/>
      <c r="T199" s="41" t="inlineStr">
        <is>
          <t>кг</t>
        </is>
      </c>
      <c r="U199" s="671" t="n">
        <v>0</v>
      </c>
      <c r="V199" s="672">
        <f>IFERROR(IF(U199="",0,CEILING((U199/$H199),1)*$H199),"")</f>
        <v/>
      </c>
      <c r="W199" s="42">
        <f>IFERROR(IF(V199=0,"",ROUNDUP(V199/H199,0)*0.00937),"")</f>
        <v/>
      </c>
      <c r="X199" s="69" t="inlineStr"/>
      <c r="Y199" s="70" t="inlineStr"/>
      <c r="AC199" s="71" t="n"/>
      <c r="AZ199" s="183" t="inlineStr">
        <is>
          <t>КИ</t>
        </is>
      </c>
    </row>
    <row r="200" ht="27" customHeight="1">
      <c r="A200" s="64" t="inlineStr">
        <is>
          <t>SU001829</t>
        </is>
      </c>
      <c r="B200" s="64" t="inlineStr">
        <is>
          <t>P001829</t>
        </is>
      </c>
      <c r="C200" s="37" t="n">
        <v>4301011049</v>
      </c>
      <c r="D200" s="324" t="n">
        <v>4607091387339</v>
      </c>
      <c r="E200" s="636" t="n"/>
      <c r="F200" s="668" t="n">
        <v>0.5</v>
      </c>
      <c r="G200" s="38" t="n">
        <v>10</v>
      </c>
      <c r="H200" s="668" t="n">
        <v>5</v>
      </c>
      <c r="I200" s="668" t="n">
        <v>5.24</v>
      </c>
      <c r="J200" s="38" t="n">
        <v>120</v>
      </c>
      <c r="K200" s="39" t="inlineStr">
        <is>
          <t>СК1</t>
        </is>
      </c>
      <c r="L200" s="38" t="n">
        <v>55</v>
      </c>
      <c r="M200" s="787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N200" s="670" t="n"/>
      <c r="O200" s="670" t="n"/>
      <c r="P200" s="670" t="n"/>
      <c r="Q200" s="636" t="n"/>
      <c r="R200" s="40" t="inlineStr"/>
      <c r="S200" s="40" t="inlineStr"/>
      <c r="T200" s="41" t="inlineStr">
        <is>
          <t>кг</t>
        </is>
      </c>
      <c r="U200" s="671" t="n">
        <v>0</v>
      </c>
      <c r="V200" s="672">
        <f>IFERROR(IF(U200="",0,CEILING((U200/$H200),1)*$H200),"")</f>
        <v/>
      </c>
      <c r="W200" s="42">
        <f>IFERROR(IF(V200=0,"",ROUNDUP(V200/H200,0)*0.00937),"")</f>
        <v/>
      </c>
      <c r="X200" s="69" t="inlineStr"/>
      <c r="Y200" s="70" t="inlineStr"/>
      <c r="AC200" s="71" t="n"/>
      <c r="AZ200" s="184" t="inlineStr">
        <is>
          <t>КИ</t>
        </is>
      </c>
    </row>
    <row r="201" ht="27" customHeight="1">
      <c r="A201" s="64" t="inlineStr">
        <is>
          <t>SU002787</t>
        </is>
      </c>
      <c r="B201" s="64" t="inlineStr">
        <is>
          <t>P003189</t>
        </is>
      </c>
      <c r="C201" s="37" t="n">
        <v>4301011433</v>
      </c>
      <c r="D201" s="324" t="n">
        <v>4680115882638</v>
      </c>
      <c r="E201" s="636" t="n"/>
      <c r="F201" s="668" t="n">
        <v>0.4</v>
      </c>
      <c r="G201" s="38" t="n">
        <v>10</v>
      </c>
      <c r="H201" s="668" t="n">
        <v>4</v>
      </c>
      <c r="I201" s="668" t="n">
        <v>4.24</v>
      </c>
      <c r="J201" s="38" t="n">
        <v>120</v>
      </c>
      <c r="K201" s="39" t="inlineStr">
        <is>
          <t>СК1</t>
        </is>
      </c>
      <c r="L201" s="38" t="n">
        <v>90</v>
      </c>
      <c r="M201" s="788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N201" s="670" t="n"/>
      <c r="O201" s="670" t="n"/>
      <c r="P201" s="670" t="n"/>
      <c r="Q201" s="636" t="n"/>
      <c r="R201" s="40" t="inlineStr"/>
      <c r="S201" s="40" t="inlineStr"/>
      <c r="T201" s="41" t="inlineStr">
        <is>
          <t>кг</t>
        </is>
      </c>
      <c r="U201" s="671" t="n">
        <v>0</v>
      </c>
      <c r="V201" s="672">
        <f>IFERROR(IF(U201="",0,CEILING((U201/$H201),1)*$H201),"")</f>
        <v/>
      </c>
      <c r="W201" s="42">
        <f>IFERROR(IF(V201=0,"",ROUNDUP(V201/H201,0)*0.00937),"")</f>
        <v/>
      </c>
      <c r="X201" s="69" t="inlineStr"/>
      <c r="Y201" s="70" t="inlineStr"/>
      <c r="AC201" s="71" t="n"/>
      <c r="AZ201" s="185" t="inlineStr">
        <is>
          <t>КИ</t>
        </is>
      </c>
    </row>
    <row r="202" ht="27" customHeight="1">
      <c r="A202" s="64" t="inlineStr">
        <is>
          <t>SU002894</t>
        </is>
      </c>
      <c r="B202" s="64" t="inlineStr">
        <is>
          <t>P003314</t>
        </is>
      </c>
      <c r="C202" s="37" t="n">
        <v>4301011573</v>
      </c>
      <c r="D202" s="324" t="n">
        <v>4680115881938</v>
      </c>
      <c r="E202" s="636" t="n"/>
      <c r="F202" s="668" t="n">
        <v>0.4</v>
      </c>
      <c r="G202" s="38" t="n">
        <v>10</v>
      </c>
      <c r="H202" s="668" t="n">
        <v>4</v>
      </c>
      <c r="I202" s="668" t="n">
        <v>4.24</v>
      </c>
      <c r="J202" s="38" t="n">
        <v>120</v>
      </c>
      <c r="K202" s="39" t="inlineStr">
        <is>
          <t>СК1</t>
        </is>
      </c>
      <c r="L202" s="38" t="n">
        <v>90</v>
      </c>
      <c r="M202" s="789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N202" s="670" t="n"/>
      <c r="O202" s="670" t="n"/>
      <c r="P202" s="670" t="n"/>
      <c r="Q202" s="636" t="n"/>
      <c r="R202" s="40" t="inlineStr"/>
      <c r="S202" s="40" t="inlineStr"/>
      <c r="T202" s="41" t="inlineStr">
        <is>
          <t>кг</t>
        </is>
      </c>
      <c r="U202" s="671" t="n">
        <v>0</v>
      </c>
      <c r="V202" s="672">
        <f>IFERROR(IF(U202="",0,CEILING((U202/$H202),1)*$H202),"")</f>
        <v/>
      </c>
      <c r="W202" s="42">
        <f>IFERROR(IF(V202=0,"",ROUNDUP(V202/H202,0)*0.00937),"")</f>
        <v/>
      </c>
      <c r="X202" s="69" t="inlineStr"/>
      <c r="Y202" s="70" t="inlineStr"/>
      <c r="AC202" s="71" t="n"/>
      <c r="AZ202" s="186" t="inlineStr">
        <is>
          <t>КИ</t>
        </is>
      </c>
    </row>
    <row r="203" ht="27" customHeight="1">
      <c r="A203" s="64" t="inlineStr">
        <is>
          <t>SU000078</t>
        </is>
      </c>
      <c r="B203" s="64" t="inlineStr">
        <is>
          <t>P001806</t>
        </is>
      </c>
      <c r="C203" s="37" t="n">
        <v>4301010944</v>
      </c>
      <c r="D203" s="324" t="n">
        <v>4607091387346</v>
      </c>
      <c r="E203" s="636" t="n"/>
      <c r="F203" s="668" t="n">
        <v>0.4</v>
      </c>
      <c r="G203" s="38" t="n">
        <v>10</v>
      </c>
      <c r="H203" s="668" t="n">
        <v>4</v>
      </c>
      <c r="I203" s="668" t="n">
        <v>4.24</v>
      </c>
      <c r="J203" s="38" t="n">
        <v>120</v>
      </c>
      <c r="K203" s="39" t="inlineStr">
        <is>
          <t>СК1</t>
        </is>
      </c>
      <c r="L203" s="38" t="n">
        <v>55</v>
      </c>
      <c r="M203" s="790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N203" s="670" t="n"/>
      <c r="O203" s="670" t="n"/>
      <c r="P203" s="670" t="n"/>
      <c r="Q203" s="636" t="n"/>
      <c r="R203" s="40" t="inlineStr"/>
      <c r="S203" s="40" t="inlineStr"/>
      <c r="T203" s="41" t="inlineStr">
        <is>
          <t>кг</t>
        </is>
      </c>
      <c r="U203" s="671" t="n">
        <v>0</v>
      </c>
      <c r="V203" s="672">
        <f>IFERROR(IF(U203="",0,CEILING((U203/$H203),1)*$H203),"")</f>
        <v/>
      </c>
      <c r="W203" s="42">
        <f>IFERROR(IF(V203=0,"",ROUNDUP(V203/H203,0)*0.00937),"")</f>
        <v/>
      </c>
      <c r="X203" s="69" t="inlineStr"/>
      <c r="Y203" s="70" t="inlineStr"/>
      <c r="AC203" s="71" t="n"/>
      <c r="AZ203" s="187" t="inlineStr">
        <is>
          <t>КИ</t>
        </is>
      </c>
    </row>
    <row r="204" ht="27" customHeight="1">
      <c r="A204" s="64" t="inlineStr">
        <is>
          <t>SU002616</t>
        </is>
      </c>
      <c r="B204" s="64" t="inlineStr">
        <is>
          <t>P002950</t>
        </is>
      </c>
      <c r="C204" s="37" t="n">
        <v>4301011353</v>
      </c>
      <c r="D204" s="324" t="n">
        <v>4607091389807</v>
      </c>
      <c r="E204" s="636" t="n"/>
      <c r="F204" s="668" t="n">
        <v>0.4</v>
      </c>
      <c r="G204" s="38" t="n">
        <v>10</v>
      </c>
      <c r="H204" s="668" t="n">
        <v>4</v>
      </c>
      <c r="I204" s="668" t="n">
        <v>4.24</v>
      </c>
      <c r="J204" s="38" t="n">
        <v>120</v>
      </c>
      <c r="K204" s="39" t="inlineStr">
        <is>
          <t>СК1</t>
        </is>
      </c>
      <c r="L204" s="38" t="n">
        <v>55</v>
      </c>
      <c r="M204" s="791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N204" s="670" t="n"/>
      <c r="O204" s="670" t="n"/>
      <c r="P204" s="670" t="n"/>
      <c r="Q204" s="636" t="n"/>
      <c r="R204" s="40" t="inlineStr"/>
      <c r="S204" s="40" t="inlineStr"/>
      <c r="T204" s="41" t="inlineStr">
        <is>
          <t>кг</t>
        </is>
      </c>
      <c r="U204" s="671" t="n">
        <v>0</v>
      </c>
      <c r="V204" s="672">
        <f>IFERROR(IF(U204="",0,CEILING((U204/$H204),1)*$H204),"")</f>
        <v/>
      </c>
      <c r="W204" s="42">
        <f>IFERROR(IF(V204=0,"",ROUNDUP(V204/H204,0)*0.00937),"")</f>
        <v/>
      </c>
      <c r="X204" s="69" t="inlineStr"/>
      <c r="Y204" s="70" t="inlineStr"/>
      <c r="AC204" s="71" t="n"/>
      <c r="AZ204" s="188" t="inlineStr">
        <is>
          <t>КИ</t>
        </is>
      </c>
    </row>
    <row r="205">
      <c r="A205" s="319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673" t="n"/>
      <c r="M205" s="674" t="inlineStr">
        <is>
          <t>Итого</t>
        </is>
      </c>
      <c r="N205" s="644" t="n"/>
      <c r="O205" s="644" t="n"/>
      <c r="P205" s="644" t="n"/>
      <c r="Q205" s="644" t="n"/>
      <c r="R205" s="644" t="n"/>
      <c r="S205" s="645" t="n"/>
      <c r="T205" s="43" t="inlineStr">
        <is>
          <t>кор</t>
        </is>
      </c>
      <c r="U205" s="675">
        <f>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+IFERROR(U204/H204,"0")</f>
        <v/>
      </c>
      <c r="V205" s="675">
        <f>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+IFERROR(V204/H204,"0")</f>
        <v/>
      </c>
      <c r="W205" s="675">
        <f>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</f>
        <v/>
      </c>
      <c r="X205" s="676" t="n"/>
      <c r="Y205" s="676" t="n"/>
    </row>
    <row r="206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673" t="n"/>
      <c r="M206" s="674" t="inlineStr">
        <is>
          <t>Итого</t>
        </is>
      </c>
      <c r="N206" s="644" t="n"/>
      <c r="O206" s="644" t="n"/>
      <c r="P206" s="644" t="n"/>
      <c r="Q206" s="644" t="n"/>
      <c r="R206" s="644" t="n"/>
      <c r="S206" s="645" t="n"/>
      <c r="T206" s="43" t="inlineStr">
        <is>
          <t>кг</t>
        </is>
      </c>
      <c r="U206" s="675">
        <f>IFERROR(SUM(U190:U204),"0")</f>
        <v/>
      </c>
      <c r="V206" s="675">
        <f>IFERROR(SUM(V190:V204),"0")</f>
        <v/>
      </c>
      <c r="W206" s="43" t="n"/>
      <c r="X206" s="676" t="n"/>
      <c r="Y206" s="676" t="n"/>
    </row>
    <row r="207" ht="14.25" customHeight="1">
      <c r="A207" s="329" t="inlineStr">
        <is>
          <t>Ветчины</t>
        </is>
      </c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329" t="n"/>
      <c r="Y207" s="329" t="n"/>
    </row>
    <row r="208" ht="27" customHeight="1">
      <c r="A208" s="64" t="inlineStr">
        <is>
          <t>SU002788</t>
        </is>
      </c>
      <c r="B208" s="64" t="inlineStr">
        <is>
          <t>P003190</t>
        </is>
      </c>
      <c r="C208" s="37" t="n">
        <v>4301020254</v>
      </c>
      <c r="D208" s="324" t="n">
        <v>4680115881914</v>
      </c>
      <c r="E208" s="636" t="n"/>
      <c r="F208" s="668" t="n">
        <v>0.4</v>
      </c>
      <c r="G208" s="38" t="n">
        <v>10</v>
      </c>
      <c r="H208" s="668" t="n">
        <v>4</v>
      </c>
      <c r="I208" s="668" t="n">
        <v>4.24</v>
      </c>
      <c r="J208" s="38" t="n">
        <v>120</v>
      </c>
      <c r="K208" s="39" t="inlineStr">
        <is>
          <t>СК1</t>
        </is>
      </c>
      <c r="L208" s="38" t="n">
        <v>90</v>
      </c>
      <c r="M208" s="792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N208" s="670" t="n"/>
      <c r="O208" s="670" t="n"/>
      <c r="P208" s="670" t="n"/>
      <c r="Q208" s="636" t="n"/>
      <c r="R208" s="40" t="inlineStr"/>
      <c r="S208" s="40" t="inlineStr"/>
      <c r="T208" s="41" t="inlineStr">
        <is>
          <t>кг</t>
        </is>
      </c>
      <c r="U208" s="671" t="n">
        <v>0</v>
      </c>
      <c r="V208" s="672">
        <f>IFERROR(IF(U208="",0,CEILING((U208/$H208),1)*$H208),"")</f>
        <v/>
      </c>
      <c r="W208" s="42">
        <f>IFERROR(IF(V208=0,"",ROUNDUP(V208/H208,0)*0.00937),"")</f>
        <v/>
      </c>
      <c r="X208" s="69" t="inlineStr"/>
      <c r="Y208" s="70" t="inlineStr"/>
      <c r="AC208" s="71" t="n"/>
      <c r="AZ208" s="189" t="inlineStr">
        <is>
          <t>КИ</t>
        </is>
      </c>
    </row>
    <row r="209">
      <c r="A209" s="319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673" t="n"/>
      <c r="M209" s="674" t="inlineStr">
        <is>
          <t>Итого</t>
        </is>
      </c>
      <c r="N209" s="644" t="n"/>
      <c r="O209" s="644" t="n"/>
      <c r="P209" s="644" t="n"/>
      <c r="Q209" s="644" t="n"/>
      <c r="R209" s="644" t="n"/>
      <c r="S209" s="645" t="n"/>
      <c r="T209" s="43" t="inlineStr">
        <is>
          <t>кор</t>
        </is>
      </c>
      <c r="U209" s="675">
        <f>IFERROR(U208/H208,"0")</f>
        <v/>
      </c>
      <c r="V209" s="675">
        <f>IFERROR(V208/H208,"0")</f>
        <v/>
      </c>
      <c r="W209" s="675">
        <f>IFERROR(IF(W208="",0,W208),"0")</f>
        <v/>
      </c>
      <c r="X209" s="676" t="n"/>
      <c r="Y209" s="676" t="n"/>
    </row>
    <row r="210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673" t="n"/>
      <c r="M210" s="674" t="inlineStr">
        <is>
          <t>Итого</t>
        </is>
      </c>
      <c r="N210" s="644" t="n"/>
      <c r="O210" s="644" t="n"/>
      <c r="P210" s="644" t="n"/>
      <c r="Q210" s="644" t="n"/>
      <c r="R210" s="644" t="n"/>
      <c r="S210" s="645" t="n"/>
      <c r="T210" s="43" t="inlineStr">
        <is>
          <t>кг</t>
        </is>
      </c>
      <c r="U210" s="675">
        <f>IFERROR(SUM(U208:U208),"0")</f>
        <v/>
      </c>
      <c r="V210" s="675">
        <f>IFERROR(SUM(V208:V208),"0")</f>
        <v/>
      </c>
      <c r="W210" s="43" t="n"/>
      <c r="X210" s="676" t="n"/>
      <c r="Y210" s="676" t="n"/>
    </row>
    <row r="211" ht="14.25" customHeight="1">
      <c r="A211" s="329" t="inlineStr">
        <is>
          <t>Копченые колбасы</t>
        </is>
      </c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329" t="n"/>
      <c r="Y211" s="329" t="n"/>
    </row>
    <row r="212" ht="27" customHeight="1">
      <c r="A212" s="64" t="inlineStr">
        <is>
          <t>SU001820</t>
        </is>
      </c>
      <c r="B212" s="64" t="inlineStr">
        <is>
          <t>P001820</t>
        </is>
      </c>
      <c r="C212" s="37" t="n">
        <v>4301030878</v>
      </c>
      <c r="D212" s="324" t="n">
        <v>4607091387193</v>
      </c>
      <c r="E212" s="636" t="n"/>
      <c r="F212" s="668" t="n">
        <v>0.7</v>
      </c>
      <c r="G212" s="38" t="n">
        <v>6</v>
      </c>
      <c r="H212" s="668" t="n">
        <v>4.2</v>
      </c>
      <c r="I212" s="668" t="n">
        <v>4.46</v>
      </c>
      <c r="J212" s="38" t="n">
        <v>156</v>
      </c>
      <c r="K212" s="39" t="inlineStr">
        <is>
          <t>СК2</t>
        </is>
      </c>
      <c r="L212" s="38" t="n">
        <v>35</v>
      </c>
      <c r="M212" s="793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N212" s="670" t="n"/>
      <c r="O212" s="670" t="n"/>
      <c r="P212" s="670" t="n"/>
      <c r="Q212" s="636" t="n"/>
      <c r="R212" s="40" t="inlineStr"/>
      <c r="S212" s="40" t="inlineStr"/>
      <c r="T212" s="41" t="inlineStr">
        <is>
          <t>кг</t>
        </is>
      </c>
      <c r="U212" s="671" t="n">
        <v>0</v>
      </c>
      <c r="V212" s="672">
        <f>IFERROR(IF(U212="",0,CEILING((U212/$H212),1)*$H212),"")</f>
        <v/>
      </c>
      <c r="W212" s="42">
        <f>IFERROR(IF(V212=0,"",ROUNDUP(V212/H212,0)*0.00753),"")</f>
        <v/>
      </c>
      <c r="X212" s="69" t="inlineStr"/>
      <c r="Y212" s="70" t="inlineStr"/>
      <c r="AC212" s="71" t="n"/>
      <c r="AZ212" s="190" t="inlineStr">
        <is>
          <t>КИ</t>
        </is>
      </c>
    </row>
    <row r="213" ht="27" customHeight="1">
      <c r="A213" s="64" t="inlineStr">
        <is>
          <t>SU001822</t>
        </is>
      </c>
      <c r="B213" s="64" t="inlineStr">
        <is>
          <t>P003013</t>
        </is>
      </c>
      <c r="C213" s="37" t="n">
        <v>4301031153</v>
      </c>
      <c r="D213" s="324" t="n">
        <v>4607091387230</v>
      </c>
      <c r="E213" s="636" t="n"/>
      <c r="F213" s="668" t="n">
        <v>0.7</v>
      </c>
      <c r="G213" s="38" t="n">
        <v>6</v>
      </c>
      <c r="H213" s="668" t="n">
        <v>4.2</v>
      </c>
      <c r="I213" s="668" t="n">
        <v>4.46</v>
      </c>
      <c r="J213" s="38" t="n">
        <v>156</v>
      </c>
      <c r="K213" s="39" t="inlineStr">
        <is>
          <t>СК2</t>
        </is>
      </c>
      <c r="L213" s="38" t="n">
        <v>40</v>
      </c>
      <c r="M213" s="794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N213" s="670" t="n"/>
      <c r="O213" s="670" t="n"/>
      <c r="P213" s="670" t="n"/>
      <c r="Q213" s="636" t="n"/>
      <c r="R213" s="40" t="inlineStr"/>
      <c r="S213" s="40" t="inlineStr"/>
      <c r="T213" s="41" t="inlineStr">
        <is>
          <t>кг</t>
        </is>
      </c>
      <c r="U213" s="671" t="n">
        <v>0</v>
      </c>
      <c r="V213" s="672">
        <f>IFERROR(IF(U213="",0,CEILING((U213/$H213),1)*$H213),"")</f>
        <v/>
      </c>
      <c r="W213" s="42">
        <f>IFERROR(IF(V213=0,"",ROUNDUP(V213/H213,0)*0.00753),"")</f>
        <v/>
      </c>
      <c r="X213" s="69" t="inlineStr"/>
      <c r="Y213" s="70" t="inlineStr"/>
      <c r="AC213" s="71" t="n"/>
      <c r="AZ213" s="191" t="inlineStr">
        <is>
          <t>КИ</t>
        </is>
      </c>
    </row>
    <row r="214" ht="27" customHeight="1">
      <c r="A214" s="64" t="inlineStr">
        <is>
          <t>SU002579</t>
        </is>
      </c>
      <c r="B214" s="64" t="inlineStr">
        <is>
          <t>P003012</t>
        </is>
      </c>
      <c r="C214" s="37" t="n">
        <v>4301031152</v>
      </c>
      <c r="D214" s="324" t="n">
        <v>4607091387285</v>
      </c>
      <c r="E214" s="636" t="n"/>
      <c r="F214" s="668" t="n">
        <v>0.35</v>
      </c>
      <c r="G214" s="38" t="n">
        <v>6</v>
      </c>
      <c r="H214" s="668" t="n">
        <v>2.1</v>
      </c>
      <c r="I214" s="668" t="n">
        <v>2.23</v>
      </c>
      <c r="J214" s="38" t="n">
        <v>234</v>
      </c>
      <c r="K214" s="39" t="inlineStr">
        <is>
          <t>СК2</t>
        </is>
      </c>
      <c r="L214" s="38" t="n">
        <v>40</v>
      </c>
      <c r="M214" s="795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N214" s="670" t="n"/>
      <c r="O214" s="670" t="n"/>
      <c r="P214" s="670" t="n"/>
      <c r="Q214" s="636" t="n"/>
      <c r="R214" s="40" t="inlineStr"/>
      <c r="S214" s="40" t="inlineStr"/>
      <c r="T214" s="41" t="inlineStr">
        <is>
          <t>кг</t>
        </is>
      </c>
      <c r="U214" s="671" t="n">
        <v>0</v>
      </c>
      <c r="V214" s="672">
        <f>IFERROR(IF(U214="",0,CEILING((U214/$H214),1)*$H214),"")</f>
        <v/>
      </c>
      <c r="W214" s="42">
        <f>IFERROR(IF(V214=0,"",ROUNDUP(V214/H214,0)*0.00502),"")</f>
        <v/>
      </c>
      <c r="X214" s="69" t="inlineStr"/>
      <c r="Y214" s="70" t="inlineStr"/>
      <c r="AC214" s="71" t="n"/>
      <c r="AZ214" s="192" t="inlineStr">
        <is>
          <t>КИ</t>
        </is>
      </c>
    </row>
    <row r="215" ht="27" customHeight="1">
      <c r="A215" s="64" t="inlineStr">
        <is>
          <t>SU002617</t>
        </is>
      </c>
      <c r="B215" s="64" t="inlineStr">
        <is>
          <t>P002951</t>
        </is>
      </c>
      <c r="C215" s="37" t="n">
        <v>4301031151</v>
      </c>
      <c r="D215" s="324" t="n">
        <v>4607091389845</v>
      </c>
      <c r="E215" s="636" t="n"/>
      <c r="F215" s="668" t="n">
        <v>0.35</v>
      </c>
      <c r="G215" s="38" t="n">
        <v>6</v>
      </c>
      <c r="H215" s="668" t="n">
        <v>2.1</v>
      </c>
      <c r="I215" s="668" t="n">
        <v>2.2</v>
      </c>
      <c r="J215" s="38" t="n">
        <v>234</v>
      </c>
      <c r="K215" s="39" t="inlineStr">
        <is>
          <t>СК2</t>
        </is>
      </c>
      <c r="L215" s="38" t="n">
        <v>40</v>
      </c>
      <c r="M215" s="796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N215" s="670" t="n"/>
      <c r="O215" s="670" t="n"/>
      <c r="P215" s="670" t="n"/>
      <c r="Q215" s="636" t="n"/>
      <c r="R215" s="40" t="inlineStr"/>
      <c r="S215" s="40" t="inlineStr"/>
      <c r="T215" s="41" t="inlineStr">
        <is>
          <t>кг</t>
        </is>
      </c>
      <c r="U215" s="671" t="n">
        <v>0</v>
      </c>
      <c r="V215" s="672">
        <f>IFERROR(IF(U215="",0,CEILING((U215/$H215),1)*$H215),"")</f>
        <v/>
      </c>
      <c r="W215" s="42">
        <f>IFERROR(IF(V215=0,"",ROUNDUP(V215/H215,0)*0.00502),"")</f>
        <v/>
      </c>
      <c r="X215" s="69" t="inlineStr"/>
      <c r="Y215" s="70" t="inlineStr"/>
      <c r="AC215" s="71" t="n"/>
      <c r="AZ215" s="193" t="inlineStr">
        <is>
          <t>КИ</t>
        </is>
      </c>
    </row>
    <row r="216">
      <c r="A216" s="319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673" t="n"/>
      <c r="M216" s="674" t="inlineStr">
        <is>
          <t>Итого</t>
        </is>
      </c>
      <c r="N216" s="644" t="n"/>
      <c r="O216" s="644" t="n"/>
      <c r="P216" s="644" t="n"/>
      <c r="Q216" s="644" t="n"/>
      <c r="R216" s="644" t="n"/>
      <c r="S216" s="645" t="n"/>
      <c r="T216" s="43" t="inlineStr">
        <is>
          <t>кор</t>
        </is>
      </c>
      <c r="U216" s="675">
        <f>IFERROR(U212/H212,"0")+IFERROR(U213/H213,"0")+IFERROR(U214/H214,"0")+IFERROR(U215/H215,"0")</f>
        <v/>
      </c>
      <c r="V216" s="675">
        <f>IFERROR(V212/H212,"0")+IFERROR(V213/H213,"0")+IFERROR(V214/H214,"0")+IFERROR(V215/H215,"0")</f>
        <v/>
      </c>
      <c r="W216" s="675">
        <f>IFERROR(IF(W212="",0,W212),"0")+IFERROR(IF(W213="",0,W213),"0")+IFERROR(IF(W214="",0,W214),"0")+IFERROR(IF(W215="",0,W215),"0")</f>
        <v/>
      </c>
      <c r="X216" s="676" t="n"/>
      <c r="Y216" s="676" t="n"/>
    </row>
    <row r="217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673" t="n"/>
      <c r="M217" s="674" t="inlineStr">
        <is>
          <t>Итого</t>
        </is>
      </c>
      <c r="N217" s="644" t="n"/>
      <c r="O217" s="644" t="n"/>
      <c r="P217" s="644" t="n"/>
      <c r="Q217" s="644" t="n"/>
      <c r="R217" s="644" t="n"/>
      <c r="S217" s="645" t="n"/>
      <c r="T217" s="43" t="inlineStr">
        <is>
          <t>кг</t>
        </is>
      </c>
      <c r="U217" s="675">
        <f>IFERROR(SUM(U212:U215),"0")</f>
        <v/>
      </c>
      <c r="V217" s="675">
        <f>IFERROR(SUM(V212:V215),"0")</f>
        <v/>
      </c>
      <c r="W217" s="43" t="n"/>
      <c r="X217" s="676" t="n"/>
      <c r="Y217" s="676" t="n"/>
    </row>
    <row r="218" ht="14.25" customHeight="1">
      <c r="A218" s="329" t="inlineStr">
        <is>
          <t>Сосиски</t>
        </is>
      </c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329" t="n"/>
      <c r="Y218" s="329" t="n"/>
    </row>
    <row r="219" ht="16.5" customHeight="1">
      <c r="A219" s="64" t="inlineStr">
        <is>
          <t>SU001340</t>
        </is>
      </c>
      <c r="B219" s="64" t="inlineStr">
        <is>
          <t>P002209</t>
        </is>
      </c>
      <c r="C219" s="37" t="n">
        <v>4301051101</v>
      </c>
      <c r="D219" s="324" t="n">
        <v>4607091387766</v>
      </c>
      <c r="E219" s="636" t="n"/>
      <c r="F219" s="668" t="n">
        <v>1.35</v>
      </c>
      <c r="G219" s="38" t="n">
        <v>6</v>
      </c>
      <c r="H219" s="668" t="n">
        <v>8.1</v>
      </c>
      <c r="I219" s="668" t="n">
        <v>8.657999999999999</v>
      </c>
      <c r="J219" s="38" t="n">
        <v>56</v>
      </c>
      <c r="K219" s="39" t="inlineStr">
        <is>
          <t>СК2</t>
        </is>
      </c>
      <c r="L219" s="38" t="n">
        <v>40</v>
      </c>
      <c r="M219" s="797">
        <f>HYPERLINK("https://abi.ru/products/Охлажденные/Стародворье/Бордо/Сосиски/P002209/","Сосиски Ганноверские Бордо Весовые П/а мгс Баварушка")</f>
        <v/>
      </c>
      <c r="N219" s="670" t="n"/>
      <c r="O219" s="670" t="n"/>
      <c r="P219" s="670" t="n"/>
      <c r="Q219" s="636" t="n"/>
      <c r="R219" s="40" t="inlineStr"/>
      <c r="S219" s="40" t="inlineStr"/>
      <c r="T219" s="41" t="inlineStr">
        <is>
          <t>кг</t>
        </is>
      </c>
      <c r="U219" s="671" t="n">
        <v>0</v>
      </c>
      <c r="V219" s="672">
        <f>IFERROR(IF(U219="",0,CEILING((U219/$H219),1)*$H219),"")</f>
        <v/>
      </c>
      <c r="W219" s="42">
        <f>IFERROR(IF(V219=0,"",ROUNDUP(V219/H219,0)*0.02175),"")</f>
        <v/>
      </c>
      <c r="X219" s="69" t="inlineStr"/>
      <c r="Y219" s="70" t="inlineStr"/>
      <c r="AC219" s="71" t="n"/>
      <c r="AZ219" s="194" t="inlineStr">
        <is>
          <t>КИ</t>
        </is>
      </c>
    </row>
    <row r="220" ht="27" customHeight="1">
      <c r="A220" s="64" t="inlineStr">
        <is>
          <t>SU001727</t>
        </is>
      </c>
      <c r="B220" s="64" t="inlineStr">
        <is>
          <t>P002205</t>
        </is>
      </c>
      <c r="C220" s="37" t="n">
        <v>4301051116</v>
      </c>
      <c r="D220" s="324" t="n">
        <v>4607091387957</v>
      </c>
      <c r="E220" s="636" t="n"/>
      <c r="F220" s="668" t="n">
        <v>1.3</v>
      </c>
      <c r="G220" s="38" t="n">
        <v>6</v>
      </c>
      <c r="H220" s="668" t="n">
        <v>7.8</v>
      </c>
      <c r="I220" s="668" t="n">
        <v>8.364000000000001</v>
      </c>
      <c r="J220" s="38" t="n">
        <v>56</v>
      </c>
      <c r="K220" s="39" t="inlineStr">
        <is>
          <t>СК2</t>
        </is>
      </c>
      <c r="L220" s="38" t="n">
        <v>40</v>
      </c>
      <c r="M220" s="798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N220" s="670" t="n"/>
      <c r="O220" s="670" t="n"/>
      <c r="P220" s="670" t="n"/>
      <c r="Q220" s="636" t="n"/>
      <c r="R220" s="40" t="inlineStr"/>
      <c r="S220" s="40" t="inlineStr"/>
      <c r="T220" s="41" t="inlineStr">
        <is>
          <t>кг</t>
        </is>
      </c>
      <c r="U220" s="671" t="n">
        <v>0</v>
      </c>
      <c r="V220" s="672">
        <f>IFERROR(IF(U220="",0,CEILING((U220/$H220),1)*$H220),"")</f>
        <v/>
      </c>
      <c r="W220" s="42">
        <f>IFERROR(IF(V220=0,"",ROUNDUP(V220/H220,0)*0.02175),"")</f>
        <v/>
      </c>
      <c r="X220" s="69" t="inlineStr"/>
      <c r="Y220" s="70" t="inlineStr"/>
      <c r="AC220" s="71" t="n"/>
      <c r="AZ220" s="195" t="inlineStr">
        <is>
          <t>КИ</t>
        </is>
      </c>
    </row>
    <row r="221" ht="27" customHeight="1">
      <c r="A221" s="64" t="inlineStr">
        <is>
          <t>SU001728</t>
        </is>
      </c>
      <c r="B221" s="64" t="inlineStr">
        <is>
          <t>P002207</t>
        </is>
      </c>
      <c r="C221" s="37" t="n">
        <v>4301051115</v>
      </c>
      <c r="D221" s="324" t="n">
        <v>4607091387964</v>
      </c>
      <c r="E221" s="636" t="n"/>
      <c r="F221" s="668" t="n">
        <v>1.35</v>
      </c>
      <c r="G221" s="38" t="n">
        <v>6</v>
      </c>
      <c r="H221" s="668" t="n">
        <v>8.1</v>
      </c>
      <c r="I221" s="668" t="n">
        <v>8.646000000000001</v>
      </c>
      <c r="J221" s="38" t="n">
        <v>56</v>
      </c>
      <c r="K221" s="39" t="inlineStr">
        <is>
          <t>СК2</t>
        </is>
      </c>
      <c r="L221" s="38" t="n">
        <v>40</v>
      </c>
      <c r="M221" s="799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N221" s="670" t="n"/>
      <c r="O221" s="670" t="n"/>
      <c r="P221" s="670" t="n"/>
      <c r="Q221" s="636" t="n"/>
      <c r="R221" s="40" t="inlineStr"/>
      <c r="S221" s="40" t="inlineStr"/>
      <c r="T221" s="41" t="inlineStr">
        <is>
          <t>кг</t>
        </is>
      </c>
      <c r="U221" s="671" t="n">
        <v>0</v>
      </c>
      <c r="V221" s="672">
        <f>IFERROR(IF(U221="",0,CEILING((U221/$H221),1)*$H221),"")</f>
        <v/>
      </c>
      <c r="W221" s="42">
        <f>IFERROR(IF(V221=0,"",ROUNDUP(V221/H221,0)*0.02175),"")</f>
        <v/>
      </c>
      <c r="X221" s="69" t="inlineStr"/>
      <c r="Y221" s="70" t="inlineStr"/>
      <c r="AC221" s="71" t="n"/>
      <c r="AZ221" s="196" t="inlineStr">
        <is>
          <t>КИ</t>
        </is>
      </c>
    </row>
    <row r="222" ht="16.5" customHeight="1">
      <c r="A222" s="64" t="inlineStr">
        <is>
          <t>SU001341</t>
        </is>
      </c>
      <c r="B222" s="64" t="inlineStr">
        <is>
          <t>P002204</t>
        </is>
      </c>
      <c r="C222" s="37" t="n">
        <v>4301051134</v>
      </c>
      <c r="D222" s="324" t="n">
        <v>4607091381672</v>
      </c>
      <c r="E222" s="636" t="n"/>
      <c r="F222" s="668" t="n">
        <v>0.6</v>
      </c>
      <c r="G222" s="38" t="n">
        <v>6</v>
      </c>
      <c r="H222" s="668" t="n">
        <v>3.6</v>
      </c>
      <c r="I222" s="668" t="n">
        <v>3.876</v>
      </c>
      <c r="J222" s="38" t="n">
        <v>120</v>
      </c>
      <c r="K222" s="39" t="inlineStr">
        <is>
          <t>СК2</t>
        </is>
      </c>
      <c r="L222" s="38" t="n">
        <v>40</v>
      </c>
      <c r="M222" s="800">
        <f>HYPERLINK("https://abi.ru/products/Охлажденные/Стародворье/Бордо/Сосиски/P002204/","Сосиски Ганноверские Бордо Фикс.вес 0,6 П/а мгс Баварушка")</f>
        <v/>
      </c>
      <c r="N222" s="670" t="n"/>
      <c r="O222" s="670" t="n"/>
      <c r="P222" s="670" t="n"/>
      <c r="Q222" s="636" t="n"/>
      <c r="R222" s="40" t="inlineStr"/>
      <c r="S222" s="40" t="inlineStr"/>
      <c r="T222" s="41" t="inlineStr">
        <is>
          <t>кг</t>
        </is>
      </c>
      <c r="U222" s="671" t="n">
        <v>0</v>
      </c>
      <c r="V222" s="672">
        <f>IFERROR(IF(U222="",0,CEILING((U222/$H222),1)*$H222),"")</f>
        <v/>
      </c>
      <c r="W222" s="42">
        <f>IFERROR(IF(V222=0,"",ROUNDUP(V222/H222,0)*0.00937),"")</f>
        <v/>
      </c>
      <c r="X222" s="69" t="inlineStr"/>
      <c r="Y222" s="70" t="inlineStr"/>
      <c r="AC222" s="71" t="n"/>
      <c r="AZ222" s="197" t="inlineStr">
        <is>
          <t>КИ</t>
        </is>
      </c>
    </row>
    <row r="223" ht="27" customHeight="1">
      <c r="A223" s="64" t="inlineStr">
        <is>
          <t>SU001763</t>
        </is>
      </c>
      <c r="B223" s="64" t="inlineStr">
        <is>
          <t>P002206</t>
        </is>
      </c>
      <c r="C223" s="37" t="n">
        <v>4301051130</v>
      </c>
      <c r="D223" s="324" t="n">
        <v>4607091387537</v>
      </c>
      <c r="E223" s="636" t="n"/>
      <c r="F223" s="668" t="n">
        <v>0.45</v>
      </c>
      <c r="G223" s="38" t="n">
        <v>6</v>
      </c>
      <c r="H223" s="668" t="n">
        <v>2.7</v>
      </c>
      <c r="I223" s="668" t="n">
        <v>2.99</v>
      </c>
      <c r="J223" s="38" t="n">
        <v>156</v>
      </c>
      <c r="K223" s="39" t="inlineStr">
        <is>
          <t>СК2</t>
        </is>
      </c>
      <c r="L223" s="38" t="n">
        <v>40</v>
      </c>
      <c r="M223" s="801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N223" s="670" t="n"/>
      <c r="O223" s="670" t="n"/>
      <c r="P223" s="670" t="n"/>
      <c r="Q223" s="636" t="n"/>
      <c r="R223" s="40" t="inlineStr"/>
      <c r="S223" s="40" t="inlineStr"/>
      <c r="T223" s="41" t="inlineStr">
        <is>
          <t>кг</t>
        </is>
      </c>
      <c r="U223" s="671" t="n">
        <v>0</v>
      </c>
      <c r="V223" s="672">
        <f>IFERROR(IF(U223="",0,CEILING((U223/$H223),1)*$H223),"")</f>
        <v/>
      </c>
      <c r="W223" s="42">
        <f>IFERROR(IF(V223=0,"",ROUNDUP(V223/H223,0)*0.00753),"")</f>
        <v/>
      </c>
      <c r="X223" s="69" t="inlineStr"/>
      <c r="Y223" s="70" t="inlineStr"/>
      <c r="AC223" s="71" t="n"/>
      <c r="AZ223" s="198" t="inlineStr">
        <is>
          <t>КИ</t>
        </is>
      </c>
    </row>
    <row r="224" ht="27" customHeight="1">
      <c r="A224" s="64" t="inlineStr">
        <is>
          <t>SU001762</t>
        </is>
      </c>
      <c r="B224" s="64" t="inlineStr">
        <is>
          <t>P002208</t>
        </is>
      </c>
      <c r="C224" s="37" t="n">
        <v>4301051132</v>
      </c>
      <c r="D224" s="324" t="n">
        <v>4607091387513</v>
      </c>
      <c r="E224" s="636" t="n"/>
      <c r="F224" s="668" t="n">
        <v>0.45</v>
      </c>
      <c r="G224" s="38" t="n">
        <v>6</v>
      </c>
      <c r="H224" s="668" t="n">
        <v>2.7</v>
      </c>
      <c r="I224" s="668" t="n">
        <v>2.978</v>
      </c>
      <c r="J224" s="38" t="n">
        <v>156</v>
      </c>
      <c r="K224" s="39" t="inlineStr">
        <is>
          <t>СК2</t>
        </is>
      </c>
      <c r="L224" s="38" t="n">
        <v>40</v>
      </c>
      <c r="M224" s="802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N224" s="670" t="n"/>
      <c r="O224" s="670" t="n"/>
      <c r="P224" s="670" t="n"/>
      <c r="Q224" s="636" t="n"/>
      <c r="R224" s="40" t="inlineStr"/>
      <c r="S224" s="40" t="inlineStr"/>
      <c r="T224" s="41" t="inlineStr">
        <is>
          <t>кг</t>
        </is>
      </c>
      <c r="U224" s="671" t="n">
        <v>0</v>
      </c>
      <c r="V224" s="672">
        <f>IFERROR(IF(U224="",0,CEILING((U224/$H224),1)*$H224),"")</f>
        <v/>
      </c>
      <c r="W224" s="42">
        <f>IFERROR(IF(V224=0,"",ROUNDUP(V224/H224,0)*0.00753),"")</f>
        <v/>
      </c>
      <c r="X224" s="69" t="inlineStr"/>
      <c r="Y224" s="70" t="inlineStr"/>
      <c r="AC224" s="71" t="n"/>
      <c r="AZ224" s="199" t="inlineStr">
        <is>
          <t>КИ</t>
        </is>
      </c>
    </row>
    <row r="225">
      <c r="A225" s="319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673" t="n"/>
      <c r="M225" s="674" t="inlineStr">
        <is>
          <t>Итого</t>
        </is>
      </c>
      <c r="N225" s="644" t="n"/>
      <c r="O225" s="644" t="n"/>
      <c r="P225" s="644" t="n"/>
      <c r="Q225" s="644" t="n"/>
      <c r="R225" s="644" t="n"/>
      <c r="S225" s="645" t="n"/>
      <c r="T225" s="43" t="inlineStr">
        <is>
          <t>кор</t>
        </is>
      </c>
      <c r="U225" s="675">
        <f>IFERROR(U219/H219,"0")+IFERROR(U220/H220,"0")+IFERROR(U221/H221,"0")+IFERROR(U222/H222,"0")+IFERROR(U223/H223,"0")+IFERROR(U224/H224,"0")</f>
        <v/>
      </c>
      <c r="V225" s="675">
        <f>IFERROR(V219/H219,"0")+IFERROR(V220/H220,"0")+IFERROR(V221/H221,"0")+IFERROR(V222/H222,"0")+IFERROR(V223/H223,"0")+IFERROR(V224/H224,"0")</f>
        <v/>
      </c>
      <c r="W225" s="675">
        <f>IFERROR(IF(W219="",0,W219),"0")+IFERROR(IF(W220="",0,W220),"0")+IFERROR(IF(W221="",0,W221),"0")+IFERROR(IF(W222="",0,W222),"0")+IFERROR(IF(W223="",0,W223),"0")+IFERROR(IF(W224="",0,W224),"0")</f>
        <v/>
      </c>
      <c r="X225" s="676" t="n"/>
      <c r="Y225" s="676" t="n"/>
    </row>
    <row r="226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673" t="n"/>
      <c r="M226" s="674" t="inlineStr">
        <is>
          <t>Итого</t>
        </is>
      </c>
      <c r="N226" s="644" t="n"/>
      <c r="O226" s="644" t="n"/>
      <c r="P226" s="644" t="n"/>
      <c r="Q226" s="644" t="n"/>
      <c r="R226" s="644" t="n"/>
      <c r="S226" s="645" t="n"/>
      <c r="T226" s="43" t="inlineStr">
        <is>
          <t>кг</t>
        </is>
      </c>
      <c r="U226" s="675">
        <f>IFERROR(SUM(U219:U224),"0")</f>
        <v/>
      </c>
      <c r="V226" s="675">
        <f>IFERROR(SUM(V219:V224),"0")</f>
        <v/>
      </c>
      <c r="W226" s="43" t="n"/>
      <c r="X226" s="676" t="n"/>
      <c r="Y226" s="676" t="n"/>
    </row>
    <row r="227" ht="14.25" customHeight="1">
      <c r="A227" s="329" t="inlineStr">
        <is>
          <t>Сардельки</t>
        </is>
      </c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329" t="n"/>
      <c r="Y227" s="329" t="n"/>
    </row>
    <row r="228" ht="16.5" customHeight="1">
      <c r="A228" s="64" t="inlineStr">
        <is>
          <t>SU001051</t>
        </is>
      </c>
      <c r="B228" s="64" t="inlineStr">
        <is>
          <t>P002061</t>
        </is>
      </c>
      <c r="C228" s="37" t="n">
        <v>4301060326</v>
      </c>
      <c r="D228" s="324" t="n">
        <v>4607091380880</v>
      </c>
      <c r="E228" s="636" t="n"/>
      <c r="F228" s="668" t="n">
        <v>1.4</v>
      </c>
      <c r="G228" s="38" t="n">
        <v>6</v>
      </c>
      <c r="H228" s="668" t="n">
        <v>8.4</v>
      </c>
      <c r="I228" s="668" t="n">
        <v>8.964</v>
      </c>
      <c r="J228" s="38" t="n">
        <v>56</v>
      </c>
      <c r="K228" s="39" t="inlineStr">
        <is>
          <t>СК2</t>
        </is>
      </c>
      <c r="L228" s="38" t="n">
        <v>30</v>
      </c>
      <c r="M228" s="803">
        <f>HYPERLINK("https://abi.ru/products/Охлажденные/Стародворье/Бордо/Сардельки/P002061/","Сардельки Нежные Бордо Весовые н/о мгс Стародворье")</f>
        <v/>
      </c>
      <c r="N228" s="670" t="n"/>
      <c r="O228" s="670" t="n"/>
      <c r="P228" s="670" t="n"/>
      <c r="Q228" s="636" t="n"/>
      <c r="R228" s="40" t="inlineStr"/>
      <c r="S228" s="40" t="inlineStr"/>
      <c r="T228" s="41" t="inlineStr">
        <is>
          <t>кг</t>
        </is>
      </c>
      <c r="U228" s="671" t="n">
        <v>0</v>
      </c>
      <c r="V228" s="672">
        <f>IFERROR(IF(U228="",0,CEILING((U228/$H228),1)*$H228),"")</f>
        <v/>
      </c>
      <c r="W228" s="42">
        <f>IFERROR(IF(V228=0,"",ROUNDUP(V228/H228,0)*0.02175),"")</f>
        <v/>
      </c>
      <c r="X228" s="69" t="inlineStr"/>
      <c r="Y228" s="70" t="inlineStr"/>
      <c r="AC228" s="71" t="n"/>
      <c r="AZ228" s="200" t="inlineStr">
        <is>
          <t>КИ</t>
        </is>
      </c>
    </row>
    <row r="229" ht="27" customHeight="1">
      <c r="A229" s="64" t="inlineStr">
        <is>
          <t>SU000227</t>
        </is>
      </c>
      <c r="B229" s="64" t="inlineStr">
        <is>
          <t>P002536</t>
        </is>
      </c>
      <c r="C229" s="37" t="n">
        <v>4301060308</v>
      </c>
      <c r="D229" s="324" t="n">
        <v>4607091384482</v>
      </c>
      <c r="E229" s="636" t="n"/>
      <c r="F229" s="668" t="n">
        <v>1.3</v>
      </c>
      <c r="G229" s="38" t="n">
        <v>6</v>
      </c>
      <c r="H229" s="668" t="n">
        <v>7.8</v>
      </c>
      <c r="I229" s="668" t="n">
        <v>8.364000000000001</v>
      </c>
      <c r="J229" s="38" t="n">
        <v>56</v>
      </c>
      <c r="K229" s="39" t="inlineStr">
        <is>
          <t>СК2</t>
        </is>
      </c>
      <c r="L229" s="38" t="n">
        <v>30</v>
      </c>
      <c r="M229" s="804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N229" s="670" t="n"/>
      <c r="O229" s="670" t="n"/>
      <c r="P229" s="670" t="n"/>
      <c r="Q229" s="636" t="n"/>
      <c r="R229" s="40" t="inlineStr"/>
      <c r="S229" s="40" t="inlineStr"/>
      <c r="T229" s="41" t="inlineStr">
        <is>
          <t>кг</t>
        </is>
      </c>
      <c r="U229" s="671" t="n">
        <v>0</v>
      </c>
      <c r="V229" s="672">
        <f>IFERROR(IF(U229="",0,CEILING((U229/$H229),1)*$H229),"")</f>
        <v/>
      </c>
      <c r="W229" s="42">
        <f>IFERROR(IF(V229=0,"",ROUNDUP(V229/H229,0)*0.02175),"")</f>
        <v/>
      </c>
      <c r="X229" s="69" t="inlineStr"/>
      <c r="Y229" s="70" t="inlineStr"/>
      <c r="AC229" s="71" t="n"/>
      <c r="AZ229" s="201" t="inlineStr">
        <is>
          <t>КИ</t>
        </is>
      </c>
    </row>
    <row r="230" ht="16.5" customHeight="1">
      <c r="A230" s="64" t="inlineStr">
        <is>
          <t>SU001430</t>
        </is>
      </c>
      <c r="B230" s="64" t="inlineStr">
        <is>
          <t>P002036</t>
        </is>
      </c>
      <c r="C230" s="37" t="n">
        <v>4301060325</v>
      </c>
      <c r="D230" s="324" t="n">
        <v>4607091380897</v>
      </c>
      <c r="E230" s="636" t="n"/>
      <c r="F230" s="668" t="n">
        <v>1.4</v>
      </c>
      <c r="G230" s="38" t="n">
        <v>6</v>
      </c>
      <c r="H230" s="668" t="n">
        <v>8.4</v>
      </c>
      <c r="I230" s="668" t="n">
        <v>8.964</v>
      </c>
      <c r="J230" s="38" t="n">
        <v>56</v>
      </c>
      <c r="K230" s="39" t="inlineStr">
        <is>
          <t>СК2</t>
        </is>
      </c>
      <c r="L230" s="38" t="n">
        <v>30</v>
      </c>
      <c r="M230" s="805">
        <f>HYPERLINK("https://abi.ru/products/Охлажденные/Стародворье/Бордо/Сардельки/P002036/","Сардельки Шпикачки Бордо Весовые NDX мгс Стародворье")</f>
        <v/>
      </c>
      <c r="N230" s="670" t="n"/>
      <c r="O230" s="670" t="n"/>
      <c r="P230" s="670" t="n"/>
      <c r="Q230" s="636" t="n"/>
      <c r="R230" s="40" t="inlineStr"/>
      <c r="S230" s="40" t="inlineStr"/>
      <c r="T230" s="41" t="inlineStr">
        <is>
          <t>кг</t>
        </is>
      </c>
      <c r="U230" s="671" t="n">
        <v>0</v>
      </c>
      <c r="V230" s="672">
        <f>IFERROR(IF(U230="",0,CEILING((U230/$H230),1)*$H230),"")</f>
        <v/>
      </c>
      <c r="W230" s="42">
        <f>IFERROR(IF(V230=0,"",ROUNDUP(V230/H230,0)*0.02175),"")</f>
        <v/>
      </c>
      <c r="X230" s="69" t="inlineStr"/>
      <c r="Y230" s="70" t="inlineStr"/>
      <c r="AC230" s="71" t="n"/>
      <c r="AZ230" s="202" t="inlineStr">
        <is>
          <t>КИ</t>
        </is>
      </c>
    </row>
    <row r="231" ht="16.5" customHeight="1">
      <c r="A231" s="64" t="inlineStr">
        <is>
          <t>SU002691</t>
        </is>
      </c>
      <c r="B231" s="64" t="inlineStr">
        <is>
          <t>P003055</t>
        </is>
      </c>
      <c r="C231" s="37" t="n">
        <v>4301060337</v>
      </c>
      <c r="D231" s="324" t="n">
        <v>4680115880368</v>
      </c>
      <c r="E231" s="636" t="n"/>
      <c r="F231" s="668" t="n">
        <v>1</v>
      </c>
      <c r="G231" s="38" t="n">
        <v>4</v>
      </c>
      <c r="H231" s="668" t="n">
        <v>4</v>
      </c>
      <c r="I231" s="668" t="n">
        <v>4.36</v>
      </c>
      <c r="J231" s="38" t="n">
        <v>104</v>
      </c>
      <c r="K231" s="39" t="inlineStr">
        <is>
          <t>СК3</t>
        </is>
      </c>
      <c r="L231" s="38" t="n">
        <v>40</v>
      </c>
      <c r="M231" s="806">
        <f>HYPERLINK("https://abi.ru/products/Охлажденные/Стародворье/Бордо/Сардельки/P003055/","Сардельки Царедворские Бордо ф/в 1 кг п/а Стародворье")</f>
        <v/>
      </c>
      <c r="N231" s="670" t="n"/>
      <c r="O231" s="670" t="n"/>
      <c r="P231" s="670" t="n"/>
      <c r="Q231" s="636" t="n"/>
      <c r="R231" s="40" t="inlineStr"/>
      <c r="S231" s="40" t="inlineStr"/>
      <c r="T231" s="41" t="inlineStr">
        <is>
          <t>кг</t>
        </is>
      </c>
      <c r="U231" s="671" t="n">
        <v>0</v>
      </c>
      <c r="V231" s="672">
        <f>IFERROR(IF(U231="",0,CEILING((U231/$H231),1)*$H231),"")</f>
        <v/>
      </c>
      <c r="W231" s="42">
        <f>IFERROR(IF(V231=0,"",ROUNDUP(V231/H231,0)*0.01196),"")</f>
        <v/>
      </c>
      <c r="X231" s="69" t="inlineStr"/>
      <c r="Y231" s="70" t="inlineStr"/>
      <c r="AC231" s="71" t="n"/>
      <c r="AZ231" s="203" t="inlineStr">
        <is>
          <t>КИ</t>
        </is>
      </c>
    </row>
    <row r="232">
      <c r="A232" s="319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673" t="n"/>
      <c r="M232" s="674" t="inlineStr">
        <is>
          <t>Итого</t>
        </is>
      </c>
      <c r="N232" s="644" t="n"/>
      <c r="O232" s="644" t="n"/>
      <c r="P232" s="644" t="n"/>
      <c r="Q232" s="644" t="n"/>
      <c r="R232" s="644" t="n"/>
      <c r="S232" s="645" t="n"/>
      <c r="T232" s="43" t="inlineStr">
        <is>
          <t>кор</t>
        </is>
      </c>
      <c r="U232" s="675">
        <f>IFERROR(U228/H228,"0")+IFERROR(U229/H229,"0")+IFERROR(U230/H230,"0")+IFERROR(U231/H231,"0")</f>
        <v/>
      </c>
      <c r="V232" s="675">
        <f>IFERROR(V228/H228,"0")+IFERROR(V229/H229,"0")+IFERROR(V230/H230,"0")+IFERROR(V231/H231,"0")</f>
        <v/>
      </c>
      <c r="W232" s="675">
        <f>IFERROR(IF(W228="",0,W228),"0")+IFERROR(IF(W229="",0,W229),"0")+IFERROR(IF(W230="",0,W230),"0")+IFERROR(IF(W231="",0,W231),"0")</f>
        <v/>
      </c>
      <c r="X232" s="676" t="n"/>
      <c r="Y232" s="676" t="n"/>
    </row>
    <row r="233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673" t="n"/>
      <c r="M233" s="674" t="inlineStr">
        <is>
          <t>Итого</t>
        </is>
      </c>
      <c r="N233" s="644" t="n"/>
      <c r="O233" s="644" t="n"/>
      <c r="P233" s="644" t="n"/>
      <c r="Q233" s="644" t="n"/>
      <c r="R233" s="644" t="n"/>
      <c r="S233" s="645" t="n"/>
      <c r="T233" s="43" t="inlineStr">
        <is>
          <t>кг</t>
        </is>
      </c>
      <c r="U233" s="675">
        <f>IFERROR(SUM(U228:U231),"0")</f>
        <v/>
      </c>
      <c r="V233" s="675">
        <f>IFERROR(SUM(V228:V231),"0")</f>
        <v/>
      </c>
      <c r="W233" s="43" t="n"/>
      <c r="X233" s="676" t="n"/>
      <c r="Y233" s="676" t="n"/>
    </row>
    <row r="234" ht="14.25" customHeight="1">
      <c r="A234" s="329" t="inlineStr">
        <is>
          <t>Сырокопченые колбасы</t>
        </is>
      </c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329" t="n"/>
      <c r="Y234" s="329" t="n"/>
    </row>
    <row r="235" ht="16.5" customHeight="1">
      <c r="A235" s="64" t="inlineStr">
        <is>
          <t>SU001920</t>
        </is>
      </c>
      <c r="B235" s="64" t="inlineStr">
        <is>
          <t>P001900</t>
        </is>
      </c>
      <c r="C235" s="37" t="n">
        <v>4301030232</v>
      </c>
      <c r="D235" s="324" t="n">
        <v>4607091388374</v>
      </c>
      <c r="E235" s="636" t="n"/>
      <c r="F235" s="668" t="n">
        <v>0.38</v>
      </c>
      <c r="G235" s="38" t="n">
        <v>8</v>
      </c>
      <c r="H235" s="668" t="n">
        <v>3.04</v>
      </c>
      <c r="I235" s="668" t="n">
        <v>3.28</v>
      </c>
      <c r="J235" s="38" t="n">
        <v>156</v>
      </c>
      <c r="K235" s="39" t="inlineStr">
        <is>
          <t>АК</t>
        </is>
      </c>
      <c r="L235" s="38" t="n">
        <v>180</v>
      </c>
      <c r="M235" s="807" t="inlineStr">
        <is>
          <t>С/к колбасы Княжеская Бордо Весовые б/о терм/п Стародворье</t>
        </is>
      </c>
      <c r="N235" s="670" t="n"/>
      <c r="O235" s="670" t="n"/>
      <c r="P235" s="670" t="n"/>
      <c r="Q235" s="636" t="n"/>
      <c r="R235" s="40" t="inlineStr"/>
      <c r="S235" s="40" t="inlineStr"/>
      <c r="T235" s="41" t="inlineStr">
        <is>
          <t>кг</t>
        </is>
      </c>
      <c r="U235" s="671" t="n">
        <v>0</v>
      </c>
      <c r="V235" s="672">
        <f>IFERROR(IF(U235="",0,CEILING((U235/$H235),1)*$H235),"")</f>
        <v/>
      </c>
      <c r="W235" s="42">
        <f>IFERROR(IF(V235=0,"",ROUNDUP(V235/H235,0)*0.00753),"")</f>
        <v/>
      </c>
      <c r="X235" s="69" t="inlineStr"/>
      <c r="Y235" s="70" t="inlineStr"/>
      <c r="AC235" s="71" t="n"/>
      <c r="AZ235" s="204" t="inlineStr">
        <is>
          <t>КИ</t>
        </is>
      </c>
    </row>
    <row r="236" ht="27" customHeight="1">
      <c r="A236" s="64" t="inlineStr">
        <is>
          <t>SU001921</t>
        </is>
      </c>
      <c r="B236" s="64" t="inlineStr">
        <is>
          <t>P001916</t>
        </is>
      </c>
      <c r="C236" s="37" t="n">
        <v>4301030235</v>
      </c>
      <c r="D236" s="324" t="n">
        <v>4607091388381</v>
      </c>
      <c r="E236" s="636" t="n"/>
      <c r="F236" s="668" t="n">
        <v>0.38</v>
      </c>
      <c r="G236" s="38" t="n">
        <v>8</v>
      </c>
      <c r="H236" s="668" t="n">
        <v>3.04</v>
      </c>
      <c r="I236" s="668" t="n">
        <v>3.32</v>
      </c>
      <c r="J236" s="38" t="n">
        <v>156</v>
      </c>
      <c r="K236" s="39" t="inlineStr">
        <is>
          <t>АК</t>
        </is>
      </c>
      <c r="L236" s="38" t="n">
        <v>180</v>
      </c>
      <c r="M236" s="808" t="inlineStr">
        <is>
          <t>С/к колбасы Салями Охотничья Бордо Весовые б/о терм/п 180 Стародворье</t>
        </is>
      </c>
      <c r="N236" s="670" t="n"/>
      <c r="O236" s="670" t="n"/>
      <c r="P236" s="670" t="n"/>
      <c r="Q236" s="636" t="n"/>
      <c r="R236" s="40" t="inlineStr"/>
      <c r="S236" s="40" t="inlineStr"/>
      <c r="T236" s="41" t="inlineStr">
        <is>
          <t>кг</t>
        </is>
      </c>
      <c r="U236" s="671" t="n">
        <v>0</v>
      </c>
      <c r="V236" s="672">
        <f>IFERROR(IF(U236="",0,CEILING((U236/$H236),1)*$H236),"")</f>
        <v/>
      </c>
      <c r="W236" s="42">
        <f>IFERROR(IF(V236=0,"",ROUNDUP(V236/H236,0)*0.00753),"")</f>
        <v/>
      </c>
      <c r="X236" s="69" t="inlineStr"/>
      <c r="Y236" s="70" t="inlineStr"/>
      <c r="AC236" s="71" t="n"/>
      <c r="AZ236" s="205" t="inlineStr">
        <is>
          <t>КИ</t>
        </is>
      </c>
    </row>
    <row r="237" ht="27" customHeight="1">
      <c r="A237" s="64" t="inlineStr">
        <is>
          <t>SU001869</t>
        </is>
      </c>
      <c r="B237" s="64" t="inlineStr">
        <is>
          <t>P001909</t>
        </is>
      </c>
      <c r="C237" s="37" t="n">
        <v>4301030233</v>
      </c>
      <c r="D237" s="324" t="n">
        <v>4607091388404</v>
      </c>
      <c r="E237" s="636" t="n"/>
      <c r="F237" s="668" t="n">
        <v>0.17</v>
      </c>
      <c r="G237" s="38" t="n">
        <v>15</v>
      </c>
      <c r="H237" s="668" t="n">
        <v>2.55</v>
      </c>
      <c r="I237" s="668" t="n">
        <v>2.9</v>
      </c>
      <c r="J237" s="38" t="n">
        <v>156</v>
      </c>
      <c r="K237" s="39" t="inlineStr">
        <is>
          <t>АК</t>
        </is>
      </c>
      <c r="L237" s="38" t="n">
        <v>180</v>
      </c>
      <c r="M237" s="809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N237" s="670" t="n"/>
      <c r="O237" s="670" t="n"/>
      <c r="P237" s="670" t="n"/>
      <c r="Q237" s="636" t="n"/>
      <c r="R237" s="40" t="inlineStr"/>
      <c r="S237" s="40" t="inlineStr"/>
      <c r="T237" s="41" t="inlineStr">
        <is>
          <t>кг</t>
        </is>
      </c>
      <c r="U237" s="671" t="n">
        <v>0</v>
      </c>
      <c r="V237" s="672">
        <f>IFERROR(IF(U237="",0,CEILING((U237/$H237),1)*$H237),"")</f>
        <v/>
      </c>
      <c r="W237" s="42">
        <f>IFERROR(IF(V237=0,"",ROUNDUP(V237/H237,0)*0.00753),"")</f>
        <v/>
      </c>
      <c r="X237" s="69" t="inlineStr"/>
      <c r="Y237" s="70" t="inlineStr"/>
      <c r="AC237" s="71" t="n"/>
      <c r="AZ237" s="206" t="inlineStr">
        <is>
          <t>КИ</t>
        </is>
      </c>
    </row>
    <row r="238">
      <c r="A238" s="319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673" t="n"/>
      <c r="M238" s="674" t="inlineStr">
        <is>
          <t>Итого</t>
        </is>
      </c>
      <c r="N238" s="644" t="n"/>
      <c r="O238" s="644" t="n"/>
      <c r="P238" s="644" t="n"/>
      <c r="Q238" s="644" t="n"/>
      <c r="R238" s="644" t="n"/>
      <c r="S238" s="645" t="n"/>
      <c r="T238" s="43" t="inlineStr">
        <is>
          <t>кор</t>
        </is>
      </c>
      <c r="U238" s="675">
        <f>IFERROR(U235/H235,"0")+IFERROR(U236/H236,"0")+IFERROR(U237/H237,"0")</f>
        <v/>
      </c>
      <c r="V238" s="675">
        <f>IFERROR(V235/H235,"0")+IFERROR(V236/H236,"0")+IFERROR(V237/H237,"0")</f>
        <v/>
      </c>
      <c r="W238" s="675">
        <f>IFERROR(IF(W235="",0,W235),"0")+IFERROR(IF(W236="",0,W236),"0")+IFERROR(IF(W237="",0,W237),"0")</f>
        <v/>
      </c>
      <c r="X238" s="676" t="n"/>
      <c r="Y238" s="676" t="n"/>
    </row>
    <row r="239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673" t="n"/>
      <c r="M239" s="674" t="inlineStr">
        <is>
          <t>Итого</t>
        </is>
      </c>
      <c r="N239" s="644" t="n"/>
      <c r="O239" s="644" t="n"/>
      <c r="P239" s="644" t="n"/>
      <c r="Q239" s="644" t="n"/>
      <c r="R239" s="644" t="n"/>
      <c r="S239" s="645" t="n"/>
      <c r="T239" s="43" t="inlineStr">
        <is>
          <t>кг</t>
        </is>
      </c>
      <c r="U239" s="675">
        <f>IFERROR(SUM(U235:U237),"0")</f>
        <v/>
      </c>
      <c r="V239" s="675">
        <f>IFERROR(SUM(V235:V237),"0")</f>
        <v/>
      </c>
      <c r="W239" s="43" t="n"/>
      <c r="X239" s="676" t="n"/>
      <c r="Y239" s="676" t="n"/>
    </row>
    <row r="240" ht="14.25" customHeight="1">
      <c r="A240" s="329" t="inlineStr">
        <is>
          <t>Паштеты</t>
        </is>
      </c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329" t="n"/>
      <c r="Y240" s="329" t="n"/>
    </row>
    <row r="241" ht="16.5" customHeight="1">
      <c r="A241" s="64" t="inlineStr">
        <is>
          <t>SU002841</t>
        </is>
      </c>
      <c r="B241" s="64" t="inlineStr">
        <is>
          <t>P003253</t>
        </is>
      </c>
      <c r="C241" s="37" t="n">
        <v>4301180007</v>
      </c>
      <c r="D241" s="324" t="n">
        <v>4680115881808</v>
      </c>
      <c r="E241" s="636" t="n"/>
      <c r="F241" s="668" t="n">
        <v>0.1</v>
      </c>
      <c r="G241" s="38" t="n">
        <v>20</v>
      </c>
      <c r="H241" s="668" t="n">
        <v>2</v>
      </c>
      <c r="I241" s="668" t="n">
        <v>2.24</v>
      </c>
      <c r="J241" s="38" t="n">
        <v>238</v>
      </c>
      <c r="K241" s="39" t="inlineStr">
        <is>
          <t>РК</t>
        </is>
      </c>
      <c r="L241" s="38" t="n">
        <v>730</v>
      </c>
      <c r="M241" s="810">
        <f>HYPERLINK("https://abi.ru/products/Охлажденные/Стародворье/Бордо/Паштеты/P003253/","Паштеты «Любительский ГОСТ» Фикс.вес 0,1 ТМ «Стародворье»")</f>
        <v/>
      </c>
      <c r="N241" s="670" t="n"/>
      <c r="O241" s="670" t="n"/>
      <c r="P241" s="670" t="n"/>
      <c r="Q241" s="636" t="n"/>
      <c r="R241" s="40" t="inlineStr"/>
      <c r="S241" s="40" t="inlineStr"/>
      <c r="T241" s="41" t="inlineStr">
        <is>
          <t>кг</t>
        </is>
      </c>
      <c r="U241" s="671" t="n">
        <v>0</v>
      </c>
      <c r="V241" s="672">
        <f>IFERROR(IF(U241="",0,CEILING((U241/$H241),1)*$H241),"")</f>
        <v/>
      </c>
      <c r="W241" s="42">
        <f>IFERROR(IF(V241=0,"",ROUNDUP(V241/H241,0)*0.00474),"")</f>
        <v/>
      </c>
      <c r="X241" s="69" t="inlineStr"/>
      <c r="Y241" s="70" t="inlineStr"/>
      <c r="AC241" s="71" t="n"/>
      <c r="AZ241" s="207" t="inlineStr">
        <is>
          <t>КИ</t>
        </is>
      </c>
    </row>
    <row r="242" ht="27" customHeight="1">
      <c r="A242" s="64" t="inlineStr">
        <is>
          <t>SU002840</t>
        </is>
      </c>
      <c r="B242" s="64" t="inlineStr">
        <is>
          <t>P003252</t>
        </is>
      </c>
      <c r="C242" s="37" t="n">
        <v>4301180006</v>
      </c>
      <c r="D242" s="324" t="n">
        <v>4680115881822</v>
      </c>
      <c r="E242" s="636" t="n"/>
      <c r="F242" s="668" t="n">
        <v>0.1</v>
      </c>
      <c r="G242" s="38" t="n">
        <v>20</v>
      </c>
      <c r="H242" s="668" t="n">
        <v>2</v>
      </c>
      <c r="I242" s="668" t="n">
        <v>2.24</v>
      </c>
      <c r="J242" s="38" t="n">
        <v>238</v>
      </c>
      <c r="K242" s="39" t="inlineStr">
        <is>
          <t>РК</t>
        </is>
      </c>
      <c r="L242" s="38" t="n">
        <v>730</v>
      </c>
      <c r="M242" s="811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N242" s="670" t="n"/>
      <c r="O242" s="670" t="n"/>
      <c r="P242" s="670" t="n"/>
      <c r="Q242" s="636" t="n"/>
      <c r="R242" s="40" t="inlineStr"/>
      <c r="S242" s="40" t="inlineStr"/>
      <c r="T242" s="41" t="inlineStr">
        <is>
          <t>кг</t>
        </is>
      </c>
      <c r="U242" s="671" t="n">
        <v>0</v>
      </c>
      <c r="V242" s="672">
        <f>IFERROR(IF(U242="",0,CEILING((U242/$H242),1)*$H242),"")</f>
        <v/>
      </c>
      <c r="W242" s="42">
        <f>IFERROR(IF(V242=0,"",ROUNDUP(V242/H242,0)*0.00474),"")</f>
        <v/>
      </c>
      <c r="X242" s="69" t="inlineStr"/>
      <c r="Y242" s="70" t="inlineStr"/>
      <c r="AC242" s="71" t="n"/>
      <c r="AZ242" s="208" t="inlineStr">
        <is>
          <t>КИ</t>
        </is>
      </c>
    </row>
    <row r="243" ht="27" customHeight="1">
      <c r="A243" s="64" t="inlineStr">
        <is>
          <t>SU002368</t>
        </is>
      </c>
      <c r="B243" s="64" t="inlineStr">
        <is>
          <t>P002648</t>
        </is>
      </c>
      <c r="C243" s="37" t="n">
        <v>4301180001</v>
      </c>
      <c r="D243" s="324" t="n">
        <v>4680115880016</v>
      </c>
      <c r="E243" s="636" t="n"/>
      <c r="F243" s="668" t="n">
        <v>0.1</v>
      </c>
      <c r="G243" s="38" t="n">
        <v>20</v>
      </c>
      <c r="H243" s="668" t="n">
        <v>2</v>
      </c>
      <c r="I243" s="668" t="n">
        <v>2.24</v>
      </c>
      <c r="J243" s="38" t="n">
        <v>238</v>
      </c>
      <c r="K243" s="39" t="inlineStr">
        <is>
          <t>РК</t>
        </is>
      </c>
      <c r="L243" s="38" t="n">
        <v>730</v>
      </c>
      <c r="M243" s="812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N243" s="670" t="n"/>
      <c r="O243" s="670" t="n"/>
      <c r="P243" s="670" t="n"/>
      <c r="Q243" s="636" t="n"/>
      <c r="R243" s="40" t="inlineStr"/>
      <c r="S243" s="40" t="inlineStr"/>
      <c r="T243" s="41" t="inlineStr">
        <is>
          <t>кг</t>
        </is>
      </c>
      <c r="U243" s="671" t="n">
        <v>0</v>
      </c>
      <c r="V243" s="672">
        <f>IFERROR(IF(U243="",0,CEILING((U243/$H243),1)*$H243),"")</f>
        <v/>
      </c>
      <c r="W243" s="42">
        <f>IFERROR(IF(V243=0,"",ROUNDUP(V243/H243,0)*0.00474),"")</f>
        <v/>
      </c>
      <c r="X243" s="69" t="inlineStr"/>
      <c r="Y243" s="70" t="inlineStr"/>
      <c r="AC243" s="71" t="n"/>
      <c r="AZ243" s="209" t="inlineStr">
        <is>
          <t>КИ</t>
        </is>
      </c>
    </row>
    <row r="244">
      <c r="A244" s="319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673" t="n"/>
      <c r="M244" s="674" t="inlineStr">
        <is>
          <t>Итого</t>
        </is>
      </c>
      <c r="N244" s="644" t="n"/>
      <c r="O244" s="644" t="n"/>
      <c r="P244" s="644" t="n"/>
      <c r="Q244" s="644" t="n"/>
      <c r="R244" s="644" t="n"/>
      <c r="S244" s="645" t="n"/>
      <c r="T244" s="43" t="inlineStr">
        <is>
          <t>кор</t>
        </is>
      </c>
      <c r="U244" s="675">
        <f>IFERROR(U241/H241,"0")+IFERROR(U242/H242,"0")+IFERROR(U243/H243,"0")</f>
        <v/>
      </c>
      <c r="V244" s="675">
        <f>IFERROR(V241/H241,"0")+IFERROR(V242/H242,"0")+IFERROR(V243/H243,"0")</f>
        <v/>
      </c>
      <c r="W244" s="675">
        <f>IFERROR(IF(W241="",0,W241),"0")+IFERROR(IF(W242="",0,W242),"0")+IFERROR(IF(W243="",0,W243),"0")</f>
        <v/>
      </c>
      <c r="X244" s="676" t="n"/>
      <c r="Y244" s="676" t="n"/>
    </row>
    <row r="245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673" t="n"/>
      <c r="M245" s="674" t="inlineStr">
        <is>
          <t>Итого</t>
        </is>
      </c>
      <c r="N245" s="644" t="n"/>
      <c r="O245" s="644" t="n"/>
      <c r="P245" s="644" t="n"/>
      <c r="Q245" s="644" t="n"/>
      <c r="R245" s="644" t="n"/>
      <c r="S245" s="645" t="n"/>
      <c r="T245" s="43" t="inlineStr">
        <is>
          <t>кг</t>
        </is>
      </c>
      <c r="U245" s="675">
        <f>IFERROR(SUM(U241:U243),"0")</f>
        <v/>
      </c>
      <c r="V245" s="675">
        <f>IFERROR(SUM(V241:V243),"0")</f>
        <v/>
      </c>
      <c r="W245" s="43" t="n"/>
      <c r="X245" s="676" t="n"/>
      <c r="Y245" s="676" t="n"/>
    </row>
    <row r="246" ht="16.5" customHeight="1">
      <c r="A246" s="328" t="inlineStr">
        <is>
          <t>Фирменная</t>
        </is>
      </c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328" t="n"/>
      <c r="Y246" s="328" t="n"/>
    </row>
    <row r="247" ht="14.25" customHeight="1">
      <c r="A247" s="329" t="inlineStr">
        <is>
          <t>Вареные колбасы</t>
        </is>
      </c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329" t="n"/>
      <c r="Y247" s="329" t="n"/>
    </row>
    <row r="248" ht="27" customHeight="1">
      <c r="A248" s="64" t="inlineStr">
        <is>
          <t>SU001793</t>
        </is>
      </c>
      <c r="B248" s="64" t="inlineStr">
        <is>
          <t>P001793</t>
        </is>
      </c>
      <c r="C248" s="37" t="n">
        <v>4301011315</v>
      </c>
      <c r="D248" s="324" t="n">
        <v>4607091387421</v>
      </c>
      <c r="E248" s="636" t="n"/>
      <c r="F248" s="668" t="n">
        <v>1.35</v>
      </c>
      <c r="G248" s="38" t="n">
        <v>8</v>
      </c>
      <c r="H248" s="668" t="n">
        <v>10.8</v>
      </c>
      <c r="I248" s="668" t="n">
        <v>11.28</v>
      </c>
      <c r="J248" s="38" t="n">
        <v>56</v>
      </c>
      <c r="K248" s="39" t="inlineStr">
        <is>
          <t>СК1</t>
        </is>
      </c>
      <c r="L248" s="38" t="n">
        <v>55</v>
      </c>
      <c r="M248" s="813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N248" s="670" t="n"/>
      <c r="O248" s="670" t="n"/>
      <c r="P248" s="670" t="n"/>
      <c r="Q248" s="636" t="n"/>
      <c r="R248" s="40" t="inlineStr"/>
      <c r="S248" s="40" t="inlineStr"/>
      <c r="T248" s="41" t="inlineStr">
        <is>
          <t>кг</t>
        </is>
      </c>
      <c r="U248" s="671" t="n">
        <v>0</v>
      </c>
      <c r="V248" s="672">
        <f>IFERROR(IF(U248="",0,CEILING((U248/$H248),1)*$H248),"")</f>
        <v/>
      </c>
      <c r="W248" s="42">
        <f>IFERROR(IF(V248=0,"",ROUNDUP(V248/H248,0)*0.02175),"")</f>
        <v/>
      </c>
      <c r="X248" s="69" t="inlineStr"/>
      <c r="Y248" s="70" t="inlineStr"/>
      <c r="AC248" s="71" t="n"/>
      <c r="AZ248" s="210" t="inlineStr">
        <is>
          <t>КИ</t>
        </is>
      </c>
    </row>
    <row r="249" ht="27" customHeight="1">
      <c r="A249" s="64" t="inlineStr">
        <is>
          <t>SU001793</t>
        </is>
      </c>
      <c r="B249" s="64" t="inlineStr">
        <is>
          <t>P002227</t>
        </is>
      </c>
      <c r="C249" s="37" t="n">
        <v>4301011121</v>
      </c>
      <c r="D249" s="324" t="n">
        <v>4607091387421</v>
      </c>
      <c r="E249" s="636" t="n"/>
      <c r="F249" s="668" t="n">
        <v>1.35</v>
      </c>
      <c r="G249" s="38" t="n">
        <v>8</v>
      </c>
      <c r="H249" s="668" t="n">
        <v>10.8</v>
      </c>
      <c r="I249" s="668" t="n">
        <v>11.28</v>
      </c>
      <c r="J249" s="38" t="n">
        <v>48</v>
      </c>
      <c r="K249" s="39" t="inlineStr">
        <is>
          <t>ВЗ</t>
        </is>
      </c>
      <c r="L249" s="38" t="n">
        <v>55</v>
      </c>
      <c r="M249" s="814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N249" s="670" t="n"/>
      <c r="O249" s="670" t="n"/>
      <c r="P249" s="670" t="n"/>
      <c r="Q249" s="636" t="n"/>
      <c r="R249" s="40" t="inlineStr"/>
      <c r="S249" s="40" t="inlineStr"/>
      <c r="T249" s="41" t="inlineStr">
        <is>
          <t>кг</t>
        </is>
      </c>
      <c r="U249" s="671" t="n">
        <v>0</v>
      </c>
      <c r="V249" s="672">
        <f>IFERROR(IF(U249="",0,CEILING((U249/$H249),1)*$H249),"")</f>
        <v/>
      </c>
      <c r="W249" s="42">
        <f>IFERROR(IF(V249=0,"",ROUNDUP(V249/H249,0)*0.02039),"")</f>
        <v/>
      </c>
      <c r="X249" s="69" t="inlineStr"/>
      <c r="Y249" s="70" t="inlineStr"/>
      <c r="AC249" s="71" t="n"/>
      <c r="AZ249" s="211" t="inlineStr">
        <is>
          <t>КИ</t>
        </is>
      </c>
    </row>
    <row r="250" ht="27" customHeight="1">
      <c r="A250" s="64" t="inlineStr">
        <is>
          <t>SU001799</t>
        </is>
      </c>
      <c r="B250" s="64" t="inlineStr">
        <is>
          <t>P003076</t>
        </is>
      </c>
      <c r="C250" s="37" t="n">
        <v>4301011396</v>
      </c>
      <c r="D250" s="324" t="n">
        <v>4607091387452</v>
      </c>
      <c r="E250" s="636" t="n"/>
      <c r="F250" s="668" t="n">
        <v>1.35</v>
      </c>
      <c r="G250" s="38" t="n">
        <v>8</v>
      </c>
      <c r="H250" s="668" t="n">
        <v>10.8</v>
      </c>
      <c r="I250" s="668" t="n">
        <v>11.28</v>
      </c>
      <c r="J250" s="38" t="n">
        <v>48</v>
      </c>
      <c r="K250" s="39" t="inlineStr">
        <is>
          <t>ВЗ</t>
        </is>
      </c>
      <c r="L250" s="38" t="n">
        <v>55</v>
      </c>
      <c r="M250" s="815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N250" s="670" t="n"/>
      <c r="O250" s="670" t="n"/>
      <c r="P250" s="670" t="n"/>
      <c r="Q250" s="636" t="n"/>
      <c r="R250" s="40" t="inlineStr"/>
      <c r="S250" s="40" t="inlineStr"/>
      <c r="T250" s="41" t="inlineStr">
        <is>
          <t>кг</t>
        </is>
      </c>
      <c r="U250" s="671" t="n">
        <v>0</v>
      </c>
      <c r="V250" s="672">
        <f>IFERROR(IF(U250="",0,CEILING((U250/$H250),1)*$H250),"")</f>
        <v/>
      </c>
      <c r="W250" s="42">
        <f>IFERROR(IF(V250=0,"",ROUNDUP(V250/H250,0)*0.02039),"")</f>
        <v/>
      </c>
      <c r="X250" s="69" t="inlineStr"/>
      <c r="Y250" s="70" t="inlineStr"/>
      <c r="AC250" s="71" t="n"/>
      <c r="AZ250" s="212" t="inlineStr">
        <is>
          <t>КИ</t>
        </is>
      </c>
    </row>
    <row r="251" ht="27" customHeight="1">
      <c r="A251" s="64" t="inlineStr">
        <is>
          <t>SU001799</t>
        </is>
      </c>
      <c r="B251" s="64" t="inlineStr">
        <is>
          <t>P001799</t>
        </is>
      </c>
      <c r="C251" s="37" t="n">
        <v>4301011322</v>
      </c>
      <c r="D251" s="324" t="n">
        <v>4607091387452</v>
      </c>
      <c r="E251" s="636" t="n"/>
      <c r="F251" s="668" t="n">
        <v>1.35</v>
      </c>
      <c r="G251" s="38" t="n">
        <v>8</v>
      </c>
      <c r="H251" s="668" t="n">
        <v>10.8</v>
      </c>
      <c r="I251" s="668" t="n">
        <v>11.28</v>
      </c>
      <c r="J251" s="38" t="n">
        <v>56</v>
      </c>
      <c r="K251" s="39" t="inlineStr">
        <is>
          <t>СК3</t>
        </is>
      </c>
      <c r="L251" s="38" t="n">
        <v>55</v>
      </c>
      <c r="M251" s="816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/>
      </c>
      <c r="N251" s="670" t="n"/>
      <c r="O251" s="670" t="n"/>
      <c r="P251" s="670" t="n"/>
      <c r="Q251" s="636" t="n"/>
      <c r="R251" s="40" t="inlineStr"/>
      <c r="S251" s="40" t="inlineStr"/>
      <c r="T251" s="41" t="inlineStr">
        <is>
          <t>кг</t>
        </is>
      </c>
      <c r="U251" s="671" t="n">
        <v>0</v>
      </c>
      <c r="V251" s="672">
        <f>IFERROR(IF(U251="",0,CEILING((U251/$H251),1)*$H251),"")</f>
        <v/>
      </c>
      <c r="W251" s="42">
        <f>IFERROR(IF(V251=0,"",ROUNDUP(V251/H251,0)*0.02175),"")</f>
        <v/>
      </c>
      <c r="X251" s="69" t="inlineStr"/>
      <c r="Y251" s="70" t="inlineStr"/>
      <c r="AC251" s="71" t="n"/>
      <c r="AZ251" s="213" t="inlineStr">
        <is>
          <t>КИ</t>
        </is>
      </c>
    </row>
    <row r="252" ht="27" customHeight="1">
      <c r="A252" s="64" t="inlineStr">
        <is>
          <t>SU001792</t>
        </is>
      </c>
      <c r="B252" s="64" t="inlineStr">
        <is>
          <t>P001792</t>
        </is>
      </c>
      <c r="C252" s="37" t="n">
        <v>4301011313</v>
      </c>
      <c r="D252" s="324" t="n">
        <v>4607091385984</v>
      </c>
      <c r="E252" s="636" t="n"/>
      <c r="F252" s="668" t="n">
        <v>1.35</v>
      </c>
      <c r="G252" s="38" t="n">
        <v>8</v>
      </c>
      <c r="H252" s="668" t="n">
        <v>10.8</v>
      </c>
      <c r="I252" s="668" t="n">
        <v>11.28</v>
      </c>
      <c r="J252" s="38" t="n">
        <v>56</v>
      </c>
      <c r="K252" s="39" t="inlineStr">
        <is>
          <t>СК1</t>
        </is>
      </c>
      <c r="L252" s="38" t="n">
        <v>55</v>
      </c>
      <c r="M252" s="817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N252" s="670" t="n"/>
      <c r="O252" s="670" t="n"/>
      <c r="P252" s="670" t="n"/>
      <c r="Q252" s="636" t="n"/>
      <c r="R252" s="40" t="inlineStr"/>
      <c r="S252" s="40" t="inlineStr"/>
      <c r="T252" s="41" t="inlineStr">
        <is>
          <t>кг</t>
        </is>
      </c>
      <c r="U252" s="671" t="n">
        <v>0</v>
      </c>
      <c r="V252" s="672">
        <f>IFERROR(IF(U252="",0,CEILING((U252/$H252),1)*$H252),"")</f>
        <v/>
      </c>
      <c r="W252" s="42">
        <f>IFERROR(IF(V252=0,"",ROUNDUP(V252/H252,0)*0.02175),"")</f>
        <v/>
      </c>
      <c r="X252" s="69" t="inlineStr"/>
      <c r="Y252" s="70" t="inlineStr"/>
      <c r="AC252" s="71" t="n"/>
      <c r="AZ252" s="214" t="inlineStr">
        <is>
          <t>КИ</t>
        </is>
      </c>
    </row>
    <row r="253" ht="27" customHeight="1">
      <c r="A253" s="64" t="inlineStr">
        <is>
          <t>SU001794</t>
        </is>
      </c>
      <c r="B253" s="64" t="inlineStr">
        <is>
          <t>P001794</t>
        </is>
      </c>
      <c r="C253" s="37" t="n">
        <v>4301011316</v>
      </c>
      <c r="D253" s="324" t="n">
        <v>4607091387438</v>
      </c>
      <c r="E253" s="636" t="n"/>
      <c r="F253" s="668" t="n">
        <v>0.5</v>
      </c>
      <c r="G253" s="38" t="n">
        <v>10</v>
      </c>
      <c r="H253" s="668" t="n">
        <v>5</v>
      </c>
      <c r="I253" s="668" t="n">
        <v>5.24</v>
      </c>
      <c r="J253" s="38" t="n">
        <v>120</v>
      </c>
      <c r="K253" s="39" t="inlineStr">
        <is>
          <t>СК1</t>
        </is>
      </c>
      <c r="L253" s="38" t="n">
        <v>55</v>
      </c>
      <c r="M253" s="818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N253" s="670" t="n"/>
      <c r="O253" s="670" t="n"/>
      <c r="P253" s="670" t="n"/>
      <c r="Q253" s="636" t="n"/>
      <c r="R253" s="40" t="inlineStr"/>
      <c r="S253" s="40" t="inlineStr"/>
      <c r="T253" s="41" t="inlineStr">
        <is>
          <t>кг</t>
        </is>
      </c>
      <c r="U253" s="671" t="n">
        <v>0</v>
      </c>
      <c r="V253" s="672">
        <f>IFERROR(IF(U253="",0,CEILING((U253/$H253),1)*$H253),"")</f>
        <v/>
      </c>
      <c r="W253" s="42">
        <f>IFERROR(IF(V253=0,"",ROUNDUP(V253/H253,0)*0.00937),"")</f>
        <v/>
      </c>
      <c r="X253" s="69" t="inlineStr"/>
      <c r="Y253" s="70" t="inlineStr"/>
      <c r="AC253" s="71" t="n"/>
      <c r="AZ253" s="215" t="inlineStr">
        <is>
          <t>КИ</t>
        </is>
      </c>
    </row>
    <row r="254" ht="27" customHeight="1">
      <c r="A254" s="64" t="inlineStr">
        <is>
          <t>SU001795</t>
        </is>
      </c>
      <c r="B254" s="64" t="inlineStr">
        <is>
          <t>P001795</t>
        </is>
      </c>
      <c r="C254" s="37" t="n">
        <v>4301011318</v>
      </c>
      <c r="D254" s="324" t="n">
        <v>4607091387469</v>
      </c>
      <c r="E254" s="636" t="n"/>
      <c r="F254" s="668" t="n">
        <v>0.5</v>
      </c>
      <c r="G254" s="38" t="n">
        <v>10</v>
      </c>
      <c r="H254" s="668" t="n">
        <v>5</v>
      </c>
      <c r="I254" s="668" t="n">
        <v>5.21</v>
      </c>
      <c r="J254" s="38" t="n">
        <v>120</v>
      </c>
      <c r="K254" s="39" t="inlineStr">
        <is>
          <t>СК2</t>
        </is>
      </c>
      <c r="L254" s="38" t="n">
        <v>55</v>
      </c>
      <c r="M254" s="819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N254" s="670" t="n"/>
      <c r="O254" s="670" t="n"/>
      <c r="P254" s="670" t="n"/>
      <c r="Q254" s="636" t="n"/>
      <c r="R254" s="40" t="inlineStr"/>
      <c r="S254" s="40" t="inlineStr"/>
      <c r="T254" s="41" t="inlineStr">
        <is>
          <t>кг</t>
        </is>
      </c>
      <c r="U254" s="671" t="n">
        <v>0</v>
      </c>
      <c r="V254" s="672">
        <f>IFERROR(IF(U254="",0,CEILING((U254/$H254),1)*$H254),"")</f>
        <v/>
      </c>
      <c r="W254" s="42">
        <f>IFERROR(IF(V254=0,"",ROUNDUP(V254/H254,0)*0.00937),"")</f>
        <v/>
      </c>
      <c r="X254" s="69" t="inlineStr"/>
      <c r="Y254" s="70" t="inlineStr"/>
      <c r="AC254" s="71" t="n"/>
      <c r="AZ254" s="216" t="inlineStr">
        <is>
          <t>КИ</t>
        </is>
      </c>
    </row>
    <row r="255">
      <c r="A255" s="319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673" t="n"/>
      <c r="M255" s="674" t="inlineStr">
        <is>
          <t>Итого</t>
        </is>
      </c>
      <c r="N255" s="644" t="n"/>
      <c r="O255" s="644" t="n"/>
      <c r="P255" s="644" t="n"/>
      <c r="Q255" s="644" t="n"/>
      <c r="R255" s="644" t="n"/>
      <c r="S255" s="645" t="n"/>
      <c r="T255" s="43" t="inlineStr">
        <is>
          <t>кор</t>
        </is>
      </c>
      <c r="U255" s="675">
        <f>IFERROR(U248/H248,"0")+IFERROR(U249/H249,"0")+IFERROR(U250/H250,"0")+IFERROR(U251/H251,"0")+IFERROR(U252/H252,"0")+IFERROR(U253/H253,"0")+IFERROR(U254/H254,"0")</f>
        <v/>
      </c>
      <c r="V255" s="675">
        <f>IFERROR(V248/H248,"0")+IFERROR(V249/H249,"0")+IFERROR(V250/H250,"0")+IFERROR(V251/H251,"0")+IFERROR(V252/H252,"0")+IFERROR(V253/H253,"0")+IFERROR(V254/H254,"0")</f>
        <v/>
      </c>
      <c r="W255" s="675">
        <f>IFERROR(IF(W248="",0,W248),"0")+IFERROR(IF(W249="",0,W249),"0")+IFERROR(IF(W250="",0,W250),"0")+IFERROR(IF(W251="",0,W251),"0")+IFERROR(IF(W252="",0,W252),"0")+IFERROR(IF(W253="",0,W253),"0")+IFERROR(IF(W254="",0,W254),"0")</f>
        <v/>
      </c>
      <c r="X255" s="676" t="n"/>
      <c r="Y255" s="676" t="n"/>
    </row>
    <row r="256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673" t="n"/>
      <c r="M256" s="674" t="inlineStr">
        <is>
          <t>Итого</t>
        </is>
      </c>
      <c r="N256" s="644" t="n"/>
      <c r="O256" s="644" t="n"/>
      <c r="P256" s="644" t="n"/>
      <c r="Q256" s="644" t="n"/>
      <c r="R256" s="644" t="n"/>
      <c r="S256" s="645" t="n"/>
      <c r="T256" s="43" t="inlineStr">
        <is>
          <t>кг</t>
        </is>
      </c>
      <c r="U256" s="675">
        <f>IFERROR(SUM(U248:U254),"0")</f>
        <v/>
      </c>
      <c r="V256" s="675">
        <f>IFERROR(SUM(V248:V254),"0")</f>
        <v/>
      </c>
      <c r="W256" s="43" t="n"/>
      <c r="X256" s="676" t="n"/>
      <c r="Y256" s="676" t="n"/>
    </row>
    <row r="257" ht="14.25" customHeight="1">
      <c r="A257" s="329" t="inlineStr">
        <is>
          <t>Копченые колбасы</t>
        </is>
      </c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329" t="n"/>
      <c r="Y257" s="329" t="n"/>
    </row>
    <row r="258" ht="27" customHeight="1">
      <c r="A258" s="64" t="inlineStr">
        <is>
          <t>SU001801</t>
        </is>
      </c>
      <c r="B258" s="64" t="inlineStr">
        <is>
          <t>P003014</t>
        </is>
      </c>
      <c r="C258" s="37" t="n">
        <v>4301031154</v>
      </c>
      <c r="D258" s="324" t="n">
        <v>4607091387292</v>
      </c>
      <c r="E258" s="636" t="n"/>
      <c r="F258" s="668" t="n">
        <v>0.73</v>
      </c>
      <c r="G258" s="38" t="n">
        <v>6</v>
      </c>
      <c r="H258" s="668" t="n">
        <v>4.38</v>
      </c>
      <c r="I258" s="668" t="n">
        <v>4.64</v>
      </c>
      <c r="J258" s="38" t="n">
        <v>156</v>
      </c>
      <c r="K258" s="39" t="inlineStr">
        <is>
          <t>СК2</t>
        </is>
      </c>
      <c r="L258" s="38" t="n">
        <v>45</v>
      </c>
      <c r="M258" s="820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N258" s="670" t="n"/>
      <c r="O258" s="670" t="n"/>
      <c r="P258" s="670" t="n"/>
      <c r="Q258" s="636" t="n"/>
      <c r="R258" s="40" t="inlineStr"/>
      <c r="S258" s="40" t="inlineStr"/>
      <c r="T258" s="41" t="inlineStr">
        <is>
          <t>кг</t>
        </is>
      </c>
      <c r="U258" s="671" t="n">
        <v>0</v>
      </c>
      <c r="V258" s="672">
        <f>IFERROR(IF(U258="",0,CEILING((U258/$H258),1)*$H258),"")</f>
        <v/>
      </c>
      <c r="W258" s="42">
        <f>IFERROR(IF(V258=0,"",ROUNDUP(V258/H258,0)*0.00753),"")</f>
        <v/>
      </c>
      <c r="X258" s="69" t="inlineStr"/>
      <c r="Y258" s="70" t="inlineStr"/>
      <c r="AC258" s="71" t="n"/>
      <c r="AZ258" s="217" t="inlineStr">
        <is>
          <t>КИ</t>
        </is>
      </c>
    </row>
    <row r="259" ht="27" customHeight="1">
      <c r="A259" s="64" t="inlineStr">
        <is>
          <t>SU000231</t>
        </is>
      </c>
      <c r="B259" s="64" t="inlineStr">
        <is>
          <t>P003015</t>
        </is>
      </c>
      <c r="C259" s="37" t="n">
        <v>4301031155</v>
      </c>
      <c r="D259" s="324" t="n">
        <v>4607091387315</v>
      </c>
      <c r="E259" s="636" t="n"/>
      <c r="F259" s="668" t="n">
        <v>0.7</v>
      </c>
      <c r="G259" s="38" t="n">
        <v>4</v>
      </c>
      <c r="H259" s="668" t="n">
        <v>2.8</v>
      </c>
      <c r="I259" s="668" t="n">
        <v>3.048</v>
      </c>
      <c r="J259" s="38" t="n">
        <v>156</v>
      </c>
      <c r="K259" s="39" t="inlineStr">
        <is>
          <t>СК2</t>
        </is>
      </c>
      <c r="L259" s="38" t="n">
        <v>45</v>
      </c>
      <c r="M259" s="821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N259" s="670" t="n"/>
      <c r="O259" s="670" t="n"/>
      <c r="P259" s="670" t="n"/>
      <c r="Q259" s="636" t="n"/>
      <c r="R259" s="40" t="inlineStr"/>
      <c r="S259" s="40" t="inlineStr"/>
      <c r="T259" s="41" t="inlineStr">
        <is>
          <t>кг</t>
        </is>
      </c>
      <c r="U259" s="671" t="n">
        <v>0</v>
      </c>
      <c r="V259" s="672">
        <f>IFERROR(IF(U259="",0,CEILING((U259/$H259),1)*$H259),"")</f>
        <v/>
      </c>
      <c r="W259" s="42">
        <f>IFERROR(IF(V259=0,"",ROUNDUP(V259/H259,0)*0.00753),"")</f>
        <v/>
      </c>
      <c r="X259" s="69" t="inlineStr"/>
      <c r="Y259" s="70" t="inlineStr"/>
      <c r="AC259" s="71" t="n"/>
      <c r="AZ259" s="218" t="inlineStr">
        <is>
          <t>КИ</t>
        </is>
      </c>
    </row>
    <row r="260">
      <c r="A260" s="319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673" t="n"/>
      <c r="M260" s="674" t="inlineStr">
        <is>
          <t>Итого</t>
        </is>
      </c>
      <c r="N260" s="644" t="n"/>
      <c r="O260" s="644" t="n"/>
      <c r="P260" s="644" t="n"/>
      <c r="Q260" s="644" t="n"/>
      <c r="R260" s="644" t="n"/>
      <c r="S260" s="645" t="n"/>
      <c r="T260" s="43" t="inlineStr">
        <is>
          <t>кор</t>
        </is>
      </c>
      <c r="U260" s="675">
        <f>IFERROR(U258/H258,"0")+IFERROR(U259/H259,"0")</f>
        <v/>
      </c>
      <c r="V260" s="675">
        <f>IFERROR(V258/H258,"0")+IFERROR(V259/H259,"0")</f>
        <v/>
      </c>
      <c r="W260" s="675">
        <f>IFERROR(IF(W258="",0,W258),"0")+IFERROR(IF(W259="",0,W259),"0")</f>
        <v/>
      </c>
      <c r="X260" s="676" t="n"/>
      <c r="Y260" s="676" t="n"/>
    </row>
    <row r="261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673" t="n"/>
      <c r="M261" s="674" t="inlineStr">
        <is>
          <t>Итого</t>
        </is>
      </c>
      <c r="N261" s="644" t="n"/>
      <c r="O261" s="644" t="n"/>
      <c r="P261" s="644" t="n"/>
      <c r="Q261" s="644" t="n"/>
      <c r="R261" s="644" t="n"/>
      <c r="S261" s="645" t="n"/>
      <c r="T261" s="43" t="inlineStr">
        <is>
          <t>кг</t>
        </is>
      </c>
      <c r="U261" s="675">
        <f>IFERROR(SUM(U258:U259),"0")</f>
        <v/>
      </c>
      <c r="V261" s="675">
        <f>IFERROR(SUM(V258:V259),"0")</f>
        <v/>
      </c>
      <c r="W261" s="43" t="n"/>
      <c r="X261" s="676" t="n"/>
      <c r="Y261" s="676" t="n"/>
    </row>
    <row r="262" ht="16.5" customHeight="1">
      <c r="A262" s="328" t="inlineStr">
        <is>
          <t>Бавария</t>
        </is>
      </c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328" t="n"/>
      <c r="Y262" s="328" t="n"/>
    </row>
    <row r="263" ht="14.25" customHeight="1">
      <c r="A263" s="329" t="inlineStr">
        <is>
          <t>Копченые колбасы</t>
        </is>
      </c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329" t="n"/>
      <c r="Y263" s="329" t="n"/>
    </row>
    <row r="264" ht="37.5" customHeight="1">
      <c r="A264" s="64" t="inlineStr">
        <is>
          <t>SU002061</t>
        </is>
      </c>
      <c r="B264" s="64" t="inlineStr">
        <is>
          <t>P002232</t>
        </is>
      </c>
      <c r="C264" s="37" t="n">
        <v>4301030368</v>
      </c>
      <c r="D264" s="324" t="n">
        <v>4607091383232</v>
      </c>
      <c r="E264" s="636" t="n"/>
      <c r="F264" s="668" t="n">
        <v>0.28</v>
      </c>
      <c r="G264" s="38" t="n">
        <v>6</v>
      </c>
      <c r="H264" s="668" t="n">
        <v>1.68</v>
      </c>
      <c r="I264" s="668" t="n">
        <v>2.6</v>
      </c>
      <c r="J264" s="38" t="n">
        <v>156</v>
      </c>
      <c r="K264" s="39" t="inlineStr">
        <is>
          <t>СК2</t>
        </is>
      </c>
      <c r="L264" s="38" t="n">
        <v>35</v>
      </c>
      <c r="M264" s="822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/>
      </c>
      <c r="N264" s="670" t="n"/>
      <c r="O264" s="670" t="n"/>
      <c r="P264" s="670" t="n"/>
      <c r="Q264" s="636" t="n"/>
      <c r="R264" s="40" t="inlineStr"/>
      <c r="S264" s="40" t="inlineStr"/>
      <c r="T264" s="41" t="inlineStr">
        <is>
          <t>кг</t>
        </is>
      </c>
      <c r="U264" s="671" t="n">
        <v>0</v>
      </c>
      <c r="V264" s="672">
        <f>IFERROR(IF(U264="",0,CEILING((U264/$H264),1)*$H264),"")</f>
        <v/>
      </c>
      <c r="W264" s="42">
        <f>IFERROR(IF(V264=0,"",ROUNDUP(V264/H264,0)*0.00753),"")</f>
        <v/>
      </c>
      <c r="X264" s="69" t="inlineStr"/>
      <c r="Y264" s="70" t="inlineStr"/>
      <c r="AC264" s="71" t="n"/>
      <c r="AZ264" s="219" t="inlineStr">
        <is>
          <t>КИ</t>
        </is>
      </c>
    </row>
    <row r="265" ht="27" customHeight="1">
      <c r="A265" s="64" t="inlineStr">
        <is>
          <t>SU002252</t>
        </is>
      </c>
      <c r="B265" s="64" t="inlineStr">
        <is>
          <t>P002461</t>
        </is>
      </c>
      <c r="C265" s="37" t="n">
        <v>4301031066</v>
      </c>
      <c r="D265" s="324" t="n">
        <v>4607091383836</v>
      </c>
      <c r="E265" s="636" t="n"/>
      <c r="F265" s="668" t="n">
        <v>0.3</v>
      </c>
      <c r="G265" s="38" t="n">
        <v>6</v>
      </c>
      <c r="H265" s="668" t="n">
        <v>1.8</v>
      </c>
      <c r="I265" s="668" t="n">
        <v>2.048</v>
      </c>
      <c r="J265" s="38" t="n">
        <v>156</v>
      </c>
      <c r="K265" s="39" t="inlineStr">
        <is>
          <t>СК2</t>
        </is>
      </c>
      <c r="L265" s="38" t="n">
        <v>40</v>
      </c>
      <c r="M265" s="823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N265" s="670" t="n"/>
      <c r="O265" s="670" t="n"/>
      <c r="P265" s="670" t="n"/>
      <c r="Q265" s="636" t="n"/>
      <c r="R265" s="40" t="inlineStr"/>
      <c r="S265" s="40" t="inlineStr"/>
      <c r="T265" s="41" t="inlineStr">
        <is>
          <t>кг</t>
        </is>
      </c>
      <c r="U265" s="671" t="n">
        <v>0</v>
      </c>
      <c r="V265" s="672">
        <f>IFERROR(IF(U265="",0,CEILING((U265/$H265),1)*$H265),"")</f>
        <v/>
      </c>
      <c r="W265" s="42">
        <f>IFERROR(IF(V265=0,"",ROUNDUP(V265/H265,0)*0.00753),"")</f>
        <v/>
      </c>
      <c r="X265" s="69" t="inlineStr"/>
      <c r="Y265" s="70" t="inlineStr"/>
      <c r="AC265" s="71" t="n"/>
      <c r="AZ265" s="220" t="inlineStr">
        <is>
          <t>КИ</t>
        </is>
      </c>
    </row>
    <row r="266">
      <c r="A266" s="319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673" t="n"/>
      <c r="M266" s="674" t="inlineStr">
        <is>
          <t>Итого</t>
        </is>
      </c>
      <c r="N266" s="644" t="n"/>
      <c r="O266" s="644" t="n"/>
      <c r="P266" s="644" t="n"/>
      <c r="Q266" s="644" t="n"/>
      <c r="R266" s="644" t="n"/>
      <c r="S266" s="645" t="n"/>
      <c r="T266" s="43" t="inlineStr">
        <is>
          <t>кор</t>
        </is>
      </c>
      <c r="U266" s="675">
        <f>IFERROR(U264/H264,"0")+IFERROR(U265/H265,"0")</f>
        <v/>
      </c>
      <c r="V266" s="675">
        <f>IFERROR(V264/H264,"0")+IFERROR(V265/H265,"0")</f>
        <v/>
      </c>
      <c r="W266" s="675">
        <f>IFERROR(IF(W264="",0,W264),"0")+IFERROR(IF(W265="",0,W265),"0")</f>
        <v/>
      </c>
      <c r="X266" s="676" t="n"/>
      <c r="Y266" s="676" t="n"/>
    </row>
    <row r="267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673" t="n"/>
      <c r="M267" s="674" t="inlineStr">
        <is>
          <t>Итого</t>
        </is>
      </c>
      <c r="N267" s="644" t="n"/>
      <c r="O267" s="644" t="n"/>
      <c r="P267" s="644" t="n"/>
      <c r="Q267" s="644" t="n"/>
      <c r="R267" s="644" t="n"/>
      <c r="S267" s="645" t="n"/>
      <c r="T267" s="43" t="inlineStr">
        <is>
          <t>кг</t>
        </is>
      </c>
      <c r="U267" s="675">
        <f>IFERROR(SUM(U264:U265),"0")</f>
        <v/>
      </c>
      <c r="V267" s="675">
        <f>IFERROR(SUM(V264:V265),"0")</f>
        <v/>
      </c>
      <c r="W267" s="43" t="n"/>
      <c r="X267" s="676" t="n"/>
      <c r="Y267" s="676" t="n"/>
    </row>
    <row r="268" ht="14.25" customHeight="1">
      <c r="A268" s="329" t="inlineStr">
        <is>
          <t>Сосиски</t>
        </is>
      </c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329" t="n"/>
      <c r="Y268" s="329" t="n"/>
    </row>
    <row r="269" ht="27" customHeight="1">
      <c r="A269" s="64" t="inlineStr">
        <is>
          <t>SU001835</t>
        </is>
      </c>
      <c r="B269" s="64" t="inlineStr">
        <is>
          <t>P002202</t>
        </is>
      </c>
      <c r="C269" s="37" t="n">
        <v>4301051142</v>
      </c>
      <c r="D269" s="324" t="n">
        <v>4607091387919</v>
      </c>
      <c r="E269" s="636" t="n"/>
      <c r="F269" s="668" t="n">
        <v>1.35</v>
      </c>
      <c r="G269" s="38" t="n">
        <v>6</v>
      </c>
      <c r="H269" s="668" t="n">
        <v>8.1</v>
      </c>
      <c r="I269" s="668" t="n">
        <v>8.664</v>
      </c>
      <c r="J269" s="38" t="n">
        <v>56</v>
      </c>
      <c r="K269" s="39" t="inlineStr">
        <is>
          <t>СК2</t>
        </is>
      </c>
      <c r="L269" s="38" t="n">
        <v>45</v>
      </c>
      <c r="M269" s="824">
        <f>HYPERLINK("https://abi.ru/products/Охлажденные/Стародворье/Бавария/Сосиски/P002202/","Сосиски Баварские Бавария Весовые П/а мгс Стародворье")</f>
        <v/>
      </c>
      <c r="N269" s="670" t="n"/>
      <c r="O269" s="670" t="n"/>
      <c r="P269" s="670" t="n"/>
      <c r="Q269" s="636" t="n"/>
      <c r="R269" s="40" t="inlineStr"/>
      <c r="S269" s="40" t="inlineStr"/>
      <c r="T269" s="41" t="inlineStr">
        <is>
          <t>кг</t>
        </is>
      </c>
      <c r="U269" s="671" t="n">
        <v>0</v>
      </c>
      <c r="V269" s="672">
        <f>IFERROR(IF(U269="",0,CEILING((U269/$H269),1)*$H269),"")</f>
        <v/>
      </c>
      <c r="W269" s="42">
        <f>IFERROR(IF(V269=0,"",ROUNDUP(V269/H269,0)*0.02175),"")</f>
        <v/>
      </c>
      <c r="X269" s="69" t="inlineStr"/>
      <c r="Y269" s="70" t="inlineStr"/>
      <c r="AC269" s="71" t="n"/>
      <c r="AZ269" s="221" t="inlineStr">
        <is>
          <t>КИ</t>
        </is>
      </c>
    </row>
    <row r="270" ht="27" customHeight="1">
      <c r="A270" s="64" t="inlineStr">
        <is>
          <t>SU001836</t>
        </is>
      </c>
      <c r="B270" s="64" t="inlineStr">
        <is>
          <t>P002201</t>
        </is>
      </c>
      <c r="C270" s="37" t="n">
        <v>4301051109</v>
      </c>
      <c r="D270" s="324" t="n">
        <v>4607091383942</v>
      </c>
      <c r="E270" s="636" t="n"/>
      <c r="F270" s="668" t="n">
        <v>0.42</v>
      </c>
      <c r="G270" s="38" t="n">
        <v>6</v>
      </c>
      <c r="H270" s="668" t="n">
        <v>2.52</v>
      </c>
      <c r="I270" s="668" t="n">
        <v>2.792</v>
      </c>
      <c r="J270" s="38" t="n">
        <v>156</v>
      </c>
      <c r="K270" s="39" t="inlineStr">
        <is>
          <t>СК3</t>
        </is>
      </c>
      <c r="L270" s="38" t="n">
        <v>45</v>
      </c>
      <c r="M270" s="825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N270" s="670" t="n"/>
      <c r="O270" s="670" t="n"/>
      <c r="P270" s="670" t="n"/>
      <c r="Q270" s="636" t="n"/>
      <c r="R270" s="40" t="inlineStr"/>
      <c r="S270" s="40" t="inlineStr"/>
      <c r="T270" s="41" t="inlineStr">
        <is>
          <t>кг</t>
        </is>
      </c>
      <c r="U270" s="671" t="n">
        <v>0</v>
      </c>
      <c r="V270" s="672">
        <f>IFERROR(IF(U270="",0,CEILING((U270/$H270),1)*$H270),"")</f>
        <v/>
      </c>
      <c r="W270" s="42">
        <f>IFERROR(IF(V270=0,"",ROUNDUP(V270/H270,0)*0.00753),"")</f>
        <v/>
      </c>
      <c r="X270" s="69" t="inlineStr"/>
      <c r="Y270" s="70" t="inlineStr"/>
      <c r="AC270" s="71" t="n"/>
      <c r="AZ270" s="222" t="inlineStr">
        <is>
          <t>КИ</t>
        </is>
      </c>
    </row>
    <row r="271" ht="27" customHeight="1">
      <c r="A271" s="64" t="inlineStr">
        <is>
          <t>SU001970</t>
        </is>
      </c>
      <c r="B271" s="64" t="inlineStr">
        <is>
          <t>P001837</t>
        </is>
      </c>
      <c r="C271" s="37" t="n">
        <v>4301051300</v>
      </c>
      <c r="D271" s="324" t="n">
        <v>4607091383959</v>
      </c>
      <c r="E271" s="636" t="n"/>
      <c r="F271" s="668" t="n">
        <v>0.42</v>
      </c>
      <c r="G271" s="38" t="n">
        <v>6</v>
      </c>
      <c r="H271" s="668" t="n">
        <v>2.52</v>
      </c>
      <c r="I271" s="668" t="n">
        <v>2.78</v>
      </c>
      <c r="J271" s="38" t="n">
        <v>156</v>
      </c>
      <c r="K271" s="39" t="inlineStr">
        <is>
          <t>СК2</t>
        </is>
      </c>
      <c r="L271" s="38" t="n">
        <v>35</v>
      </c>
      <c r="M271" s="826">
        <f>HYPERLINK("https://abi.ru/products/Охлажденные/Стародворье/Бавария/Сосиски/P001837/","Сосиски Баварские с сыром Бавария Фикс.вес 0,42 ц/о Стародворье")</f>
        <v/>
      </c>
      <c r="N271" s="670" t="n"/>
      <c r="O271" s="670" t="n"/>
      <c r="P271" s="670" t="n"/>
      <c r="Q271" s="636" t="n"/>
      <c r="R271" s="40" t="inlineStr"/>
      <c r="S271" s="40" t="inlineStr"/>
      <c r="T271" s="41" t="inlineStr">
        <is>
          <t>кг</t>
        </is>
      </c>
      <c r="U271" s="671" t="n">
        <v>0</v>
      </c>
      <c r="V271" s="672">
        <f>IFERROR(IF(U271="",0,CEILING((U271/$H271),1)*$H271),"")</f>
        <v/>
      </c>
      <c r="W271" s="42">
        <f>IFERROR(IF(V271=0,"",ROUNDUP(V271/H271,0)*0.00753),"")</f>
        <v/>
      </c>
      <c r="X271" s="69" t="inlineStr"/>
      <c r="Y271" s="70" t="inlineStr"/>
      <c r="AC271" s="71" t="n"/>
      <c r="AZ271" s="223" t="inlineStr">
        <is>
          <t>КИ</t>
        </is>
      </c>
    </row>
    <row r="272">
      <c r="A272" s="319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673" t="n"/>
      <c r="M272" s="674" t="inlineStr">
        <is>
          <t>Итого</t>
        </is>
      </c>
      <c r="N272" s="644" t="n"/>
      <c r="O272" s="644" t="n"/>
      <c r="P272" s="644" t="n"/>
      <c r="Q272" s="644" t="n"/>
      <c r="R272" s="644" t="n"/>
      <c r="S272" s="645" t="n"/>
      <c r="T272" s="43" t="inlineStr">
        <is>
          <t>кор</t>
        </is>
      </c>
      <c r="U272" s="675">
        <f>IFERROR(U269/H269,"0")+IFERROR(U270/H270,"0")+IFERROR(U271/H271,"0")</f>
        <v/>
      </c>
      <c r="V272" s="675">
        <f>IFERROR(V269/H269,"0")+IFERROR(V270/H270,"0")+IFERROR(V271/H271,"0")</f>
        <v/>
      </c>
      <c r="W272" s="675">
        <f>IFERROR(IF(W269="",0,W269),"0")+IFERROR(IF(W270="",0,W270),"0")+IFERROR(IF(W271="",0,W271),"0")</f>
        <v/>
      </c>
      <c r="X272" s="676" t="n"/>
      <c r="Y272" s="676" t="n"/>
    </row>
    <row r="273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673" t="n"/>
      <c r="M273" s="674" t="inlineStr">
        <is>
          <t>Итого</t>
        </is>
      </c>
      <c r="N273" s="644" t="n"/>
      <c r="O273" s="644" t="n"/>
      <c r="P273" s="644" t="n"/>
      <c r="Q273" s="644" t="n"/>
      <c r="R273" s="644" t="n"/>
      <c r="S273" s="645" t="n"/>
      <c r="T273" s="43" t="inlineStr">
        <is>
          <t>кг</t>
        </is>
      </c>
      <c r="U273" s="675">
        <f>IFERROR(SUM(U269:U271),"0")</f>
        <v/>
      </c>
      <c r="V273" s="675">
        <f>IFERROR(SUM(V269:V271),"0")</f>
        <v/>
      </c>
      <c r="W273" s="43" t="n"/>
      <c r="X273" s="676" t="n"/>
      <c r="Y273" s="676" t="n"/>
    </row>
    <row r="274" ht="14.25" customHeight="1">
      <c r="A274" s="329" t="inlineStr">
        <is>
          <t>Сардельки</t>
        </is>
      </c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329" t="n"/>
      <c r="Y274" s="329" t="n"/>
    </row>
    <row r="275" ht="27" customHeight="1">
      <c r="A275" s="64" t="inlineStr">
        <is>
          <t>SU002173</t>
        </is>
      </c>
      <c r="B275" s="64" t="inlineStr">
        <is>
          <t>P002361</t>
        </is>
      </c>
      <c r="C275" s="37" t="n">
        <v>4301060324</v>
      </c>
      <c r="D275" s="324" t="n">
        <v>4607091388831</v>
      </c>
      <c r="E275" s="636" t="n"/>
      <c r="F275" s="668" t="n">
        <v>0.38</v>
      </c>
      <c r="G275" s="38" t="n">
        <v>6</v>
      </c>
      <c r="H275" s="668" t="n">
        <v>2.28</v>
      </c>
      <c r="I275" s="668" t="n">
        <v>2.552</v>
      </c>
      <c r="J275" s="38" t="n">
        <v>156</v>
      </c>
      <c r="K275" s="39" t="inlineStr">
        <is>
          <t>СК2</t>
        </is>
      </c>
      <c r="L275" s="38" t="n">
        <v>40</v>
      </c>
      <c r="M275" s="827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N275" s="670" t="n"/>
      <c r="O275" s="670" t="n"/>
      <c r="P275" s="670" t="n"/>
      <c r="Q275" s="636" t="n"/>
      <c r="R275" s="40" t="inlineStr"/>
      <c r="S275" s="40" t="inlineStr"/>
      <c r="T275" s="41" t="inlineStr">
        <is>
          <t>кг</t>
        </is>
      </c>
      <c r="U275" s="671" t="n">
        <v>0</v>
      </c>
      <c r="V275" s="672">
        <f>IFERROR(IF(U275="",0,CEILING((U275/$H275),1)*$H275),"")</f>
        <v/>
      </c>
      <c r="W275" s="42">
        <f>IFERROR(IF(V275=0,"",ROUNDUP(V275/H275,0)*0.00753),"")</f>
        <v/>
      </c>
      <c r="X275" s="69" t="inlineStr"/>
      <c r="Y275" s="70" t="inlineStr"/>
      <c r="AC275" s="71" t="n"/>
      <c r="AZ275" s="224" t="inlineStr">
        <is>
          <t>КИ</t>
        </is>
      </c>
    </row>
    <row r="276">
      <c r="A276" s="319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673" t="n"/>
      <c r="M276" s="674" t="inlineStr">
        <is>
          <t>Итого</t>
        </is>
      </c>
      <c r="N276" s="644" t="n"/>
      <c r="O276" s="644" t="n"/>
      <c r="P276" s="644" t="n"/>
      <c r="Q276" s="644" t="n"/>
      <c r="R276" s="644" t="n"/>
      <c r="S276" s="645" t="n"/>
      <c r="T276" s="43" t="inlineStr">
        <is>
          <t>кор</t>
        </is>
      </c>
      <c r="U276" s="675">
        <f>IFERROR(U275/H275,"0")</f>
        <v/>
      </c>
      <c r="V276" s="675">
        <f>IFERROR(V275/H275,"0")</f>
        <v/>
      </c>
      <c r="W276" s="675">
        <f>IFERROR(IF(W275="",0,W275),"0")</f>
        <v/>
      </c>
      <c r="X276" s="676" t="n"/>
      <c r="Y276" s="676" t="n"/>
    </row>
    <row r="277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673" t="n"/>
      <c r="M277" s="674" t="inlineStr">
        <is>
          <t>Итого</t>
        </is>
      </c>
      <c r="N277" s="644" t="n"/>
      <c r="O277" s="644" t="n"/>
      <c r="P277" s="644" t="n"/>
      <c r="Q277" s="644" t="n"/>
      <c r="R277" s="644" t="n"/>
      <c r="S277" s="645" t="n"/>
      <c r="T277" s="43" t="inlineStr">
        <is>
          <t>кг</t>
        </is>
      </c>
      <c r="U277" s="675">
        <f>IFERROR(SUM(U275:U275),"0")</f>
        <v/>
      </c>
      <c r="V277" s="675">
        <f>IFERROR(SUM(V275:V275),"0")</f>
        <v/>
      </c>
      <c r="W277" s="43" t="n"/>
      <c r="X277" s="676" t="n"/>
      <c r="Y277" s="676" t="n"/>
    </row>
    <row r="278" ht="14.25" customHeight="1">
      <c r="A278" s="329" t="inlineStr">
        <is>
          <t>Сырокопченые колбасы</t>
        </is>
      </c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329" t="n"/>
      <c r="Y278" s="329" t="n"/>
    </row>
    <row r="279" ht="27" customHeight="1">
      <c r="A279" s="64" t="inlineStr">
        <is>
          <t>SU002092</t>
        </is>
      </c>
      <c r="B279" s="64" t="inlineStr">
        <is>
          <t>P002290</t>
        </is>
      </c>
      <c r="C279" s="37" t="n">
        <v>4301032015</v>
      </c>
      <c r="D279" s="324" t="n">
        <v>4607091383102</v>
      </c>
      <c r="E279" s="636" t="n"/>
      <c r="F279" s="668" t="n">
        <v>0.17</v>
      </c>
      <c r="G279" s="38" t="n">
        <v>15</v>
      </c>
      <c r="H279" s="668" t="n">
        <v>2.55</v>
      </c>
      <c r="I279" s="668" t="n">
        <v>2.975</v>
      </c>
      <c r="J279" s="38" t="n">
        <v>156</v>
      </c>
      <c r="K279" s="39" t="inlineStr">
        <is>
          <t>АК</t>
        </is>
      </c>
      <c r="L279" s="38" t="n">
        <v>180</v>
      </c>
      <c r="M279" s="828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N279" s="670" t="n"/>
      <c r="O279" s="670" t="n"/>
      <c r="P279" s="670" t="n"/>
      <c r="Q279" s="636" t="n"/>
      <c r="R279" s="40" t="inlineStr"/>
      <c r="S279" s="40" t="inlineStr"/>
      <c r="T279" s="41" t="inlineStr">
        <is>
          <t>кг</t>
        </is>
      </c>
      <c r="U279" s="671" t="n">
        <v>0</v>
      </c>
      <c r="V279" s="672">
        <f>IFERROR(IF(U279="",0,CEILING((U279/$H279),1)*$H279),"")</f>
        <v/>
      </c>
      <c r="W279" s="42">
        <f>IFERROR(IF(V279=0,"",ROUNDUP(V279/H279,0)*0.00753),"")</f>
        <v/>
      </c>
      <c r="X279" s="69" t="inlineStr"/>
      <c r="Y279" s="70" t="inlineStr"/>
      <c r="AC279" s="71" t="n"/>
      <c r="AZ279" s="225" t="inlineStr">
        <is>
          <t>КИ</t>
        </is>
      </c>
    </row>
    <row r="280">
      <c r="A280" s="319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673" t="n"/>
      <c r="M280" s="674" t="inlineStr">
        <is>
          <t>Итого</t>
        </is>
      </c>
      <c r="N280" s="644" t="n"/>
      <c r="O280" s="644" t="n"/>
      <c r="P280" s="644" t="n"/>
      <c r="Q280" s="644" t="n"/>
      <c r="R280" s="644" t="n"/>
      <c r="S280" s="645" t="n"/>
      <c r="T280" s="43" t="inlineStr">
        <is>
          <t>кор</t>
        </is>
      </c>
      <c r="U280" s="675">
        <f>IFERROR(U279/H279,"0")</f>
        <v/>
      </c>
      <c r="V280" s="675">
        <f>IFERROR(V279/H279,"0")</f>
        <v/>
      </c>
      <c r="W280" s="675">
        <f>IFERROR(IF(W279="",0,W279),"0")</f>
        <v/>
      </c>
      <c r="X280" s="676" t="n"/>
      <c r="Y280" s="676" t="n"/>
    </row>
    <row r="281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673" t="n"/>
      <c r="M281" s="674" t="inlineStr">
        <is>
          <t>Итого</t>
        </is>
      </c>
      <c r="N281" s="644" t="n"/>
      <c r="O281" s="644" t="n"/>
      <c r="P281" s="644" t="n"/>
      <c r="Q281" s="644" t="n"/>
      <c r="R281" s="644" t="n"/>
      <c r="S281" s="645" t="n"/>
      <c r="T281" s="43" t="inlineStr">
        <is>
          <t>кг</t>
        </is>
      </c>
      <c r="U281" s="675">
        <f>IFERROR(SUM(U279:U279),"0")</f>
        <v/>
      </c>
      <c r="V281" s="675">
        <f>IFERROR(SUM(V279:V279),"0")</f>
        <v/>
      </c>
      <c r="W281" s="43" t="n"/>
      <c r="X281" s="676" t="n"/>
      <c r="Y281" s="676" t="n"/>
    </row>
    <row r="282" ht="27.75" customHeight="1">
      <c r="A282" s="340" t="inlineStr">
        <is>
          <t>Особый рецепт</t>
        </is>
      </c>
      <c r="B282" s="667" t="n"/>
      <c r="C282" s="667" t="n"/>
      <c r="D282" s="667" t="n"/>
      <c r="E282" s="667" t="n"/>
      <c r="F282" s="667" t="n"/>
      <c r="G282" s="667" t="n"/>
      <c r="H282" s="667" t="n"/>
      <c r="I282" s="667" t="n"/>
      <c r="J282" s="667" t="n"/>
      <c r="K282" s="667" t="n"/>
      <c r="L282" s="667" t="n"/>
      <c r="M282" s="667" t="n"/>
      <c r="N282" s="667" t="n"/>
      <c r="O282" s="667" t="n"/>
      <c r="P282" s="667" t="n"/>
      <c r="Q282" s="667" t="n"/>
      <c r="R282" s="667" t="n"/>
      <c r="S282" s="667" t="n"/>
      <c r="T282" s="667" t="n"/>
      <c r="U282" s="667" t="n"/>
      <c r="V282" s="667" t="n"/>
      <c r="W282" s="667" t="n"/>
      <c r="X282" s="55" t="n"/>
      <c r="Y282" s="55" t="n"/>
    </row>
    <row r="283" ht="16.5" customHeight="1">
      <c r="A283" s="328" t="inlineStr">
        <is>
          <t>Особая</t>
        </is>
      </c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328" t="n"/>
      <c r="Y283" s="328" t="n"/>
    </row>
    <row r="284" ht="14.25" customHeight="1">
      <c r="A284" s="329" t="inlineStr">
        <is>
          <t>Вареные колбасы</t>
        </is>
      </c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329" t="n"/>
      <c r="Y284" s="329" t="n"/>
    </row>
    <row r="285" ht="27" customHeight="1">
      <c r="A285" s="64" t="inlineStr">
        <is>
          <t>SU000251</t>
        </is>
      </c>
      <c r="B285" s="64" t="inlineStr">
        <is>
          <t>P002581</t>
        </is>
      </c>
      <c r="C285" s="37" t="n">
        <v>4301011239</v>
      </c>
      <c r="D285" s="324" t="n">
        <v>4607091383997</v>
      </c>
      <c r="E285" s="636" t="n"/>
      <c r="F285" s="668" t="n">
        <v>2.5</v>
      </c>
      <c r="G285" s="38" t="n">
        <v>6</v>
      </c>
      <c r="H285" s="668" t="n">
        <v>15</v>
      </c>
      <c r="I285" s="668" t="n">
        <v>15.48</v>
      </c>
      <c r="J285" s="38" t="n">
        <v>48</v>
      </c>
      <c r="K285" s="39" t="inlineStr">
        <is>
          <t>ВЗ</t>
        </is>
      </c>
      <c r="L285" s="38" t="n">
        <v>60</v>
      </c>
      <c r="M285" s="829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N285" s="670" t="n"/>
      <c r="O285" s="670" t="n"/>
      <c r="P285" s="670" t="n"/>
      <c r="Q285" s="636" t="n"/>
      <c r="R285" s="40" t="inlineStr"/>
      <c r="S285" s="40" t="inlineStr"/>
      <c r="T285" s="41" t="inlineStr">
        <is>
          <t>кг</t>
        </is>
      </c>
      <c r="U285" s="671" t="n">
        <v>0</v>
      </c>
      <c r="V285" s="672">
        <f>IFERROR(IF(U285="",0,CEILING((U285/$H285),1)*$H285),"")</f>
        <v/>
      </c>
      <c r="W285" s="42">
        <f>IFERROR(IF(V285=0,"",ROUNDUP(V285/H285,0)*0.02039),"")</f>
        <v/>
      </c>
      <c r="X285" s="69" t="inlineStr"/>
      <c r="Y285" s="70" t="inlineStr"/>
      <c r="AC285" s="71" t="n"/>
      <c r="AZ285" s="226" t="inlineStr">
        <is>
          <t>КИ</t>
        </is>
      </c>
    </row>
    <row r="286" ht="27" customHeight="1">
      <c r="A286" s="64" t="inlineStr">
        <is>
          <t>SU000251</t>
        </is>
      </c>
      <c r="B286" s="64" t="inlineStr">
        <is>
          <t>P002584</t>
        </is>
      </c>
      <c r="C286" s="37" t="n">
        <v>4301011339</v>
      </c>
      <c r="D286" s="324" t="n">
        <v>4607091383997</v>
      </c>
      <c r="E286" s="636" t="n"/>
      <c r="F286" s="668" t="n">
        <v>2.5</v>
      </c>
      <c r="G286" s="38" t="n">
        <v>6</v>
      </c>
      <c r="H286" s="668" t="n">
        <v>15</v>
      </c>
      <c r="I286" s="668" t="n">
        <v>15.48</v>
      </c>
      <c r="J286" s="38" t="n">
        <v>48</v>
      </c>
      <c r="K286" s="39" t="inlineStr">
        <is>
          <t>СК2</t>
        </is>
      </c>
      <c r="L286" s="38" t="n">
        <v>60</v>
      </c>
      <c r="M286" s="830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N286" s="670" t="n"/>
      <c r="O286" s="670" t="n"/>
      <c r="P286" s="670" t="n"/>
      <c r="Q286" s="636" t="n"/>
      <c r="R286" s="40" t="inlineStr"/>
      <c r="S286" s="40" t="inlineStr"/>
      <c r="T286" s="41" t="inlineStr">
        <is>
          <t>кг</t>
        </is>
      </c>
      <c r="U286" s="671" t="n">
        <v>9150</v>
      </c>
      <c r="V286" s="672">
        <f>IFERROR(IF(U286="",0,CEILING((U286/$H286),1)*$H286),"")</f>
        <v/>
      </c>
      <c r="W286" s="42">
        <f>IFERROR(IF(V286=0,"",ROUNDUP(V286/H286,0)*0.02175),"")</f>
        <v/>
      </c>
      <c r="X286" s="69" t="inlineStr"/>
      <c r="Y286" s="70" t="inlineStr"/>
      <c r="AC286" s="71" t="n"/>
      <c r="AZ286" s="227" t="inlineStr">
        <is>
          <t>КИ</t>
        </is>
      </c>
    </row>
    <row r="287" ht="27" customHeight="1">
      <c r="A287" s="64" t="inlineStr">
        <is>
          <t>SU001578</t>
        </is>
      </c>
      <c r="B287" s="64" t="inlineStr">
        <is>
          <t>P002562</t>
        </is>
      </c>
      <c r="C287" s="37" t="n">
        <v>4301011326</v>
      </c>
      <c r="D287" s="324" t="n">
        <v>4607091384130</v>
      </c>
      <c r="E287" s="636" t="n"/>
      <c r="F287" s="668" t="n">
        <v>2.5</v>
      </c>
      <c r="G287" s="38" t="n">
        <v>6</v>
      </c>
      <c r="H287" s="668" t="n">
        <v>15</v>
      </c>
      <c r="I287" s="668" t="n">
        <v>15.48</v>
      </c>
      <c r="J287" s="38" t="n">
        <v>48</v>
      </c>
      <c r="K287" s="39" t="inlineStr">
        <is>
          <t>СК2</t>
        </is>
      </c>
      <c r="L287" s="38" t="n">
        <v>60</v>
      </c>
      <c r="M287" s="831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N287" s="670" t="n"/>
      <c r="O287" s="670" t="n"/>
      <c r="P287" s="670" t="n"/>
      <c r="Q287" s="636" t="n"/>
      <c r="R287" s="40" t="inlineStr"/>
      <c r="S287" s="40" t="inlineStr"/>
      <c r="T287" s="41" t="inlineStr">
        <is>
          <t>кг</t>
        </is>
      </c>
      <c r="U287" s="671" t="n">
        <v>0</v>
      </c>
      <c r="V287" s="672">
        <f>IFERROR(IF(U287="",0,CEILING((U287/$H287),1)*$H287),"")</f>
        <v/>
      </c>
      <c r="W287" s="42">
        <f>IFERROR(IF(V287=0,"",ROUNDUP(V287/H287,0)*0.02175),"")</f>
        <v/>
      </c>
      <c r="X287" s="69" t="inlineStr"/>
      <c r="Y287" s="70" t="inlineStr"/>
      <c r="AC287" s="71" t="n"/>
      <c r="AZ287" s="228" t="inlineStr">
        <is>
          <t>КИ</t>
        </is>
      </c>
    </row>
    <row r="288" ht="27" customHeight="1">
      <c r="A288" s="64" t="inlineStr">
        <is>
          <t>SU001578</t>
        </is>
      </c>
      <c r="B288" s="64" t="inlineStr">
        <is>
          <t>P002582</t>
        </is>
      </c>
      <c r="C288" s="37" t="n">
        <v>4301011240</v>
      </c>
      <c r="D288" s="324" t="n">
        <v>4607091384130</v>
      </c>
      <c r="E288" s="636" t="n"/>
      <c r="F288" s="668" t="n">
        <v>2.5</v>
      </c>
      <c r="G288" s="38" t="n">
        <v>6</v>
      </c>
      <c r="H288" s="668" t="n">
        <v>15</v>
      </c>
      <c r="I288" s="668" t="n">
        <v>15.48</v>
      </c>
      <c r="J288" s="38" t="n">
        <v>48</v>
      </c>
      <c r="K288" s="39" t="inlineStr">
        <is>
          <t>ВЗ</t>
        </is>
      </c>
      <c r="L288" s="38" t="n">
        <v>60</v>
      </c>
      <c r="M288" s="832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N288" s="670" t="n"/>
      <c r="O288" s="670" t="n"/>
      <c r="P288" s="670" t="n"/>
      <c r="Q288" s="636" t="n"/>
      <c r="R288" s="40" t="inlineStr"/>
      <c r="S288" s="40" t="inlineStr"/>
      <c r="T288" s="41" t="inlineStr">
        <is>
          <t>кг</t>
        </is>
      </c>
      <c r="U288" s="671" t="n">
        <v>0</v>
      </c>
      <c r="V288" s="672">
        <f>IFERROR(IF(U288="",0,CEILING((U288/$H288),1)*$H288),"")</f>
        <v/>
      </c>
      <c r="W288" s="42">
        <f>IFERROR(IF(V288=0,"",ROUNDUP(V288/H288,0)*0.02039),"")</f>
        <v/>
      </c>
      <c r="X288" s="69" t="inlineStr"/>
      <c r="Y288" s="70" t="inlineStr"/>
      <c r="AC288" s="71" t="n"/>
      <c r="AZ288" s="229" t="inlineStr">
        <is>
          <t>КИ</t>
        </is>
      </c>
    </row>
    <row r="289" ht="16.5" customHeight="1">
      <c r="A289" s="64" t="inlineStr">
        <is>
          <t>SU000102</t>
        </is>
      </c>
      <c r="B289" s="64" t="inlineStr">
        <is>
          <t>P002564</t>
        </is>
      </c>
      <c r="C289" s="37" t="n">
        <v>4301011330</v>
      </c>
      <c r="D289" s="324" t="n">
        <v>4607091384147</v>
      </c>
      <c r="E289" s="636" t="n"/>
      <c r="F289" s="668" t="n">
        <v>2.5</v>
      </c>
      <c r="G289" s="38" t="n">
        <v>6</v>
      </c>
      <c r="H289" s="668" t="n">
        <v>15</v>
      </c>
      <c r="I289" s="668" t="n">
        <v>15.48</v>
      </c>
      <c r="J289" s="38" t="n">
        <v>48</v>
      </c>
      <c r="K289" s="39" t="inlineStr">
        <is>
          <t>СК2</t>
        </is>
      </c>
      <c r="L289" s="38" t="n">
        <v>60</v>
      </c>
      <c r="M289" s="833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N289" s="670" t="n"/>
      <c r="O289" s="670" t="n"/>
      <c r="P289" s="670" t="n"/>
      <c r="Q289" s="636" t="n"/>
      <c r="R289" s="40" t="inlineStr"/>
      <c r="S289" s="40" t="inlineStr"/>
      <c r="T289" s="41" t="inlineStr">
        <is>
          <t>кг</t>
        </is>
      </c>
      <c r="U289" s="671" t="n">
        <v>0</v>
      </c>
      <c r="V289" s="672">
        <f>IFERROR(IF(U289="",0,CEILING((U289/$H289),1)*$H289),"")</f>
        <v/>
      </c>
      <c r="W289" s="42">
        <f>IFERROR(IF(V289=0,"",ROUNDUP(V289/H289,0)*0.02175),"")</f>
        <v/>
      </c>
      <c r="X289" s="69" t="inlineStr"/>
      <c r="Y289" s="70" t="inlineStr"/>
      <c r="AC289" s="71" t="n"/>
      <c r="AZ289" s="230" t="inlineStr">
        <is>
          <t>КИ</t>
        </is>
      </c>
    </row>
    <row r="290" ht="16.5" customHeight="1">
      <c r="A290" s="64" t="inlineStr">
        <is>
          <t>SU000102</t>
        </is>
      </c>
      <c r="B290" s="64" t="inlineStr">
        <is>
          <t>P002580</t>
        </is>
      </c>
      <c r="C290" s="37" t="n">
        <v>4301011238</v>
      </c>
      <c r="D290" s="324" t="n">
        <v>4607091384147</v>
      </c>
      <c r="E290" s="636" t="n"/>
      <c r="F290" s="668" t="n">
        <v>2.5</v>
      </c>
      <c r="G290" s="38" t="n">
        <v>6</v>
      </c>
      <c r="H290" s="668" t="n">
        <v>15</v>
      </c>
      <c r="I290" s="668" t="n">
        <v>15.48</v>
      </c>
      <c r="J290" s="38" t="n">
        <v>48</v>
      </c>
      <c r="K290" s="39" t="inlineStr">
        <is>
          <t>ВЗ</t>
        </is>
      </c>
      <c r="L290" s="38" t="n">
        <v>60</v>
      </c>
      <c r="M290" s="834" t="inlineStr">
        <is>
          <t>Вареные колбасы Особая Особая Весовые П/а Особый рецепт</t>
        </is>
      </c>
      <c r="N290" s="670" t="n"/>
      <c r="O290" s="670" t="n"/>
      <c r="P290" s="670" t="n"/>
      <c r="Q290" s="636" t="n"/>
      <c r="R290" s="40" t="inlineStr"/>
      <c r="S290" s="40" t="inlineStr"/>
      <c r="T290" s="41" t="inlineStr">
        <is>
          <t>кг</t>
        </is>
      </c>
      <c r="U290" s="671" t="n">
        <v>0</v>
      </c>
      <c r="V290" s="672">
        <f>IFERROR(IF(U290="",0,CEILING((U290/$H290),1)*$H290),"")</f>
        <v/>
      </c>
      <c r="W290" s="42">
        <f>IFERROR(IF(V290=0,"",ROUNDUP(V290/H290,0)*0.02039),"")</f>
        <v/>
      </c>
      <c r="X290" s="69" t="inlineStr"/>
      <c r="Y290" s="70" t="inlineStr"/>
      <c r="AC290" s="71" t="n"/>
      <c r="AZ290" s="231" t="inlineStr">
        <is>
          <t>КИ</t>
        </is>
      </c>
    </row>
    <row r="291" ht="27" customHeight="1">
      <c r="A291" s="64" t="inlineStr">
        <is>
          <t>SU001989</t>
        </is>
      </c>
      <c r="B291" s="64" t="inlineStr">
        <is>
          <t>P002560</t>
        </is>
      </c>
      <c r="C291" s="37" t="n">
        <v>4301011327</v>
      </c>
      <c r="D291" s="324" t="n">
        <v>4607091384154</v>
      </c>
      <c r="E291" s="636" t="n"/>
      <c r="F291" s="668" t="n">
        <v>0.5</v>
      </c>
      <c r="G291" s="38" t="n">
        <v>10</v>
      </c>
      <c r="H291" s="668" t="n">
        <v>5</v>
      </c>
      <c r="I291" s="668" t="n">
        <v>5.21</v>
      </c>
      <c r="J291" s="38" t="n">
        <v>120</v>
      </c>
      <c r="K291" s="39" t="inlineStr">
        <is>
          <t>СК2</t>
        </is>
      </c>
      <c r="L291" s="38" t="n">
        <v>60</v>
      </c>
      <c r="M291" s="835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N291" s="670" t="n"/>
      <c r="O291" s="670" t="n"/>
      <c r="P291" s="670" t="n"/>
      <c r="Q291" s="636" t="n"/>
      <c r="R291" s="40" t="inlineStr"/>
      <c r="S291" s="40" t="inlineStr"/>
      <c r="T291" s="41" t="inlineStr">
        <is>
          <t>кг</t>
        </is>
      </c>
      <c r="U291" s="671" t="n">
        <v>0</v>
      </c>
      <c r="V291" s="672">
        <f>IFERROR(IF(U291="",0,CEILING((U291/$H291),1)*$H291),"")</f>
        <v/>
      </c>
      <c r="W291" s="42">
        <f>IFERROR(IF(V291=0,"",ROUNDUP(V291/H291,0)*0.00937),"")</f>
        <v/>
      </c>
      <c r="X291" s="69" t="inlineStr"/>
      <c r="Y291" s="70" t="inlineStr"/>
      <c r="AC291" s="71" t="n"/>
      <c r="AZ291" s="232" t="inlineStr">
        <is>
          <t>КИ</t>
        </is>
      </c>
    </row>
    <row r="292" ht="27" customHeight="1">
      <c r="A292" s="64" t="inlineStr">
        <is>
          <t>SU000256</t>
        </is>
      </c>
      <c r="B292" s="64" t="inlineStr">
        <is>
          <t>P002565</t>
        </is>
      </c>
      <c r="C292" s="37" t="n">
        <v>4301011332</v>
      </c>
      <c r="D292" s="324" t="n">
        <v>4607091384161</v>
      </c>
      <c r="E292" s="636" t="n"/>
      <c r="F292" s="668" t="n">
        <v>0.5</v>
      </c>
      <c r="G292" s="38" t="n">
        <v>10</v>
      </c>
      <c r="H292" s="668" t="n">
        <v>5</v>
      </c>
      <c r="I292" s="668" t="n">
        <v>5.21</v>
      </c>
      <c r="J292" s="38" t="n">
        <v>120</v>
      </c>
      <c r="K292" s="39" t="inlineStr">
        <is>
          <t>СК2</t>
        </is>
      </c>
      <c r="L292" s="38" t="n">
        <v>60</v>
      </c>
      <c r="M292" s="836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N292" s="670" t="n"/>
      <c r="O292" s="670" t="n"/>
      <c r="P292" s="670" t="n"/>
      <c r="Q292" s="636" t="n"/>
      <c r="R292" s="40" t="inlineStr"/>
      <c r="S292" s="40" t="inlineStr"/>
      <c r="T292" s="41" t="inlineStr">
        <is>
          <t>кг</t>
        </is>
      </c>
      <c r="U292" s="671" t="n">
        <v>0</v>
      </c>
      <c r="V292" s="672">
        <f>IFERROR(IF(U292="",0,CEILING((U292/$H292),1)*$H292),"")</f>
        <v/>
      </c>
      <c r="W292" s="42">
        <f>IFERROR(IF(V292=0,"",ROUNDUP(V292/H292,0)*0.00937),"")</f>
        <v/>
      </c>
      <c r="X292" s="69" t="inlineStr"/>
      <c r="Y292" s="70" t="inlineStr"/>
      <c r="AC292" s="71" t="n"/>
      <c r="AZ292" s="233" t="inlineStr">
        <is>
          <t>КИ</t>
        </is>
      </c>
    </row>
    <row r="293">
      <c r="A293" s="319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673" t="n"/>
      <c r="M293" s="674" t="inlineStr">
        <is>
          <t>Итого</t>
        </is>
      </c>
      <c r="N293" s="644" t="n"/>
      <c r="O293" s="644" t="n"/>
      <c r="P293" s="644" t="n"/>
      <c r="Q293" s="644" t="n"/>
      <c r="R293" s="644" t="n"/>
      <c r="S293" s="645" t="n"/>
      <c r="T293" s="43" t="inlineStr">
        <is>
          <t>кор</t>
        </is>
      </c>
      <c r="U293" s="675">
        <f>IFERROR(U285/H285,"0")+IFERROR(U286/H286,"0")+IFERROR(U287/H287,"0")+IFERROR(U288/H288,"0")+IFERROR(U289/H289,"0")+IFERROR(U290/H290,"0")+IFERROR(U291/H291,"0")+IFERROR(U292/H292,"0")</f>
        <v/>
      </c>
      <c r="V293" s="675">
        <f>IFERROR(V285/H285,"0")+IFERROR(V286/H286,"0")+IFERROR(V287/H287,"0")+IFERROR(V288/H288,"0")+IFERROR(V289/H289,"0")+IFERROR(V290/H290,"0")+IFERROR(V291/H291,"0")+IFERROR(V292/H292,"0")</f>
        <v/>
      </c>
      <c r="W293" s="675">
        <f>IFERROR(IF(W285="",0,W285),"0")+IFERROR(IF(W286="",0,W286),"0")+IFERROR(IF(W287="",0,W287),"0")+IFERROR(IF(W288="",0,W288),"0")+IFERROR(IF(W289="",0,W289),"0")+IFERROR(IF(W290="",0,W290),"0")+IFERROR(IF(W291="",0,W291),"0")+IFERROR(IF(W292="",0,W292),"0")</f>
        <v/>
      </c>
      <c r="X293" s="676" t="n"/>
      <c r="Y293" s="676" t="n"/>
    </row>
    <row r="294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673" t="n"/>
      <c r="M294" s="674" t="inlineStr">
        <is>
          <t>Итого</t>
        </is>
      </c>
      <c r="N294" s="644" t="n"/>
      <c r="O294" s="644" t="n"/>
      <c r="P294" s="644" t="n"/>
      <c r="Q294" s="644" t="n"/>
      <c r="R294" s="644" t="n"/>
      <c r="S294" s="645" t="n"/>
      <c r="T294" s="43" t="inlineStr">
        <is>
          <t>кг</t>
        </is>
      </c>
      <c r="U294" s="675">
        <f>IFERROR(SUM(U285:U292),"0")</f>
        <v/>
      </c>
      <c r="V294" s="675">
        <f>IFERROR(SUM(V285:V292),"0")</f>
        <v/>
      </c>
      <c r="W294" s="43" t="n"/>
      <c r="X294" s="676" t="n"/>
      <c r="Y294" s="676" t="n"/>
    </row>
    <row r="295" ht="14.25" customHeight="1">
      <c r="A295" s="329" t="inlineStr">
        <is>
          <t>Ветчины</t>
        </is>
      </c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329" t="n"/>
      <c r="Y295" s="329" t="n"/>
    </row>
    <row r="296" ht="27" customHeight="1">
      <c r="A296" s="64" t="inlineStr">
        <is>
          <t>SU000126</t>
        </is>
      </c>
      <c r="B296" s="64" t="inlineStr">
        <is>
          <t>P002555</t>
        </is>
      </c>
      <c r="C296" s="37" t="n">
        <v>4301020178</v>
      </c>
      <c r="D296" s="324" t="n">
        <v>4607091383980</v>
      </c>
      <c r="E296" s="636" t="n"/>
      <c r="F296" s="668" t="n">
        <v>2.5</v>
      </c>
      <c r="G296" s="38" t="n">
        <v>6</v>
      </c>
      <c r="H296" s="668" t="n">
        <v>15</v>
      </c>
      <c r="I296" s="668" t="n">
        <v>15.48</v>
      </c>
      <c r="J296" s="38" t="n">
        <v>48</v>
      </c>
      <c r="K296" s="39" t="inlineStr">
        <is>
          <t>СК1</t>
        </is>
      </c>
      <c r="L296" s="38" t="n">
        <v>50</v>
      </c>
      <c r="M296" s="837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N296" s="670" t="n"/>
      <c r="O296" s="670" t="n"/>
      <c r="P296" s="670" t="n"/>
      <c r="Q296" s="636" t="n"/>
      <c r="R296" s="40" t="inlineStr"/>
      <c r="S296" s="40" t="inlineStr"/>
      <c r="T296" s="41" t="inlineStr">
        <is>
          <t>кг</t>
        </is>
      </c>
      <c r="U296" s="671" t="n">
        <v>0</v>
      </c>
      <c r="V296" s="672">
        <f>IFERROR(IF(U296="",0,CEILING((U296/$H296),1)*$H296),"")</f>
        <v/>
      </c>
      <c r="W296" s="42">
        <f>IFERROR(IF(V296=0,"",ROUNDUP(V296/H296,0)*0.02175),"")</f>
        <v/>
      </c>
      <c r="X296" s="69" t="inlineStr"/>
      <c r="Y296" s="70" t="inlineStr"/>
      <c r="AC296" s="71" t="n"/>
      <c r="AZ296" s="234" t="inlineStr">
        <is>
          <t>КИ</t>
        </is>
      </c>
    </row>
    <row r="297" ht="27" customHeight="1">
      <c r="A297" s="64" t="inlineStr">
        <is>
          <t>SU002027</t>
        </is>
      </c>
      <c r="B297" s="64" t="inlineStr">
        <is>
          <t>P002556</t>
        </is>
      </c>
      <c r="C297" s="37" t="n">
        <v>4301020179</v>
      </c>
      <c r="D297" s="324" t="n">
        <v>4607091384178</v>
      </c>
      <c r="E297" s="636" t="n"/>
      <c r="F297" s="668" t="n">
        <v>0.4</v>
      </c>
      <c r="G297" s="38" t="n">
        <v>10</v>
      </c>
      <c r="H297" s="668" t="n">
        <v>4</v>
      </c>
      <c r="I297" s="668" t="n">
        <v>4.24</v>
      </c>
      <c r="J297" s="38" t="n">
        <v>120</v>
      </c>
      <c r="K297" s="39" t="inlineStr">
        <is>
          <t>СК1</t>
        </is>
      </c>
      <c r="L297" s="38" t="n">
        <v>50</v>
      </c>
      <c r="M297" s="838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N297" s="670" t="n"/>
      <c r="O297" s="670" t="n"/>
      <c r="P297" s="670" t="n"/>
      <c r="Q297" s="636" t="n"/>
      <c r="R297" s="40" t="inlineStr"/>
      <c r="S297" s="40" t="inlineStr"/>
      <c r="T297" s="41" t="inlineStr">
        <is>
          <t>кг</t>
        </is>
      </c>
      <c r="U297" s="671" t="n">
        <v>0</v>
      </c>
      <c r="V297" s="672">
        <f>IFERROR(IF(U297="",0,CEILING((U297/$H297),1)*$H297),"")</f>
        <v/>
      </c>
      <c r="W297" s="42">
        <f>IFERROR(IF(V297=0,"",ROUNDUP(V297/H297,0)*0.00937),"")</f>
        <v/>
      </c>
      <c r="X297" s="69" t="inlineStr"/>
      <c r="Y297" s="70" t="inlineStr"/>
      <c r="AC297" s="71" t="n"/>
      <c r="AZ297" s="235" t="inlineStr">
        <is>
          <t>КИ</t>
        </is>
      </c>
    </row>
    <row r="298">
      <c r="A298" s="319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673" t="n"/>
      <c r="M298" s="674" t="inlineStr">
        <is>
          <t>Итого</t>
        </is>
      </c>
      <c r="N298" s="644" t="n"/>
      <c r="O298" s="644" t="n"/>
      <c r="P298" s="644" t="n"/>
      <c r="Q298" s="644" t="n"/>
      <c r="R298" s="644" t="n"/>
      <c r="S298" s="645" t="n"/>
      <c r="T298" s="43" t="inlineStr">
        <is>
          <t>кор</t>
        </is>
      </c>
      <c r="U298" s="675">
        <f>IFERROR(U296/H296,"0")+IFERROR(U297/H297,"0")</f>
        <v/>
      </c>
      <c r="V298" s="675">
        <f>IFERROR(V296/H296,"0")+IFERROR(V297/H297,"0")</f>
        <v/>
      </c>
      <c r="W298" s="675">
        <f>IFERROR(IF(W296="",0,W296),"0")+IFERROR(IF(W297="",0,W297),"0")</f>
        <v/>
      </c>
      <c r="X298" s="676" t="n"/>
      <c r="Y298" s="676" t="n"/>
    </row>
    <row r="299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673" t="n"/>
      <c r="M299" s="674" t="inlineStr">
        <is>
          <t>Итого</t>
        </is>
      </c>
      <c r="N299" s="644" t="n"/>
      <c r="O299" s="644" t="n"/>
      <c r="P299" s="644" t="n"/>
      <c r="Q299" s="644" t="n"/>
      <c r="R299" s="644" t="n"/>
      <c r="S299" s="645" t="n"/>
      <c r="T299" s="43" t="inlineStr">
        <is>
          <t>кг</t>
        </is>
      </c>
      <c r="U299" s="675">
        <f>IFERROR(SUM(U296:U297),"0")</f>
        <v/>
      </c>
      <c r="V299" s="675">
        <f>IFERROR(SUM(V296:V297),"0")</f>
        <v/>
      </c>
      <c r="W299" s="43" t="n"/>
      <c r="X299" s="676" t="n"/>
      <c r="Y299" s="676" t="n"/>
    </row>
    <row r="300" ht="14.25" customHeight="1">
      <c r="A300" s="329" t="inlineStr">
        <is>
          <t>Сосиски</t>
        </is>
      </c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329" t="n"/>
      <c r="Y300" s="329" t="n"/>
    </row>
    <row r="301" ht="27" customHeight="1">
      <c r="A301" s="64" t="inlineStr">
        <is>
          <t>SU000246</t>
        </is>
      </c>
      <c r="B301" s="64" t="inlineStr">
        <is>
          <t>P002690</t>
        </is>
      </c>
      <c r="C301" s="37" t="n">
        <v>4301051298</v>
      </c>
      <c r="D301" s="324" t="n">
        <v>4607091384260</v>
      </c>
      <c r="E301" s="636" t="n"/>
      <c r="F301" s="668" t="n">
        <v>1.3</v>
      </c>
      <c r="G301" s="38" t="n">
        <v>6</v>
      </c>
      <c r="H301" s="668" t="n">
        <v>7.8</v>
      </c>
      <c r="I301" s="668" t="n">
        <v>8.364000000000001</v>
      </c>
      <c r="J301" s="38" t="n">
        <v>56</v>
      </c>
      <c r="K301" s="39" t="inlineStr">
        <is>
          <t>СК2</t>
        </is>
      </c>
      <c r="L301" s="38" t="n">
        <v>35</v>
      </c>
      <c r="M301" s="839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N301" s="670" t="n"/>
      <c r="O301" s="670" t="n"/>
      <c r="P301" s="670" t="n"/>
      <c r="Q301" s="636" t="n"/>
      <c r="R301" s="40" t="inlineStr"/>
      <c r="S301" s="40" t="inlineStr"/>
      <c r="T301" s="41" t="inlineStr">
        <is>
          <t>кг</t>
        </is>
      </c>
      <c r="U301" s="671" t="n">
        <v>0</v>
      </c>
      <c r="V301" s="672">
        <f>IFERROR(IF(U301="",0,CEILING((U301/$H301),1)*$H301),"")</f>
        <v/>
      </c>
      <c r="W301" s="42">
        <f>IFERROR(IF(V301=0,"",ROUNDUP(V301/H301,0)*0.02175),"")</f>
        <v/>
      </c>
      <c r="X301" s="69" t="inlineStr"/>
      <c r="Y301" s="70" t="inlineStr"/>
      <c r="AC301" s="71" t="n"/>
      <c r="AZ301" s="236" t="inlineStr">
        <is>
          <t>КИ</t>
        </is>
      </c>
    </row>
    <row r="302">
      <c r="A302" s="319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673" t="n"/>
      <c r="M302" s="674" t="inlineStr">
        <is>
          <t>Итого</t>
        </is>
      </c>
      <c r="N302" s="644" t="n"/>
      <c r="O302" s="644" t="n"/>
      <c r="P302" s="644" t="n"/>
      <c r="Q302" s="644" t="n"/>
      <c r="R302" s="644" t="n"/>
      <c r="S302" s="645" t="n"/>
      <c r="T302" s="43" t="inlineStr">
        <is>
          <t>кор</t>
        </is>
      </c>
      <c r="U302" s="675">
        <f>IFERROR(U301/H301,"0")</f>
        <v/>
      </c>
      <c r="V302" s="675">
        <f>IFERROR(V301/H301,"0")</f>
        <v/>
      </c>
      <c r="W302" s="675">
        <f>IFERROR(IF(W301="",0,W301),"0")</f>
        <v/>
      </c>
      <c r="X302" s="676" t="n"/>
      <c r="Y302" s="676" t="n"/>
    </row>
    <row r="303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673" t="n"/>
      <c r="M303" s="674" t="inlineStr">
        <is>
          <t>Итого</t>
        </is>
      </c>
      <c r="N303" s="644" t="n"/>
      <c r="O303" s="644" t="n"/>
      <c r="P303" s="644" t="n"/>
      <c r="Q303" s="644" t="n"/>
      <c r="R303" s="644" t="n"/>
      <c r="S303" s="645" t="n"/>
      <c r="T303" s="43" t="inlineStr">
        <is>
          <t>кг</t>
        </is>
      </c>
      <c r="U303" s="675">
        <f>IFERROR(SUM(U301:U301),"0")</f>
        <v/>
      </c>
      <c r="V303" s="675">
        <f>IFERROR(SUM(V301:V301),"0")</f>
        <v/>
      </c>
      <c r="W303" s="43" t="n"/>
      <c r="X303" s="676" t="n"/>
      <c r="Y303" s="676" t="n"/>
    </row>
    <row r="304" ht="14.25" customHeight="1">
      <c r="A304" s="329" t="inlineStr">
        <is>
          <t>Сардельки</t>
        </is>
      </c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329" t="n"/>
      <c r="Y304" s="329" t="n"/>
    </row>
    <row r="305" ht="16.5" customHeight="1">
      <c r="A305" s="64" t="inlineStr">
        <is>
          <t>SU002287</t>
        </is>
      </c>
      <c r="B305" s="64" t="inlineStr">
        <is>
          <t>P002490</t>
        </is>
      </c>
      <c r="C305" s="37" t="n">
        <v>4301060314</v>
      </c>
      <c r="D305" s="324" t="n">
        <v>4607091384673</v>
      </c>
      <c r="E305" s="636" t="n"/>
      <c r="F305" s="668" t="n">
        <v>1.3</v>
      </c>
      <c r="G305" s="38" t="n">
        <v>6</v>
      </c>
      <c r="H305" s="668" t="n">
        <v>7.8</v>
      </c>
      <c r="I305" s="668" t="n">
        <v>8.364000000000001</v>
      </c>
      <c r="J305" s="38" t="n">
        <v>56</v>
      </c>
      <c r="K305" s="39" t="inlineStr">
        <is>
          <t>СК2</t>
        </is>
      </c>
      <c r="L305" s="38" t="n">
        <v>30</v>
      </c>
      <c r="M305" s="840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N305" s="670" t="n"/>
      <c r="O305" s="670" t="n"/>
      <c r="P305" s="670" t="n"/>
      <c r="Q305" s="636" t="n"/>
      <c r="R305" s="40" t="inlineStr"/>
      <c r="S305" s="40" t="inlineStr"/>
      <c r="T305" s="41" t="inlineStr">
        <is>
          <t>кг</t>
        </is>
      </c>
      <c r="U305" s="671" t="n">
        <v>0</v>
      </c>
      <c r="V305" s="672">
        <f>IFERROR(IF(U305="",0,CEILING((U305/$H305),1)*$H305),"")</f>
        <v/>
      </c>
      <c r="W305" s="42">
        <f>IFERROR(IF(V305=0,"",ROUNDUP(V305/H305,0)*0.02175),"")</f>
        <v/>
      </c>
      <c r="X305" s="69" t="inlineStr"/>
      <c r="Y305" s="70" t="inlineStr"/>
      <c r="AC305" s="71" t="n"/>
      <c r="AZ305" s="237" t="inlineStr">
        <is>
          <t>КИ</t>
        </is>
      </c>
    </row>
    <row r="306">
      <c r="A306" s="319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673" t="n"/>
      <c r="M306" s="674" t="inlineStr">
        <is>
          <t>Итого</t>
        </is>
      </c>
      <c r="N306" s="644" t="n"/>
      <c r="O306" s="644" t="n"/>
      <c r="P306" s="644" t="n"/>
      <c r="Q306" s="644" t="n"/>
      <c r="R306" s="644" t="n"/>
      <c r="S306" s="645" t="n"/>
      <c r="T306" s="43" t="inlineStr">
        <is>
          <t>кор</t>
        </is>
      </c>
      <c r="U306" s="675">
        <f>IFERROR(U305/H305,"0")</f>
        <v/>
      </c>
      <c r="V306" s="675">
        <f>IFERROR(V305/H305,"0")</f>
        <v/>
      </c>
      <c r="W306" s="675">
        <f>IFERROR(IF(W305="",0,W305),"0")</f>
        <v/>
      </c>
      <c r="X306" s="676" t="n"/>
      <c r="Y306" s="676" t="n"/>
    </row>
    <row r="307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673" t="n"/>
      <c r="M307" s="674" t="inlineStr">
        <is>
          <t>Итого</t>
        </is>
      </c>
      <c r="N307" s="644" t="n"/>
      <c r="O307" s="644" t="n"/>
      <c r="P307" s="644" t="n"/>
      <c r="Q307" s="644" t="n"/>
      <c r="R307" s="644" t="n"/>
      <c r="S307" s="645" t="n"/>
      <c r="T307" s="43" t="inlineStr">
        <is>
          <t>кг</t>
        </is>
      </c>
      <c r="U307" s="675">
        <f>IFERROR(SUM(U305:U305),"0")</f>
        <v/>
      </c>
      <c r="V307" s="675">
        <f>IFERROR(SUM(V305:V305),"0")</f>
        <v/>
      </c>
      <c r="W307" s="43" t="n"/>
      <c r="X307" s="676" t="n"/>
      <c r="Y307" s="676" t="n"/>
    </row>
    <row r="308" ht="16.5" customHeight="1">
      <c r="A308" s="328" t="inlineStr">
        <is>
          <t>Особая Без свинины</t>
        </is>
      </c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328" t="n"/>
      <c r="Y308" s="328" t="n"/>
    </row>
    <row r="309" ht="14.25" customHeight="1">
      <c r="A309" s="329" t="inlineStr">
        <is>
          <t>Вареные колбасы</t>
        </is>
      </c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329" t="n"/>
      <c r="Y309" s="329" t="n"/>
    </row>
    <row r="310" ht="27" customHeight="1">
      <c r="A310" s="64" t="inlineStr">
        <is>
          <t>SU002073</t>
        </is>
      </c>
      <c r="B310" s="64" t="inlineStr">
        <is>
          <t>P002563</t>
        </is>
      </c>
      <c r="C310" s="37" t="n">
        <v>4301011324</v>
      </c>
      <c r="D310" s="324" t="n">
        <v>4607091384185</v>
      </c>
      <c r="E310" s="636" t="n"/>
      <c r="F310" s="668" t="n">
        <v>0.8</v>
      </c>
      <c r="G310" s="38" t="n">
        <v>15</v>
      </c>
      <c r="H310" s="668" t="n">
        <v>12</v>
      </c>
      <c r="I310" s="668" t="n">
        <v>12.48</v>
      </c>
      <c r="J310" s="38" t="n">
        <v>56</v>
      </c>
      <c r="K310" s="39" t="inlineStr">
        <is>
          <t>СК2</t>
        </is>
      </c>
      <c r="L310" s="38" t="n">
        <v>60</v>
      </c>
      <c r="M310" s="841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N310" s="670" t="n"/>
      <c r="O310" s="670" t="n"/>
      <c r="P310" s="670" t="n"/>
      <c r="Q310" s="636" t="n"/>
      <c r="R310" s="40" t="inlineStr"/>
      <c r="S310" s="40" t="inlineStr"/>
      <c r="T310" s="41" t="inlineStr">
        <is>
          <t>кг</t>
        </is>
      </c>
      <c r="U310" s="671" t="n">
        <v>0</v>
      </c>
      <c r="V310" s="672">
        <f>IFERROR(IF(U310="",0,CEILING((U310/$H310),1)*$H310),"")</f>
        <v/>
      </c>
      <c r="W310" s="42">
        <f>IFERROR(IF(V310=0,"",ROUNDUP(V310/H310,0)*0.02175),"")</f>
        <v/>
      </c>
      <c r="X310" s="69" t="inlineStr"/>
      <c r="Y310" s="70" t="inlineStr"/>
      <c r="AC310" s="71" t="n"/>
      <c r="AZ310" s="238" t="inlineStr">
        <is>
          <t>КИ</t>
        </is>
      </c>
    </row>
    <row r="311" ht="27" customHeight="1">
      <c r="A311" s="64" t="inlineStr">
        <is>
          <t>SU002187</t>
        </is>
      </c>
      <c r="B311" s="64" t="inlineStr">
        <is>
          <t>P002559</t>
        </is>
      </c>
      <c r="C311" s="37" t="n">
        <v>4301011312</v>
      </c>
      <c r="D311" s="324" t="n">
        <v>4607091384192</v>
      </c>
      <c r="E311" s="636" t="n"/>
      <c r="F311" s="668" t="n">
        <v>1.8</v>
      </c>
      <c r="G311" s="38" t="n">
        <v>6</v>
      </c>
      <c r="H311" s="668" t="n">
        <v>10.8</v>
      </c>
      <c r="I311" s="668" t="n">
        <v>11.28</v>
      </c>
      <c r="J311" s="38" t="n">
        <v>56</v>
      </c>
      <c r="K311" s="39" t="inlineStr">
        <is>
          <t>СК1</t>
        </is>
      </c>
      <c r="L311" s="38" t="n">
        <v>60</v>
      </c>
      <c r="M311" s="842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N311" s="670" t="n"/>
      <c r="O311" s="670" t="n"/>
      <c r="P311" s="670" t="n"/>
      <c r="Q311" s="636" t="n"/>
      <c r="R311" s="40" t="inlineStr"/>
      <c r="S311" s="40" t="inlineStr"/>
      <c r="T311" s="41" t="inlineStr">
        <is>
          <t>кг</t>
        </is>
      </c>
      <c r="U311" s="671" t="n">
        <v>0</v>
      </c>
      <c r="V311" s="672">
        <f>IFERROR(IF(U311="",0,CEILING((U311/$H311),1)*$H311),"")</f>
        <v/>
      </c>
      <c r="W311" s="42">
        <f>IFERROR(IF(V311=0,"",ROUNDUP(V311/H311,0)*0.02175),"")</f>
        <v/>
      </c>
      <c r="X311" s="69" t="inlineStr"/>
      <c r="Y311" s="70" t="inlineStr"/>
      <c r="AC311" s="71" t="n"/>
      <c r="AZ311" s="239" t="inlineStr">
        <is>
          <t>КИ</t>
        </is>
      </c>
    </row>
    <row r="312" ht="27" customHeight="1">
      <c r="A312" s="64" t="inlineStr">
        <is>
          <t>SU002899</t>
        </is>
      </c>
      <c r="B312" s="64" t="inlineStr">
        <is>
          <t>P003323</t>
        </is>
      </c>
      <c r="C312" s="37" t="n">
        <v>4301011483</v>
      </c>
      <c r="D312" s="324" t="n">
        <v>4680115881907</v>
      </c>
      <c r="E312" s="636" t="n"/>
      <c r="F312" s="668" t="n">
        <v>1.8</v>
      </c>
      <c r="G312" s="38" t="n">
        <v>6</v>
      </c>
      <c r="H312" s="668" t="n">
        <v>10.8</v>
      </c>
      <c r="I312" s="668" t="n">
        <v>11.28</v>
      </c>
      <c r="J312" s="38" t="n">
        <v>56</v>
      </c>
      <c r="K312" s="39" t="inlineStr">
        <is>
          <t>СК2</t>
        </is>
      </c>
      <c r="L312" s="38" t="n">
        <v>60</v>
      </c>
      <c r="M312" s="843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N312" s="670" t="n"/>
      <c r="O312" s="670" t="n"/>
      <c r="P312" s="670" t="n"/>
      <c r="Q312" s="636" t="n"/>
      <c r="R312" s="40" t="inlineStr"/>
      <c r="S312" s="40" t="inlineStr"/>
      <c r="T312" s="41" t="inlineStr">
        <is>
          <t>кг</t>
        </is>
      </c>
      <c r="U312" s="671" t="n">
        <v>0</v>
      </c>
      <c r="V312" s="672">
        <f>IFERROR(IF(U312="",0,CEILING((U312/$H312),1)*$H312),"")</f>
        <v/>
      </c>
      <c r="W312" s="42">
        <f>IFERROR(IF(V312=0,"",ROUNDUP(V312/H312,0)*0.02175),"")</f>
        <v/>
      </c>
      <c r="X312" s="69" t="inlineStr"/>
      <c r="Y312" s="70" t="inlineStr"/>
      <c r="AC312" s="71" t="n"/>
      <c r="AZ312" s="240" t="inlineStr">
        <is>
          <t>КИ</t>
        </is>
      </c>
    </row>
    <row r="313" ht="27" customHeight="1">
      <c r="A313" s="64" t="inlineStr">
        <is>
          <t>SU002462</t>
        </is>
      </c>
      <c r="B313" s="64" t="inlineStr">
        <is>
          <t>P002768</t>
        </is>
      </c>
      <c r="C313" s="37" t="n">
        <v>4301011303</v>
      </c>
      <c r="D313" s="324" t="n">
        <v>4607091384680</v>
      </c>
      <c r="E313" s="636" t="n"/>
      <c r="F313" s="668" t="n">
        <v>0.4</v>
      </c>
      <c r="G313" s="38" t="n">
        <v>10</v>
      </c>
      <c r="H313" s="668" t="n">
        <v>4</v>
      </c>
      <c r="I313" s="668" t="n">
        <v>4.21</v>
      </c>
      <c r="J313" s="38" t="n">
        <v>120</v>
      </c>
      <c r="K313" s="39" t="inlineStr">
        <is>
          <t>СК2</t>
        </is>
      </c>
      <c r="L313" s="38" t="n">
        <v>60</v>
      </c>
      <c r="M313" s="844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N313" s="670" t="n"/>
      <c r="O313" s="670" t="n"/>
      <c r="P313" s="670" t="n"/>
      <c r="Q313" s="636" t="n"/>
      <c r="R313" s="40" t="inlineStr"/>
      <c r="S313" s="40" t="inlineStr"/>
      <c r="T313" s="41" t="inlineStr">
        <is>
          <t>кг</t>
        </is>
      </c>
      <c r="U313" s="671" t="n">
        <v>0</v>
      </c>
      <c r="V313" s="672">
        <f>IFERROR(IF(U313="",0,CEILING((U313/$H313),1)*$H313),"")</f>
        <v/>
      </c>
      <c r="W313" s="42">
        <f>IFERROR(IF(V313=0,"",ROUNDUP(V313/H313,0)*0.00937),"")</f>
        <v/>
      </c>
      <c r="X313" s="69" t="inlineStr"/>
      <c r="Y313" s="70" t="inlineStr"/>
      <c r="AC313" s="71" t="n"/>
      <c r="AZ313" s="241" t="inlineStr">
        <is>
          <t>КИ</t>
        </is>
      </c>
    </row>
    <row r="314">
      <c r="A314" s="319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673" t="n"/>
      <c r="M314" s="674" t="inlineStr">
        <is>
          <t>Итого</t>
        </is>
      </c>
      <c r="N314" s="644" t="n"/>
      <c r="O314" s="644" t="n"/>
      <c r="P314" s="644" t="n"/>
      <c r="Q314" s="644" t="n"/>
      <c r="R314" s="644" t="n"/>
      <c r="S314" s="645" t="n"/>
      <c r="T314" s="43" t="inlineStr">
        <is>
          <t>кор</t>
        </is>
      </c>
      <c r="U314" s="675">
        <f>IFERROR(U310/H310,"0")+IFERROR(U311/H311,"0")+IFERROR(U312/H312,"0")+IFERROR(U313/H313,"0")</f>
        <v/>
      </c>
      <c r="V314" s="675">
        <f>IFERROR(V310/H310,"0")+IFERROR(V311/H311,"0")+IFERROR(V312/H312,"0")+IFERROR(V313/H313,"0")</f>
        <v/>
      </c>
      <c r="W314" s="675">
        <f>IFERROR(IF(W310="",0,W310),"0")+IFERROR(IF(W311="",0,W311),"0")+IFERROR(IF(W312="",0,W312),"0")+IFERROR(IF(W313="",0,W313),"0")</f>
        <v/>
      </c>
      <c r="X314" s="676" t="n"/>
      <c r="Y314" s="676" t="n"/>
    </row>
    <row r="315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673" t="n"/>
      <c r="M315" s="674" t="inlineStr">
        <is>
          <t>Итого</t>
        </is>
      </c>
      <c r="N315" s="644" t="n"/>
      <c r="O315" s="644" t="n"/>
      <c r="P315" s="644" t="n"/>
      <c r="Q315" s="644" t="n"/>
      <c r="R315" s="644" t="n"/>
      <c r="S315" s="645" t="n"/>
      <c r="T315" s="43" t="inlineStr">
        <is>
          <t>кг</t>
        </is>
      </c>
      <c r="U315" s="675">
        <f>IFERROR(SUM(U310:U313),"0")</f>
        <v/>
      </c>
      <c r="V315" s="675">
        <f>IFERROR(SUM(V310:V313),"0")</f>
        <v/>
      </c>
      <c r="W315" s="43" t="n"/>
      <c r="X315" s="676" t="n"/>
      <c r="Y315" s="676" t="n"/>
    </row>
    <row r="316" ht="14.25" customHeight="1">
      <c r="A316" s="329" t="inlineStr">
        <is>
          <t>Копченые колбасы</t>
        </is>
      </c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329" t="n"/>
      <c r="Y316" s="329" t="n"/>
    </row>
    <row r="317" ht="27" customHeight="1">
      <c r="A317" s="64" t="inlineStr">
        <is>
          <t>SU002360</t>
        </is>
      </c>
      <c r="B317" s="64" t="inlineStr">
        <is>
          <t>P002629</t>
        </is>
      </c>
      <c r="C317" s="37" t="n">
        <v>4301031139</v>
      </c>
      <c r="D317" s="324" t="n">
        <v>4607091384802</v>
      </c>
      <c r="E317" s="636" t="n"/>
      <c r="F317" s="668" t="n">
        <v>0.73</v>
      </c>
      <c r="G317" s="38" t="n">
        <v>6</v>
      </c>
      <c r="H317" s="668" t="n">
        <v>4.38</v>
      </c>
      <c r="I317" s="668" t="n">
        <v>4.58</v>
      </c>
      <c r="J317" s="38" t="n">
        <v>156</v>
      </c>
      <c r="K317" s="39" t="inlineStr">
        <is>
          <t>СК2</t>
        </is>
      </c>
      <c r="L317" s="38" t="n">
        <v>35</v>
      </c>
      <c r="M317" s="845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N317" s="670" t="n"/>
      <c r="O317" s="670" t="n"/>
      <c r="P317" s="670" t="n"/>
      <c r="Q317" s="636" t="n"/>
      <c r="R317" s="40" t="inlineStr"/>
      <c r="S317" s="40" t="inlineStr"/>
      <c r="T317" s="41" t="inlineStr">
        <is>
          <t>кг</t>
        </is>
      </c>
      <c r="U317" s="671" t="n">
        <v>0</v>
      </c>
      <c r="V317" s="672">
        <f>IFERROR(IF(U317="",0,CEILING((U317/$H317),1)*$H317),"")</f>
        <v/>
      </c>
      <c r="W317" s="42">
        <f>IFERROR(IF(V317=0,"",ROUNDUP(V317/H317,0)*0.00753),"")</f>
        <v/>
      </c>
      <c r="X317" s="69" t="inlineStr"/>
      <c r="Y317" s="70" t="inlineStr"/>
      <c r="AC317" s="71" t="n"/>
      <c r="AZ317" s="242" t="inlineStr">
        <is>
          <t>КИ</t>
        </is>
      </c>
    </row>
    <row r="318" ht="27" customHeight="1">
      <c r="A318" s="64" t="inlineStr">
        <is>
          <t>SU002361</t>
        </is>
      </c>
      <c r="B318" s="64" t="inlineStr">
        <is>
          <t>P002630</t>
        </is>
      </c>
      <c r="C318" s="37" t="n">
        <v>4301031140</v>
      </c>
      <c r="D318" s="324" t="n">
        <v>4607091384826</v>
      </c>
      <c r="E318" s="636" t="n"/>
      <c r="F318" s="668" t="n">
        <v>0.35</v>
      </c>
      <c r="G318" s="38" t="n">
        <v>8</v>
      </c>
      <c r="H318" s="668" t="n">
        <v>2.8</v>
      </c>
      <c r="I318" s="668" t="n">
        <v>2.9</v>
      </c>
      <c r="J318" s="38" t="n">
        <v>234</v>
      </c>
      <c r="K318" s="39" t="inlineStr">
        <is>
          <t>СК2</t>
        </is>
      </c>
      <c r="L318" s="38" t="n">
        <v>35</v>
      </c>
      <c r="M318" s="846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N318" s="670" t="n"/>
      <c r="O318" s="670" t="n"/>
      <c r="P318" s="670" t="n"/>
      <c r="Q318" s="636" t="n"/>
      <c r="R318" s="40" t="inlineStr"/>
      <c r="S318" s="40" t="inlineStr"/>
      <c r="T318" s="41" t="inlineStr">
        <is>
          <t>кг</t>
        </is>
      </c>
      <c r="U318" s="671" t="n">
        <v>0</v>
      </c>
      <c r="V318" s="672">
        <f>IFERROR(IF(U318="",0,CEILING((U318/$H318),1)*$H318),"")</f>
        <v/>
      </c>
      <c r="W318" s="42">
        <f>IFERROR(IF(V318=0,"",ROUNDUP(V318/H318,0)*0.00502),"")</f>
        <v/>
      </c>
      <c r="X318" s="69" t="inlineStr"/>
      <c r="Y318" s="70" t="inlineStr"/>
      <c r="AC318" s="71" t="n"/>
      <c r="AZ318" s="243" t="inlineStr">
        <is>
          <t>КИ</t>
        </is>
      </c>
    </row>
    <row r="319">
      <c r="A319" s="319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673" t="n"/>
      <c r="M319" s="674" t="inlineStr">
        <is>
          <t>Итого</t>
        </is>
      </c>
      <c r="N319" s="644" t="n"/>
      <c r="O319" s="644" t="n"/>
      <c r="P319" s="644" t="n"/>
      <c r="Q319" s="644" t="n"/>
      <c r="R319" s="644" t="n"/>
      <c r="S319" s="645" t="n"/>
      <c r="T319" s="43" t="inlineStr">
        <is>
          <t>кор</t>
        </is>
      </c>
      <c r="U319" s="675">
        <f>IFERROR(U317/H317,"0")+IFERROR(U318/H318,"0")</f>
        <v/>
      </c>
      <c r="V319" s="675">
        <f>IFERROR(V317/H317,"0")+IFERROR(V318/H318,"0")</f>
        <v/>
      </c>
      <c r="W319" s="675">
        <f>IFERROR(IF(W317="",0,W317),"0")+IFERROR(IF(W318="",0,W318),"0")</f>
        <v/>
      </c>
      <c r="X319" s="676" t="n"/>
      <c r="Y319" s="676" t="n"/>
    </row>
    <row r="320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673" t="n"/>
      <c r="M320" s="674" t="inlineStr">
        <is>
          <t>Итого</t>
        </is>
      </c>
      <c r="N320" s="644" t="n"/>
      <c r="O320" s="644" t="n"/>
      <c r="P320" s="644" t="n"/>
      <c r="Q320" s="644" t="n"/>
      <c r="R320" s="644" t="n"/>
      <c r="S320" s="645" t="n"/>
      <c r="T320" s="43" t="inlineStr">
        <is>
          <t>кг</t>
        </is>
      </c>
      <c r="U320" s="675">
        <f>IFERROR(SUM(U317:U318),"0")</f>
        <v/>
      </c>
      <c r="V320" s="675">
        <f>IFERROR(SUM(V317:V318),"0")</f>
        <v/>
      </c>
      <c r="W320" s="43" t="n"/>
      <c r="X320" s="676" t="n"/>
      <c r="Y320" s="676" t="n"/>
    </row>
    <row r="321" ht="14.25" customHeight="1">
      <c r="A321" s="329" t="inlineStr">
        <is>
          <t>Сосиски</t>
        </is>
      </c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329" t="n"/>
      <c r="Y321" s="329" t="n"/>
    </row>
    <row r="322" ht="27" customHeight="1">
      <c r="A322" s="64" t="inlineStr">
        <is>
          <t>SU002074</t>
        </is>
      </c>
      <c r="B322" s="64" t="inlineStr">
        <is>
          <t>P002693</t>
        </is>
      </c>
      <c r="C322" s="37" t="n">
        <v>4301051303</v>
      </c>
      <c r="D322" s="324" t="n">
        <v>4607091384246</v>
      </c>
      <c r="E322" s="636" t="n"/>
      <c r="F322" s="668" t="n">
        <v>1.3</v>
      </c>
      <c r="G322" s="38" t="n">
        <v>6</v>
      </c>
      <c r="H322" s="668" t="n">
        <v>7.8</v>
      </c>
      <c r="I322" s="668" t="n">
        <v>8.364000000000001</v>
      </c>
      <c r="J322" s="38" t="n">
        <v>56</v>
      </c>
      <c r="K322" s="39" t="inlineStr">
        <is>
          <t>СК2</t>
        </is>
      </c>
      <c r="L322" s="38" t="n">
        <v>40</v>
      </c>
      <c r="M322" s="847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N322" s="670" t="n"/>
      <c r="O322" s="670" t="n"/>
      <c r="P322" s="670" t="n"/>
      <c r="Q322" s="636" t="n"/>
      <c r="R322" s="40" t="inlineStr"/>
      <c r="S322" s="40" t="inlineStr"/>
      <c r="T322" s="41" t="inlineStr">
        <is>
          <t>кг</t>
        </is>
      </c>
      <c r="U322" s="671" t="n">
        <v>0</v>
      </c>
      <c r="V322" s="672">
        <f>IFERROR(IF(U322="",0,CEILING((U322/$H322),1)*$H322),"")</f>
        <v/>
      </c>
      <c r="W322" s="42">
        <f>IFERROR(IF(V322=0,"",ROUNDUP(V322/H322,0)*0.02175),"")</f>
        <v/>
      </c>
      <c r="X322" s="69" t="inlineStr"/>
      <c r="Y322" s="70" t="inlineStr"/>
      <c r="AC322" s="71" t="n"/>
      <c r="AZ322" s="244" t="inlineStr">
        <is>
          <t>КИ</t>
        </is>
      </c>
    </row>
    <row r="323" ht="27" customHeight="1">
      <c r="A323" s="64" t="inlineStr">
        <is>
          <t>SU002896</t>
        </is>
      </c>
      <c r="B323" s="64" t="inlineStr">
        <is>
          <t>P003330</t>
        </is>
      </c>
      <c r="C323" s="37" t="n">
        <v>4301051445</v>
      </c>
      <c r="D323" s="324" t="n">
        <v>4680115881976</v>
      </c>
      <c r="E323" s="636" t="n"/>
      <c r="F323" s="668" t="n">
        <v>1.3</v>
      </c>
      <c r="G323" s="38" t="n">
        <v>6</v>
      </c>
      <c r="H323" s="668" t="n">
        <v>7.8</v>
      </c>
      <c r="I323" s="668" t="n">
        <v>8.279999999999999</v>
      </c>
      <c r="J323" s="38" t="n">
        <v>56</v>
      </c>
      <c r="K323" s="39" t="inlineStr">
        <is>
          <t>СК2</t>
        </is>
      </c>
      <c r="L323" s="38" t="n">
        <v>40</v>
      </c>
      <c r="M323" s="848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N323" s="670" t="n"/>
      <c r="O323" s="670" t="n"/>
      <c r="P323" s="670" t="n"/>
      <c r="Q323" s="636" t="n"/>
      <c r="R323" s="40" t="inlineStr"/>
      <c r="S323" s="40" t="inlineStr"/>
      <c r="T323" s="41" t="inlineStr">
        <is>
          <t>кг</t>
        </is>
      </c>
      <c r="U323" s="671" t="n">
        <v>0</v>
      </c>
      <c r="V323" s="672">
        <f>IFERROR(IF(U323="",0,CEILING((U323/$H323),1)*$H323),"")</f>
        <v/>
      </c>
      <c r="W323" s="42">
        <f>IFERROR(IF(V323=0,"",ROUNDUP(V323/H323,0)*0.02175),"")</f>
        <v/>
      </c>
      <c r="X323" s="69" t="inlineStr"/>
      <c r="Y323" s="70" t="inlineStr"/>
      <c r="AC323" s="71" t="n"/>
      <c r="AZ323" s="245" t="inlineStr">
        <is>
          <t>КИ</t>
        </is>
      </c>
    </row>
    <row r="324" ht="27" customHeight="1">
      <c r="A324" s="64" t="inlineStr">
        <is>
          <t>SU002205</t>
        </is>
      </c>
      <c r="B324" s="64" t="inlineStr">
        <is>
          <t>P002694</t>
        </is>
      </c>
      <c r="C324" s="37" t="n">
        <v>4301051297</v>
      </c>
      <c r="D324" s="324" t="n">
        <v>4607091384253</v>
      </c>
      <c r="E324" s="636" t="n"/>
      <c r="F324" s="668" t="n">
        <v>0.4</v>
      </c>
      <c r="G324" s="38" t="n">
        <v>6</v>
      </c>
      <c r="H324" s="668" t="n">
        <v>2.4</v>
      </c>
      <c r="I324" s="668" t="n">
        <v>2.684</v>
      </c>
      <c r="J324" s="38" t="n">
        <v>156</v>
      </c>
      <c r="K324" s="39" t="inlineStr">
        <is>
          <t>СК2</t>
        </is>
      </c>
      <c r="L324" s="38" t="n">
        <v>40</v>
      </c>
      <c r="M324" s="849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N324" s="670" t="n"/>
      <c r="O324" s="670" t="n"/>
      <c r="P324" s="670" t="n"/>
      <c r="Q324" s="636" t="n"/>
      <c r="R324" s="40" t="inlineStr"/>
      <c r="S324" s="40" t="inlineStr"/>
      <c r="T324" s="41" t="inlineStr">
        <is>
          <t>кг</t>
        </is>
      </c>
      <c r="U324" s="671" t="n">
        <v>0</v>
      </c>
      <c r="V324" s="672">
        <f>IFERROR(IF(U324="",0,CEILING((U324/$H324),1)*$H324),"")</f>
        <v/>
      </c>
      <c r="W324" s="42">
        <f>IFERROR(IF(V324=0,"",ROUNDUP(V324/H324,0)*0.00753),"")</f>
        <v/>
      </c>
      <c r="X324" s="69" t="inlineStr"/>
      <c r="Y324" s="70" t="inlineStr"/>
      <c r="AC324" s="71" t="n"/>
      <c r="AZ324" s="246" t="inlineStr">
        <is>
          <t>КИ</t>
        </is>
      </c>
    </row>
    <row r="325" ht="27" customHeight="1">
      <c r="A325" s="64" t="inlineStr">
        <is>
          <t>SU002895</t>
        </is>
      </c>
      <c r="B325" s="64" t="inlineStr">
        <is>
          <t>P003329</t>
        </is>
      </c>
      <c r="C325" s="37" t="n">
        <v>4301051444</v>
      </c>
      <c r="D325" s="324" t="n">
        <v>4680115881969</v>
      </c>
      <c r="E325" s="636" t="n"/>
      <c r="F325" s="668" t="n">
        <v>0.4</v>
      </c>
      <c r="G325" s="38" t="n">
        <v>6</v>
      </c>
      <c r="H325" s="668" t="n">
        <v>2.4</v>
      </c>
      <c r="I325" s="668" t="n">
        <v>2.6</v>
      </c>
      <c r="J325" s="38" t="n">
        <v>156</v>
      </c>
      <c r="K325" s="39" t="inlineStr">
        <is>
          <t>СК2</t>
        </is>
      </c>
      <c r="L325" s="38" t="n">
        <v>40</v>
      </c>
      <c r="M325" s="850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N325" s="670" t="n"/>
      <c r="O325" s="670" t="n"/>
      <c r="P325" s="670" t="n"/>
      <c r="Q325" s="636" t="n"/>
      <c r="R325" s="40" t="inlineStr"/>
      <c r="S325" s="40" t="inlineStr"/>
      <c r="T325" s="41" t="inlineStr">
        <is>
          <t>кг</t>
        </is>
      </c>
      <c r="U325" s="671" t="n">
        <v>0</v>
      </c>
      <c r="V325" s="672">
        <f>IFERROR(IF(U325="",0,CEILING((U325/$H325),1)*$H325),"")</f>
        <v/>
      </c>
      <c r="W325" s="42">
        <f>IFERROR(IF(V325=0,"",ROUNDUP(V325/H325,0)*0.00753),"")</f>
        <v/>
      </c>
      <c r="X325" s="69" t="inlineStr"/>
      <c r="Y325" s="70" t="inlineStr"/>
      <c r="AC325" s="71" t="n"/>
      <c r="AZ325" s="247" t="inlineStr">
        <is>
          <t>КИ</t>
        </is>
      </c>
    </row>
    <row r="326">
      <c r="A326" s="319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673" t="n"/>
      <c r="M326" s="674" t="inlineStr">
        <is>
          <t>Итого</t>
        </is>
      </c>
      <c r="N326" s="644" t="n"/>
      <c r="O326" s="644" t="n"/>
      <c r="P326" s="644" t="n"/>
      <c r="Q326" s="644" t="n"/>
      <c r="R326" s="644" t="n"/>
      <c r="S326" s="645" t="n"/>
      <c r="T326" s="43" t="inlineStr">
        <is>
          <t>кор</t>
        </is>
      </c>
      <c r="U326" s="675">
        <f>IFERROR(U322/H322,"0")+IFERROR(U323/H323,"0")+IFERROR(U324/H324,"0")+IFERROR(U325/H325,"0")</f>
        <v/>
      </c>
      <c r="V326" s="675">
        <f>IFERROR(V322/H322,"0")+IFERROR(V323/H323,"0")+IFERROR(V324/H324,"0")+IFERROR(V325/H325,"0")</f>
        <v/>
      </c>
      <c r="W326" s="675">
        <f>IFERROR(IF(W322="",0,W322),"0")+IFERROR(IF(W323="",0,W323),"0")+IFERROR(IF(W324="",0,W324),"0")+IFERROR(IF(W325="",0,W325),"0")</f>
        <v/>
      </c>
      <c r="X326" s="676" t="n"/>
      <c r="Y326" s="676" t="n"/>
    </row>
    <row r="327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673" t="n"/>
      <c r="M327" s="674" t="inlineStr">
        <is>
          <t>Итого</t>
        </is>
      </c>
      <c r="N327" s="644" t="n"/>
      <c r="O327" s="644" t="n"/>
      <c r="P327" s="644" t="n"/>
      <c r="Q327" s="644" t="n"/>
      <c r="R327" s="644" t="n"/>
      <c r="S327" s="645" t="n"/>
      <c r="T327" s="43" t="inlineStr">
        <is>
          <t>кг</t>
        </is>
      </c>
      <c r="U327" s="675">
        <f>IFERROR(SUM(U322:U325),"0")</f>
        <v/>
      </c>
      <c r="V327" s="675">
        <f>IFERROR(SUM(V322:V325),"0")</f>
        <v/>
      </c>
      <c r="W327" s="43" t="n"/>
      <c r="X327" s="676" t="n"/>
      <c r="Y327" s="676" t="n"/>
    </row>
    <row r="328" ht="14.25" customHeight="1">
      <c r="A328" s="329" t="inlineStr">
        <is>
          <t>Сардельки</t>
        </is>
      </c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329" t="n"/>
      <c r="Y328" s="329" t="n"/>
    </row>
    <row r="329" ht="27" customHeight="1">
      <c r="A329" s="64" t="inlineStr">
        <is>
          <t>SU002472</t>
        </is>
      </c>
      <c r="B329" s="64" t="inlineStr">
        <is>
          <t>P002973</t>
        </is>
      </c>
      <c r="C329" s="37" t="n">
        <v>4301060322</v>
      </c>
      <c r="D329" s="324" t="n">
        <v>4607091389357</v>
      </c>
      <c r="E329" s="636" t="n"/>
      <c r="F329" s="668" t="n">
        <v>1.3</v>
      </c>
      <c r="G329" s="38" t="n">
        <v>6</v>
      </c>
      <c r="H329" s="668" t="n">
        <v>7.8</v>
      </c>
      <c r="I329" s="668" t="n">
        <v>8.279999999999999</v>
      </c>
      <c r="J329" s="38" t="n">
        <v>56</v>
      </c>
      <c r="K329" s="39" t="inlineStr">
        <is>
          <t>СК2</t>
        </is>
      </c>
      <c r="L329" s="38" t="n">
        <v>40</v>
      </c>
      <c r="M329" s="851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N329" s="670" t="n"/>
      <c r="O329" s="670" t="n"/>
      <c r="P329" s="670" t="n"/>
      <c r="Q329" s="636" t="n"/>
      <c r="R329" s="40" t="inlineStr"/>
      <c r="S329" s="40" t="inlineStr"/>
      <c r="T329" s="41" t="inlineStr">
        <is>
          <t>кг</t>
        </is>
      </c>
      <c r="U329" s="671" t="n">
        <v>0</v>
      </c>
      <c r="V329" s="672">
        <f>IFERROR(IF(U329="",0,CEILING((U329/$H329),1)*$H329),"")</f>
        <v/>
      </c>
      <c r="W329" s="42">
        <f>IFERROR(IF(V329=0,"",ROUNDUP(V329/H329,0)*0.02175),"")</f>
        <v/>
      </c>
      <c r="X329" s="69" t="inlineStr"/>
      <c r="Y329" s="70" t="inlineStr"/>
      <c r="AC329" s="71" t="n"/>
      <c r="AZ329" s="248" t="inlineStr">
        <is>
          <t>КИ</t>
        </is>
      </c>
    </row>
    <row r="330">
      <c r="A330" s="319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673" t="n"/>
      <c r="M330" s="674" t="inlineStr">
        <is>
          <t>Итого</t>
        </is>
      </c>
      <c r="N330" s="644" t="n"/>
      <c r="O330" s="644" t="n"/>
      <c r="P330" s="644" t="n"/>
      <c r="Q330" s="644" t="n"/>
      <c r="R330" s="644" t="n"/>
      <c r="S330" s="645" t="n"/>
      <c r="T330" s="43" t="inlineStr">
        <is>
          <t>кор</t>
        </is>
      </c>
      <c r="U330" s="675">
        <f>IFERROR(U329/H329,"0")</f>
        <v/>
      </c>
      <c r="V330" s="675">
        <f>IFERROR(V329/H329,"0")</f>
        <v/>
      </c>
      <c r="W330" s="675">
        <f>IFERROR(IF(W329="",0,W329),"0")</f>
        <v/>
      </c>
      <c r="X330" s="676" t="n"/>
      <c r="Y330" s="676" t="n"/>
    </row>
    <row r="331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673" t="n"/>
      <c r="M331" s="674" t="inlineStr">
        <is>
          <t>Итого</t>
        </is>
      </c>
      <c r="N331" s="644" t="n"/>
      <c r="O331" s="644" t="n"/>
      <c r="P331" s="644" t="n"/>
      <c r="Q331" s="644" t="n"/>
      <c r="R331" s="644" t="n"/>
      <c r="S331" s="645" t="n"/>
      <c r="T331" s="43" t="inlineStr">
        <is>
          <t>кг</t>
        </is>
      </c>
      <c r="U331" s="675">
        <f>IFERROR(SUM(U329:U329),"0")</f>
        <v/>
      </c>
      <c r="V331" s="675">
        <f>IFERROR(SUM(V329:V329),"0")</f>
        <v/>
      </c>
      <c r="W331" s="43" t="n"/>
      <c r="X331" s="676" t="n"/>
      <c r="Y331" s="676" t="n"/>
    </row>
    <row r="332" ht="27.75" customHeight="1">
      <c r="A332" s="340" t="inlineStr">
        <is>
          <t>Баварушка</t>
        </is>
      </c>
      <c r="B332" s="667" t="n"/>
      <c r="C332" s="667" t="n"/>
      <c r="D332" s="667" t="n"/>
      <c r="E332" s="667" t="n"/>
      <c r="F332" s="667" t="n"/>
      <c r="G332" s="667" t="n"/>
      <c r="H332" s="667" t="n"/>
      <c r="I332" s="667" t="n"/>
      <c r="J332" s="667" t="n"/>
      <c r="K332" s="667" t="n"/>
      <c r="L332" s="667" t="n"/>
      <c r="M332" s="667" t="n"/>
      <c r="N332" s="667" t="n"/>
      <c r="O332" s="667" t="n"/>
      <c r="P332" s="667" t="n"/>
      <c r="Q332" s="667" t="n"/>
      <c r="R332" s="667" t="n"/>
      <c r="S332" s="667" t="n"/>
      <c r="T332" s="667" t="n"/>
      <c r="U332" s="667" t="n"/>
      <c r="V332" s="667" t="n"/>
      <c r="W332" s="667" t="n"/>
      <c r="X332" s="55" t="n"/>
      <c r="Y332" s="55" t="n"/>
    </row>
    <row r="333" ht="16.5" customHeight="1">
      <c r="A333" s="328" t="inlineStr">
        <is>
          <t>Филейбургская</t>
        </is>
      </c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328" t="n"/>
      <c r="Y333" s="328" t="n"/>
    </row>
    <row r="334" ht="14.25" customHeight="1">
      <c r="A334" s="329" t="inlineStr">
        <is>
          <t>Вареные колбасы</t>
        </is>
      </c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329" t="n"/>
      <c r="Y334" s="329" t="n"/>
    </row>
    <row r="335" ht="27" customHeight="1">
      <c r="A335" s="64" t="inlineStr">
        <is>
          <t>SU002477</t>
        </is>
      </c>
      <c r="B335" s="64" t="inlineStr">
        <is>
          <t>P003148</t>
        </is>
      </c>
      <c r="C335" s="37" t="n">
        <v>4301011428</v>
      </c>
      <c r="D335" s="324" t="n">
        <v>4607091389708</v>
      </c>
      <c r="E335" s="636" t="n"/>
      <c r="F335" s="668" t="n">
        <v>0.45</v>
      </c>
      <c r="G335" s="38" t="n">
        <v>6</v>
      </c>
      <c r="H335" s="668" t="n">
        <v>2.7</v>
      </c>
      <c r="I335" s="668" t="n">
        <v>2.9</v>
      </c>
      <c r="J335" s="38" t="n">
        <v>156</v>
      </c>
      <c r="K335" s="39" t="inlineStr">
        <is>
          <t>СК1</t>
        </is>
      </c>
      <c r="L335" s="38" t="n">
        <v>50</v>
      </c>
      <c r="M335" s="852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N335" s="670" t="n"/>
      <c r="O335" s="670" t="n"/>
      <c r="P335" s="670" t="n"/>
      <c r="Q335" s="636" t="n"/>
      <c r="R335" s="40" t="inlineStr"/>
      <c r="S335" s="40" t="inlineStr"/>
      <c r="T335" s="41" t="inlineStr">
        <is>
          <t>кг</t>
        </is>
      </c>
      <c r="U335" s="671" t="n">
        <v>0</v>
      </c>
      <c r="V335" s="672">
        <f>IFERROR(IF(U335="",0,CEILING((U335/$H335),1)*$H335),"")</f>
        <v/>
      </c>
      <c r="W335" s="42">
        <f>IFERROR(IF(V335=0,"",ROUNDUP(V335/H335,0)*0.00753),"")</f>
        <v/>
      </c>
      <c r="X335" s="69" t="inlineStr"/>
      <c r="Y335" s="70" t="inlineStr"/>
      <c r="AC335" s="71" t="n"/>
      <c r="AZ335" s="249" t="inlineStr">
        <is>
          <t>КИ</t>
        </is>
      </c>
    </row>
    <row r="336" ht="27" customHeight="1">
      <c r="A336" s="64" t="inlineStr">
        <is>
          <t>SU002476</t>
        </is>
      </c>
      <c r="B336" s="64" t="inlineStr">
        <is>
          <t>P003147</t>
        </is>
      </c>
      <c r="C336" s="37" t="n">
        <v>4301011427</v>
      </c>
      <c r="D336" s="324" t="n">
        <v>4607091389692</v>
      </c>
      <c r="E336" s="636" t="n"/>
      <c r="F336" s="668" t="n">
        <v>0.45</v>
      </c>
      <c r="G336" s="38" t="n">
        <v>6</v>
      </c>
      <c r="H336" s="668" t="n">
        <v>2.7</v>
      </c>
      <c r="I336" s="668" t="n">
        <v>2.9</v>
      </c>
      <c r="J336" s="38" t="n">
        <v>156</v>
      </c>
      <c r="K336" s="39" t="inlineStr">
        <is>
          <t>СК1</t>
        </is>
      </c>
      <c r="L336" s="38" t="n">
        <v>50</v>
      </c>
      <c r="M336" s="853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N336" s="670" t="n"/>
      <c r="O336" s="670" t="n"/>
      <c r="P336" s="670" t="n"/>
      <c r="Q336" s="636" t="n"/>
      <c r="R336" s="40" t="inlineStr"/>
      <c r="S336" s="40" t="inlineStr"/>
      <c r="T336" s="41" t="inlineStr">
        <is>
          <t>кг</t>
        </is>
      </c>
      <c r="U336" s="671" t="n">
        <v>0</v>
      </c>
      <c r="V336" s="672">
        <f>IFERROR(IF(U336="",0,CEILING((U336/$H336),1)*$H336),"")</f>
        <v/>
      </c>
      <c r="W336" s="42">
        <f>IFERROR(IF(V336=0,"",ROUNDUP(V336/H336,0)*0.00753),"")</f>
        <v/>
      </c>
      <c r="X336" s="69" t="inlineStr"/>
      <c r="Y336" s="70" t="inlineStr"/>
      <c r="AC336" s="71" t="n"/>
      <c r="AZ336" s="250" t="inlineStr">
        <is>
          <t>КИ</t>
        </is>
      </c>
    </row>
    <row r="337">
      <c r="A337" s="319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673" t="n"/>
      <c r="M337" s="674" t="inlineStr">
        <is>
          <t>Итого</t>
        </is>
      </c>
      <c r="N337" s="644" t="n"/>
      <c r="O337" s="644" t="n"/>
      <c r="P337" s="644" t="n"/>
      <c r="Q337" s="644" t="n"/>
      <c r="R337" s="644" t="n"/>
      <c r="S337" s="645" t="n"/>
      <c r="T337" s="43" t="inlineStr">
        <is>
          <t>кор</t>
        </is>
      </c>
      <c r="U337" s="675">
        <f>IFERROR(U335/H335,"0")+IFERROR(U336/H336,"0")</f>
        <v/>
      </c>
      <c r="V337" s="675">
        <f>IFERROR(V335/H335,"0")+IFERROR(V336/H336,"0")</f>
        <v/>
      </c>
      <c r="W337" s="675">
        <f>IFERROR(IF(W335="",0,W335),"0")+IFERROR(IF(W336="",0,W336),"0")</f>
        <v/>
      </c>
      <c r="X337" s="676" t="n"/>
      <c r="Y337" s="676" t="n"/>
    </row>
    <row r="33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673" t="n"/>
      <c r="M338" s="674" t="inlineStr">
        <is>
          <t>Итого</t>
        </is>
      </c>
      <c r="N338" s="644" t="n"/>
      <c r="O338" s="644" t="n"/>
      <c r="P338" s="644" t="n"/>
      <c r="Q338" s="644" t="n"/>
      <c r="R338" s="644" t="n"/>
      <c r="S338" s="645" t="n"/>
      <c r="T338" s="43" t="inlineStr">
        <is>
          <t>кг</t>
        </is>
      </c>
      <c r="U338" s="675">
        <f>IFERROR(SUM(U335:U336),"0")</f>
        <v/>
      </c>
      <c r="V338" s="675">
        <f>IFERROR(SUM(V335:V336),"0")</f>
        <v/>
      </c>
      <c r="W338" s="43" t="n"/>
      <c r="X338" s="676" t="n"/>
      <c r="Y338" s="676" t="n"/>
    </row>
    <row r="339" ht="14.25" customHeight="1">
      <c r="A339" s="329" t="inlineStr">
        <is>
          <t>Копченые колбасы</t>
        </is>
      </c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329" t="n"/>
      <c r="Y339" s="329" t="n"/>
    </row>
    <row r="340" ht="27" customHeight="1">
      <c r="A340" s="64" t="inlineStr">
        <is>
          <t>SU002614</t>
        </is>
      </c>
      <c r="B340" s="64" t="inlineStr">
        <is>
          <t>P003138</t>
        </is>
      </c>
      <c r="C340" s="37" t="n">
        <v>4301031177</v>
      </c>
      <c r="D340" s="324" t="n">
        <v>4607091389753</v>
      </c>
      <c r="E340" s="636" t="n"/>
      <c r="F340" s="668" t="n">
        <v>0.7</v>
      </c>
      <c r="G340" s="38" t="n">
        <v>6</v>
      </c>
      <c r="H340" s="668" t="n">
        <v>4.2</v>
      </c>
      <c r="I340" s="668" t="n">
        <v>4.43</v>
      </c>
      <c r="J340" s="38" t="n">
        <v>156</v>
      </c>
      <c r="K340" s="39" t="inlineStr">
        <is>
          <t>СК2</t>
        </is>
      </c>
      <c r="L340" s="38" t="n">
        <v>45</v>
      </c>
      <c r="M340" s="854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N340" s="670" t="n"/>
      <c r="O340" s="670" t="n"/>
      <c r="P340" s="670" t="n"/>
      <c r="Q340" s="636" t="n"/>
      <c r="R340" s="40" t="inlineStr"/>
      <c r="S340" s="40" t="inlineStr"/>
      <c r="T340" s="41" t="inlineStr">
        <is>
          <t>кг</t>
        </is>
      </c>
      <c r="U340" s="671" t="n">
        <v>0</v>
      </c>
      <c r="V340" s="672">
        <f>IFERROR(IF(U340="",0,CEILING((U340/$H340),1)*$H340),"")</f>
        <v/>
      </c>
      <c r="W340" s="42">
        <f>IFERROR(IF(V340=0,"",ROUNDUP(V340/H340,0)*0.00753),"")</f>
        <v/>
      </c>
      <c r="X340" s="69" t="inlineStr"/>
      <c r="Y340" s="70" t="inlineStr"/>
      <c r="AC340" s="71" t="n"/>
      <c r="AZ340" s="251" t="inlineStr">
        <is>
          <t>КИ</t>
        </is>
      </c>
    </row>
    <row r="341" ht="27" customHeight="1">
      <c r="A341" s="64" t="inlineStr">
        <is>
          <t>SU002615</t>
        </is>
      </c>
      <c r="B341" s="64" t="inlineStr">
        <is>
          <t>P003136</t>
        </is>
      </c>
      <c r="C341" s="37" t="n">
        <v>4301031174</v>
      </c>
      <c r="D341" s="324" t="n">
        <v>4607091389760</v>
      </c>
      <c r="E341" s="636" t="n"/>
      <c r="F341" s="668" t="n">
        <v>0.7</v>
      </c>
      <c r="G341" s="38" t="n">
        <v>6</v>
      </c>
      <c r="H341" s="668" t="n">
        <v>4.2</v>
      </c>
      <c r="I341" s="668" t="n">
        <v>4.43</v>
      </c>
      <c r="J341" s="38" t="n">
        <v>156</v>
      </c>
      <c r="K341" s="39" t="inlineStr">
        <is>
          <t>СК2</t>
        </is>
      </c>
      <c r="L341" s="38" t="n">
        <v>45</v>
      </c>
      <c r="M341" s="855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N341" s="670" t="n"/>
      <c r="O341" s="670" t="n"/>
      <c r="P341" s="670" t="n"/>
      <c r="Q341" s="636" t="n"/>
      <c r="R341" s="40" t="inlineStr"/>
      <c r="S341" s="40" t="inlineStr"/>
      <c r="T341" s="41" t="inlineStr">
        <is>
          <t>кг</t>
        </is>
      </c>
      <c r="U341" s="671" t="n">
        <v>0</v>
      </c>
      <c r="V341" s="672">
        <f>IFERROR(IF(U341="",0,CEILING((U341/$H341),1)*$H341),"")</f>
        <v/>
      </c>
      <c r="W341" s="42">
        <f>IFERROR(IF(V341=0,"",ROUNDUP(V341/H341,0)*0.00753),"")</f>
        <v/>
      </c>
      <c r="X341" s="69" t="inlineStr"/>
      <c r="Y341" s="70" t="inlineStr"/>
      <c r="AC341" s="71" t="n"/>
      <c r="AZ341" s="252" t="inlineStr">
        <is>
          <t>КИ</t>
        </is>
      </c>
    </row>
    <row r="342" ht="27" customHeight="1">
      <c r="A342" s="64" t="inlineStr">
        <is>
          <t>SU002613</t>
        </is>
      </c>
      <c r="B342" s="64" t="inlineStr">
        <is>
          <t>P003133</t>
        </is>
      </c>
      <c r="C342" s="37" t="n">
        <v>4301031175</v>
      </c>
      <c r="D342" s="324" t="n">
        <v>4607091389746</v>
      </c>
      <c r="E342" s="636" t="n"/>
      <c r="F342" s="668" t="n">
        <v>0.7</v>
      </c>
      <c r="G342" s="38" t="n">
        <v>6</v>
      </c>
      <c r="H342" s="668" t="n">
        <v>4.2</v>
      </c>
      <c r="I342" s="668" t="n">
        <v>4.43</v>
      </c>
      <c r="J342" s="38" t="n">
        <v>156</v>
      </c>
      <c r="K342" s="39" t="inlineStr">
        <is>
          <t>СК2</t>
        </is>
      </c>
      <c r="L342" s="38" t="n">
        <v>45</v>
      </c>
      <c r="M342" s="856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N342" s="670" t="n"/>
      <c r="O342" s="670" t="n"/>
      <c r="P342" s="670" t="n"/>
      <c r="Q342" s="636" t="n"/>
      <c r="R342" s="40" t="inlineStr"/>
      <c r="S342" s="40" t="inlineStr"/>
      <c r="T342" s="41" t="inlineStr">
        <is>
          <t>кг</t>
        </is>
      </c>
      <c r="U342" s="671" t="n">
        <v>0</v>
      </c>
      <c r="V342" s="672">
        <f>IFERROR(IF(U342="",0,CEILING((U342/$H342),1)*$H342),"")</f>
        <v/>
      </c>
      <c r="W342" s="42">
        <f>IFERROR(IF(V342=0,"",ROUNDUP(V342/H342,0)*0.00753),"")</f>
        <v/>
      </c>
      <c r="X342" s="69" t="inlineStr"/>
      <c r="Y342" s="70" t="inlineStr"/>
      <c r="AC342" s="71" t="n"/>
      <c r="AZ342" s="253" t="inlineStr">
        <is>
          <t>КИ</t>
        </is>
      </c>
    </row>
    <row r="343" ht="37.5" customHeight="1">
      <c r="A343" s="64" t="inlineStr">
        <is>
          <t>SU003035</t>
        </is>
      </c>
      <c r="B343" s="64" t="inlineStr">
        <is>
          <t>P003496</t>
        </is>
      </c>
      <c r="C343" s="37" t="n">
        <v>4301031236</v>
      </c>
      <c r="D343" s="324" t="n">
        <v>4680115882928</v>
      </c>
      <c r="E343" s="636" t="n"/>
      <c r="F343" s="668" t="n">
        <v>0.28</v>
      </c>
      <c r="G343" s="38" t="n">
        <v>6</v>
      </c>
      <c r="H343" s="668" t="n">
        <v>1.68</v>
      </c>
      <c r="I343" s="668" t="n">
        <v>2.6</v>
      </c>
      <c r="J343" s="38" t="n">
        <v>156</v>
      </c>
      <c r="K343" s="39" t="inlineStr">
        <is>
          <t>СК2</t>
        </is>
      </c>
      <c r="L343" s="38" t="n">
        <v>35</v>
      </c>
      <c r="M343" s="857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N343" s="670" t="n"/>
      <c r="O343" s="670" t="n"/>
      <c r="P343" s="670" t="n"/>
      <c r="Q343" s="636" t="n"/>
      <c r="R343" s="40" t="inlineStr"/>
      <c r="S343" s="40" t="inlineStr"/>
      <c r="T343" s="41" t="inlineStr">
        <is>
          <t>кг</t>
        </is>
      </c>
      <c r="U343" s="671" t="n">
        <v>0</v>
      </c>
      <c r="V343" s="672">
        <f>IFERROR(IF(U343="",0,CEILING((U343/$H343),1)*$H343),"")</f>
        <v/>
      </c>
      <c r="W343" s="42">
        <f>IFERROR(IF(V343=0,"",ROUNDUP(V343/H343,0)*0.00753),"")</f>
        <v/>
      </c>
      <c r="X343" s="69" t="inlineStr"/>
      <c r="Y343" s="70" t="inlineStr"/>
      <c r="AC343" s="71" t="n"/>
      <c r="AZ343" s="254" t="inlineStr">
        <is>
          <t>КИ</t>
        </is>
      </c>
    </row>
    <row r="344" ht="27" customHeight="1">
      <c r="A344" s="64" t="inlineStr">
        <is>
          <t>SU003083</t>
        </is>
      </c>
      <c r="B344" s="64" t="inlineStr">
        <is>
          <t>P003646</t>
        </is>
      </c>
      <c r="C344" s="37" t="n">
        <v>4301031257</v>
      </c>
      <c r="D344" s="324" t="n">
        <v>4680115883147</v>
      </c>
      <c r="E344" s="636" t="n"/>
      <c r="F344" s="668" t="n">
        <v>0.28</v>
      </c>
      <c r="G344" s="38" t="n">
        <v>6</v>
      </c>
      <c r="H344" s="668" t="n">
        <v>1.68</v>
      </c>
      <c r="I344" s="668" t="n">
        <v>1.81</v>
      </c>
      <c r="J344" s="38" t="n">
        <v>234</v>
      </c>
      <c r="K344" s="39" t="inlineStr">
        <is>
          <t>СК2</t>
        </is>
      </c>
      <c r="L344" s="38" t="n">
        <v>45</v>
      </c>
      <c r="M344" s="858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N344" s="670" t="n"/>
      <c r="O344" s="670" t="n"/>
      <c r="P344" s="670" t="n"/>
      <c r="Q344" s="636" t="n"/>
      <c r="R344" s="40" t="inlineStr"/>
      <c r="S344" s="40" t="inlineStr"/>
      <c r="T344" s="41" t="inlineStr">
        <is>
          <t>кг</t>
        </is>
      </c>
      <c r="U344" s="671" t="n">
        <v>0</v>
      </c>
      <c r="V344" s="672">
        <f>IFERROR(IF(U344="",0,CEILING((U344/$H344),1)*$H344),"")</f>
        <v/>
      </c>
      <c r="W344" s="42">
        <f>IFERROR(IF(V344=0,"",ROUNDUP(V344/H344,0)*0.00502),"")</f>
        <v/>
      </c>
      <c r="X344" s="69" t="inlineStr"/>
      <c r="Y344" s="70" t="inlineStr"/>
      <c r="AC344" s="71" t="n"/>
      <c r="AZ344" s="255" t="inlineStr">
        <is>
          <t>КИ</t>
        </is>
      </c>
    </row>
    <row r="345" ht="27" customHeight="1">
      <c r="A345" s="64" t="inlineStr">
        <is>
          <t>SU002538</t>
        </is>
      </c>
      <c r="B345" s="64" t="inlineStr">
        <is>
          <t>P003139</t>
        </is>
      </c>
      <c r="C345" s="37" t="n">
        <v>4301031178</v>
      </c>
      <c r="D345" s="324" t="n">
        <v>4607091384338</v>
      </c>
      <c r="E345" s="636" t="n"/>
      <c r="F345" s="668" t="n">
        <v>0.35</v>
      </c>
      <c r="G345" s="38" t="n">
        <v>6</v>
      </c>
      <c r="H345" s="668" t="n">
        <v>2.1</v>
      </c>
      <c r="I345" s="668" t="n">
        <v>2.23</v>
      </c>
      <c r="J345" s="38" t="n">
        <v>234</v>
      </c>
      <c r="K345" s="39" t="inlineStr">
        <is>
          <t>СК2</t>
        </is>
      </c>
      <c r="L345" s="38" t="n">
        <v>45</v>
      </c>
      <c r="M345" s="859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N345" s="670" t="n"/>
      <c r="O345" s="670" t="n"/>
      <c r="P345" s="670" t="n"/>
      <c r="Q345" s="636" t="n"/>
      <c r="R345" s="40" t="inlineStr"/>
      <c r="S345" s="40" t="inlineStr"/>
      <c r="T345" s="41" t="inlineStr">
        <is>
          <t>кг</t>
        </is>
      </c>
      <c r="U345" s="671" t="n">
        <v>0</v>
      </c>
      <c r="V345" s="672">
        <f>IFERROR(IF(U345="",0,CEILING((U345/$H345),1)*$H345),"")</f>
        <v/>
      </c>
      <c r="W345" s="42">
        <f>IFERROR(IF(V345=0,"",ROUNDUP(V345/H345,0)*0.00502),"")</f>
        <v/>
      </c>
      <c r="X345" s="69" t="inlineStr"/>
      <c r="Y345" s="70" t="inlineStr"/>
      <c r="AC345" s="71" t="n"/>
      <c r="AZ345" s="256" t="inlineStr">
        <is>
          <t>КИ</t>
        </is>
      </c>
    </row>
    <row r="346" ht="37.5" customHeight="1">
      <c r="A346" s="64" t="inlineStr">
        <is>
          <t>SU003079</t>
        </is>
      </c>
      <c r="B346" s="64" t="inlineStr">
        <is>
          <t>P003643</t>
        </is>
      </c>
      <c r="C346" s="37" t="n">
        <v>4301031254</v>
      </c>
      <c r="D346" s="324" t="n">
        <v>4680115883154</v>
      </c>
      <c r="E346" s="636" t="n"/>
      <c r="F346" s="668" t="n">
        <v>0.28</v>
      </c>
      <c r="G346" s="38" t="n">
        <v>6</v>
      </c>
      <c r="H346" s="668" t="n">
        <v>1.68</v>
      </c>
      <c r="I346" s="668" t="n">
        <v>1.81</v>
      </c>
      <c r="J346" s="38" t="n">
        <v>234</v>
      </c>
      <c r="K346" s="39" t="inlineStr">
        <is>
          <t>СК2</t>
        </is>
      </c>
      <c r="L346" s="38" t="n">
        <v>45</v>
      </c>
      <c r="M346" s="860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N346" s="670" t="n"/>
      <c r="O346" s="670" t="n"/>
      <c r="P346" s="670" t="n"/>
      <c r="Q346" s="636" t="n"/>
      <c r="R346" s="40" t="inlineStr"/>
      <c r="S346" s="40" t="inlineStr"/>
      <c r="T346" s="41" t="inlineStr">
        <is>
          <t>кг</t>
        </is>
      </c>
      <c r="U346" s="671" t="n">
        <v>0</v>
      </c>
      <c r="V346" s="672">
        <f>IFERROR(IF(U346="",0,CEILING((U346/$H346),1)*$H346),"")</f>
        <v/>
      </c>
      <c r="W346" s="42">
        <f>IFERROR(IF(V346=0,"",ROUNDUP(V346/H346,0)*0.00502),"")</f>
        <v/>
      </c>
      <c r="X346" s="69" t="inlineStr"/>
      <c r="Y346" s="70" t="inlineStr"/>
      <c r="AC346" s="71" t="n"/>
      <c r="AZ346" s="257" t="inlineStr">
        <is>
          <t>КИ</t>
        </is>
      </c>
    </row>
    <row r="347" ht="37.5" customHeight="1">
      <c r="A347" s="64" t="inlineStr">
        <is>
          <t>SU002602</t>
        </is>
      </c>
      <c r="B347" s="64" t="inlineStr">
        <is>
          <t>P003132</t>
        </is>
      </c>
      <c r="C347" s="37" t="n">
        <v>4301031171</v>
      </c>
      <c r="D347" s="324" t="n">
        <v>4607091389524</v>
      </c>
      <c r="E347" s="636" t="n"/>
      <c r="F347" s="668" t="n">
        <v>0.35</v>
      </c>
      <c r="G347" s="38" t="n">
        <v>6</v>
      </c>
      <c r="H347" s="668" t="n">
        <v>2.1</v>
      </c>
      <c r="I347" s="668" t="n">
        <v>2.23</v>
      </c>
      <c r="J347" s="38" t="n">
        <v>234</v>
      </c>
      <c r="K347" s="39" t="inlineStr">
        <is>
          <t>СК2</t>
        </is>
      </c>
      <c r="L347" s="38" t="n">
        <v>45</v>
      </c>
      <c r="M347" s="861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N347" s="670" t="n"/>
      <c r="O347" s="670" t="n"/>
      <c r="P347" s="670" t="n"/>
      <c r="Q347" s="636" t="n"/>
      <c r="R347" s="40" t="inlineStr"/>
      <c r="S347" s="40" t="inlineStr"/>
      <c r="T347" s="41" t="inlineStr">
        <is>
          <t>кг</t>
        </is>
      </c>
      <c r="U347" s="671" t="n">
        <v>0</v>
      </c>
      <c r="V347" s="672">
        <f>IFERROR(IF(U347="",0,CEILING((U347/$H347),1)*$H347),"")</f>
        <v/>
      </c>
      <c r="W347" s="42">
        <f>IFERROR(IF(V347=0,"",ROUNDUP(V347/H347,0)*0.00502),"")</f>
        <v/>
      </c>
      <c r="X347" s="69" t="inlineStr"/>
      <c r="Y347" s="70" t="inlineStr"/>
      <c r="AC347" s="71" t="n"/>
      <c r="AZ347" s="258" t="inlineStr">
        <is>
          <t>КИ</t>
        </is>
      </c>
    </row>
    <row r="348" ht="27" customHeight="1">
      <c r="A348" s="64" t="inlineStr">
        <is>
          <t>SU003080</t>
        </is>
      </c>
      <c r="B348" s="64" t="inlineStr">
        <is>
          <t>P003647</t>
        </is>
      </c>
      <c r="C348" s="37" t="n">
        <v>4301031258</v>
      </c>
      <c r="D348" s="324" t="n">
        <v>4680115883161</v>
      </c>
      <c r="E348" s="636" t="n"/>
      <c r="F348" s="668" t="n">
        <v>0.28</v>
      </c>
      <c r="G348" s="38" t="n">
        <v>6</v>
      </c>
      <c r="H348" s="668" t="n">
        <v>1.68</v>
      </c>
      <c r="I348" s="668" t="n">
        <v>1.81</v>
      </c>
      <c r="J348" s="38" t="n">
        <v>234</v>
      </c>
      <c r="K348" s="39" t="inlineStr">
        <is>
          <t>СК2</t>
        </is>
      </c>
      <c r="L348" s="38" t="n">
        <v>45</v>
      </c>
      <c r="M348" s="862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N348" s="670" t="n"/>
      <c r="O348" s="670" t="n"/>
      <c r="P348" s="670" t="n"/>
      <c r="Q348" s="636" t="n"/>
      <c r="R348" s="40" t="inlineStr"/>
      <c r="S348" s="40" t="inlineStr"/>
      <c r="T348" s="41" t="inlineStr">
        <is>
          <t>кг</t>
        </is>
      </c>
      <c r="U348" s="671" t="n">
        <v>0</v>
      </c>
      <c r="V348" s="672">
        <f>IFERROR(IF(U348="",0,CEILING((U348/$H348),1)*$H348),"")</f>
        <v/>
      </c>
      <c r="W348" s="42">
        <f>IFERROR(IF(V348=0,"",ROUNDUP(V348/H348,0)*0.00502),"")</f>
        <v/>
      </c>
      <c r="X348" s="69" t="inlineStr"/>
      <c r="Y348" s="70" t="inlineStr"/>
      <c r="AC348" s="71" t="n"/>
      <c r="AZ348" s="259" t="inlineStr">
        <is>
          <t>КИ</t>
        </is>
      </c>
    </row>
    <row r="349" ht="27" customHeight="1">
      <c r="A349" s="64" t="inlineStr">
        <is>
          <t>SU002603</t>
        </is>
      </c>
      <c r="B349" s="64" t="inlineStr">
        <is>
          <t>P003131</t>
        </is>
      </c>
      <c r="C349" s="37" t="n">
        <v>4301031170</v>
      </c>
      <c r="D349" s="324" t="n">
        <v>4607091384345</v>
      </c>
      <c r="E349" s="636" t="n"/>
      <c r="F349" s="668" t="n">
        <v>0.35</v>
      </c>
      <c r="G349" s="38" t="n">
        <v>6</v>
      </c>
      <c r="H349" s="668" t="n">
        <v>2.1</v>
      </c>
      <c r="I349" s="668" t="n">
        <v>2.23</v>
      </c>
      <c r="J349" s="38" t="n">
        <v>234</v>
      </c>
      <c r="K349" s="39" t="inlineStr">
        <is>
          <t>СК2</t>
        </is>
      </c>
      <c r="L349" s="38" t="n">
        <v>45</v>
      </c>
      <c r="M349" s="863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N349" s="670" t="n"/>
      <c r="O349" s="670" t="n"/>
      <c r="P349" s="670" t="n"/>
      <c r="Q349" s="636" t="n"/>
      <c r="R349" s="40" t="inlineStr"/>
      <c r="S349" s="40" t="inlineStr"/>
      <c r="T349" s="41" t="inlineStr">
        <is>
          <t>кг</t>
        </is>
      </c>
      <c r="U349" s="671" t="n">
        <v>0</v>
      </c>
      <c r="V349" s="672">
        <f>IFERROR(IF(U349="",0,CEILING((U349/$H349),1)*$H349),"")</f>
        <v/>
      </c>
      <c r="W349" s="42">
        <f>IFERROR(IF(V349=0,"",ROUNDUP(V349/H349,0)*0.00502),"")</f>
        <v/>
      </c>
      <c r="X349" s="69" t="inlineStr"/>
      <c r="Y349" s="70" t="inlineStr"/>
      <c r="AC349" s="71" t="n"/>
      <c r="AZ349" s="260" t="inlineStr">
        <is>
          <t>КИ</t>
        </is>
      </c>
    </row>
    <row r="350" ht="27" customHeight="1">
      <c r="A350" s="64" t="inlineStr">
        <is>
          <t>SU003081</t>
        </is>
      </c>
      <c r="B350" s="64" t="inlineStr">
        <is>
          <t>P003645</t>
        </is>
      </c>
      <c r="C350" s="37" t="n">
        <v>4301031256</v>
      </c>
      <c r="D350" s="324" t="n">
        <v>4680115883178</v>
      </c>
      <c r="E350" s="636" t="n"/>
      <c r="F350" s="668" t="n">
        <v>0.28</v>
      </c>
      <c r="G350" s="38" t="n">
        <v>6</v>
      </c>
      <c r="H350" s="668" t="n">
        <v>1.68</v>
      </c>
      <c r="I350" s="668" t="n">
        <v>1.81</v>
      </c>
      <c r="J350" s="38" t="n">
        <v>234</v>
      </c>
      <c r="K350" s="39" t="inlineStr">
        <is>
          <t>СК2</t>
        </is>
      </c>
      <c r="L350" s="38" t="n">
        <v>45</v>
      </c>
      <c r="M350" s="864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N350" s="670" t="n"/>
      <c r="O350" s="670" t="n"/>
      <c r="P350" s="670" t="n"/>
      <c r="Q350" s="636" t="n"/>
      <c r="R350" s="40" t="inlineStr"/>
      <c r="S350" s="40" t="inlineStr"/>
      <c r="T350" s="41" t="inlineStr">
        <is>
          <t>кг</t>
        </is>
      </c>
      <c r="U350" s="671" t="n">
        <v>0</v>
      </c>
      <c r="V350" s="672">
        <f>IFERROR(IF(U350="",0,CEILING((U350/$H350),1)*$H350),"")</f>
        <v/>
      </c>
      <c r="W350" s="42">
        <f>IFERROR(IF(V350=0,"",ROUNDUP(V350/H350,0)*0.00502),"")</f>
        <v/>
      </c>
      <c r="X350" s="69" t="inlineStr"/>
      <c r="Y350" s="70" t="inlineStr"/>
      <c r="AC350" s="71" t="n"/>
      <c r="AZ350" s="261" t="inlineStr">
        <is>
          <t>КИ</t>
        </is>
      </c>
    </row>
    <row r="351" ht="27" customHeight="1">
      <c r="A351" s="64" t="inlineStr">
        <is>
          <t>SU002606</t>
        </is>
      </c>
      <c r="B351" s="64" t="inlineStr">
        <is>
          <t>P003134</t>
        </is>
      </c>
      <c r="C351" s="37" t="n">
        <v>4301031172</v>
      </c>
      <c r="D351" s="324" t="n">
        <v>4607091389531</v>
      </c>
      <c r="E351" s="636" t="n"/>
      <c r="F351" s="668" t="n">
        <v>0.35</v>
      </c>
      <c r="G351" s="38" t="n">
        <v>6</v>
      </c>
      <c r="H351" s="668" t="n">
        <v>2.1</v>
      </c>
      <c r="I351" s="668" t="n">
        <v>2.23</v>
      </c>
      <c r="J351" s="38" t="n">
        <v>234</v>
      </c>
      <c r="K351" s="39" t="inlineStr">
        <is>
          <t>СК2</t>
        </is>
      </c>
      <c r="L351" s="38" t="n">
        <v>45</v>
      </c>
      <c r="M351" s="865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N351" s="670" t="n"/>
      <c r="O351" s="670" t="n"/>
      <c r="P351" s="670" t="n"/>
      <c r="Q351" s="636" t="n"/>
      <c r="R351" s="40" t="inlineStr"/>
      <c r="S351" s="40" t="inlineStr"/>
      <c r="T351" s="41" t="inlineStr">
        <is>
          <t>кг</t>
        </is>
      </c>
      <c r="U351" s="671" t="n">
        <v>0</v>
      </c>
      <c r="V351" s="672">
        <f>IFERROR(IF(U351="",0,CEILING((U351/$H351),1)*$H351),"")</f>
        <v/>
      </c>
      <c r="W351" s="42">
        <f>IFERROR(IF(V351=0,"",ROUNDUP(V351/H351,0)*0.00502),"")</f>
        <v/>
      </c>
      <c r="X351" s="69" t="inlineStr"/>
      <c r="Y351" s="70" t="inlineStr"/>
      <c r="AC351" s="71" t="n"/>
      <c r="AZ351" s="262" t="inlineStr">
        <is>
          <t>КИ</t>
        </is>
      </c>
    </row>
    <row r="352" ht="27" customHeight="1">
      <c r="A352" s="64" t="inlineStr">
        <is>
          <t>SU003082</t>
        </is>
      </c>
      <c r="B352" s="64" t="inlineStr">
        <is>
          <t>P003644</t>
        </is>
      </c>
      <c r="C352" s="37" t="n">
        <v>4301031255</v>
      </c>
      <c r="D352" s="324" t="n">
        <v>4680115883185</v>
      </c>
      <c r="E352" s="636" t="n"/>
      <c r="F352" s="668" t="n">
        <v>0.28</v>
      </c>
      <c r="G352" s="38" t="n">
        <v>6</v>
      </c>
      <c r="H352" s="668" t="n">
        <v>1.68</v>
      </c>
      <c r="I352" s="668" t="n">
        <v>1.81</v>
      </c>
      <c r="J352" s="38" t="n">
        <v>234</v>
      </c>
      <c r="K352" s="39" t="inlineStr">
        <is>
          <t>СК2</t>
        </is>
      </c>
      <c r="L352" s="38" t="n">
        <v>45</v>
      </c>
      <c r="M352" s="866" t="inlineStr">
        <is>
          <t>В/к колбасы «Филейбургская с душистым чесноком» срез Фикс.вес 0,28 фиброуз в/у Баварушка</t>
        </is>
      </c>
      <c r="N352" s="670" t="n"/>
      <c r="O352" s="670" t="n"/>
      <c r="P352" s="670" t="n"/>
      <c r="Q352" s="636" t="n"/>
      <c r="R352" s="40" t="inlineStr"/>
      <c r="S352" s="40" t="inlineStr"/>
      <c r="T352" s="41" t="inlineStr">
        <is>
          <t>кг</t>
        </is>
      </c>
      <c r="U352" s="671" t="n">
        <v>0</v>
      </c>
      <c r="V352" s="672">
        <f>IFERROR(IF(U352="",0,CEILING((U352/$H352),1)*$H352),"")</f>
        <v/>
      </c>
      <c r="W352" s="42">
        <f>IFERROR(IF(V352=0,"",ROUNDUP(V352/H352,0)*0.00502),"")</f>
        <v/>
      </c>
      <c r="X352" s="69" t="inlineStr"/>
      <c r="Y352" s="70" t="inlineStr"/>
      <c r="AC352" s="71" t="n"/>
      <c r="AZ352" s="263" t="inlineStr">
        <is>
          <t>КИ</t>
        </is>
      </c>
    </row>
    <row r="353">
      <c r="A353" s="319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673" t="n"/>
      <c r="M353" s="674" t="inlineStr">
        <is>
          <t>Итого</t>
        </is>
      </c>
      <c r="N353" s="644" t="n"/>
      <c r="O353" s="644" t="n"/>
      <c r="P353" s="644" t="n"/>
      <c r="Q353" s="644" t="n"/>
      <c r="R353" s="644" t="n"/>
      <c r="S353" s="645" t="n"/>
      <c r="T353" s="43" t="inlineStr">
        <is>
          <t>кор</t>
        </is>
      </c>
      <c r="U353" s="675">
        <f>IFERROR(U340/H340,"0")+IFERROR(U341/H341,"0")+IFERROR(U342/H342,"0")+IFERROR(U343/H343,"0")+IFERROR(U344/H344,"0")+IFERROR(U345/H345,"0")+IFERROR(U346/H346,"0")+IFERROR(U347/H347,"0")+IFERROR(U348/H348,"0")+IFERROR(U349/H349,"0")+IFERROR(U350/H350,"0")+IFERROR(U351/H351,"0")+IFERROR(U352/H352,"0")</f>
        <v/>
      </c>
      <c r="V353" s="675">
        <f>IFERROR(V340/H340,"0")+IFERROR(V341/H341,"0")+IFERROR(V342/H342,"0")+IFERROR(V343/H343,"0")+IFERROR(V344/H344,"0")+IFERROR(V345/H345,"0")+IFERROR(V346/H346,"0")+IFERROR(V347/H347,"0")+IFERROR(V348/H348,"0")+IFERROR(V349/H349,"0")+IFERROR(V350/H350,"0")+IFERROR(V351/H351,"0")+IFERROR(V352/H352,"0")</f>
        <v/>
      </c>
      <c r="W353" s="675">
        <f>IFERROR(IF(W340="",0,W340),"0")+IFERROR(IF(W341="",0,W341),"0")+IFERROR(IF(W342="",0,W342),"0")+IFERROR(IF(W343="",0,W343),"0")+IFERROR(IF(W344="",0,W344),"0")+IFERROR(IF(W345="",0,W345),"0")+IFERROR(IF(W346="",0,W346),"0")+IFERROR(IF(W347="",0,W347),"0")+IFERROR(IF(W348="",0,W348),"0")+IFERROR(IF(W349="",0,W349),"0")+IFERROR(IF(W350="",0,W350),"0")+IFERROR(IF(W351="",0,W351),"0")+IFERROR(IF(W352="",0,W352),"0")</f>
        <v/>
      </c>
      <c r="X353" s="676" t="n"/>
      <c r="Y353" s="676" t="n"/>
    </row>
    <row r="354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673" t="n"/>
      <c r="M354" s="674" t="inlineStr">
        <is>
          <t>Итого</t>
        </is>
      </c>
      <c r="N354" s="644" t="n"/>
      <c r="O354" s="644" t="n"/>
      <c r="P354" s="644" t="n"/>
      <c r="Q354" s="644" t="n"/>
      <c r="R354" s="644" t="n"/>
      <c r="S354" s="645" t="n"/>
      <c r="T354" s="43" t="inlineStr">
        <is>
          <t>кг</t>
        </is>
      </c>
      <c r="U354" s="675">
        <f>IFERROR(SUM(U340:U352),"0")</f>
        <v/>
      </c>
      <c r="V354" s="675">
        <f>IFERROR(SUM(V340:V352),"0")</f>
        <v/>
      </c>
      <c r="W354" s="43" t="n"/>
      <c r="X354" s="676" t="n"/>
      <c r="Y354" s="676" t="n"/>
    </row>
    <row r="355" ht="14.25" customHeight="1">
      <c r="A355" s="329" t="inlineStr">
        <is>
          <t>Сосиски</t>
        </is>
      </c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329" t="n"/>
      <c r="Y355" s="329" t="n"/>
    </row>
    <row r="356" ht="27" customHeight="1">
      <c r="A356" s="64" t="inlineStr">
        <is>
          <t>SU002448</t>
        </is>
      </c>
      <c r="B356" s="64" t="inlineStr">
        <is>
          <t>P002914</t>
        </is>
      </c>
      <c r="C356" s="37" t="n">
        <v>4301051258</v>
      </c>
      <c r="D356" s="324" t="n">
        <v>4607091389685</v>
      </c>
      <c r="E356" s="636" t="n"/>
      <c r="F356" s="668" t="n">
        <v>1.3</v>
      </c>
      <c r="G356" s="38" t="n">
        <v>6</v>
      </c>
      <c r="H356" s="668" t="n">
        <v>7.8</v>
      </c>
      <c r="I356" s="668" t="n">
        <v>8.346</v>
      </c>
      <c r="J356" s="38" t="n">
        <v>56</v>
      </c>
      <c r="K356" s="39" t="inlineStr">
        <is>
          <t>СК3</t>
        </is>
      </c>
      <c r="L356" s="38" t="n">
        <v>45</v>
      </c>
      <c r="M356" s="867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N356" s="670" t="n"/>
      <c r="O356" s="670" t="n"/>
      <c r="P356" s="670" t="n"/>
      <c r="Q356" s="636" t="n"/>
      <c r="R356" s="40" t="inlineStr"/>
      <c r="S356" s="40" t="inlineStr"/>
      <c r="T356" s="41" t="inlineStr">
        <is>
          <t>кг</t>
        </is>
      </c>
      <c r="U356" s="671" t="n">
        <v>0</v>
      </c>
      <c r="V356" s="672">
        <f>IFERROR(IF(U356="",0,CEILING((U356/$H356),1)*$H356),"")</f>
        <v/>
      </c>
      <c r="W356" s="42">
        <f>IFERROR(IF(V356=0,"",ROUNDUP(V356/H356,0)*0.02175),"")</f>
        <v/>
      </c>
      <c r="X356" s="69" t="inlineStr"/>
      <c r="Y356" s="70" t="inlineStr"/>
      <c r="AC356" s="71" t="n"/>
      <c r="AZ356" s="264" t="inlineStr">
        <is>
          <t>КИ</t>
        </is>
      </c>
    </row>
    <row r="357" ht="27" customHeight="1">
      <c r="A357" s="64" t="inlineStr">
        <is>
          <t>SU002557</t>
        </is>
      </c>
      <c r="B357" s="64" t="inlineStr">
        <is>
          <t>P003318</t>
        </is>
      </c>
      <c r="C357" s="37" t="n">
        <v>4301051431</v>
      </c>
      <c r="D357" s="324" t="n">
        <v>4607091389654</v>
      </c>
      <c r="E357" s="636" t="n"/>
      <c r="F357" s="668" t="n">
        <v>0.33</v>
      </c>
      <c r="G357" s="38" t="n">
        <v>6</v>
      </c>
      <c r="H357" s="668" t="n">
        <v>1.98</v>
      </c>
      <c r="I357" s="668" t="n">
        <v>2.258</v>
      </c>
      <c r="J357" s="38" t="n">
        <v>156</v>
      </c>
      <c r="K357" s="39" t="inlineStr">
        <is>
          <t>СК3</t>
        </is>
      </c>
      <c r="L357" s="38" t="n">
        <v>45</v>
      </c>
      <c r="M357" s="868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N357" s="670" t="n"/>
      <c r="O357" s="670" t="n"/>
      <c r="P357" s="670" t="n"/>
      <c r="Q357" s="636" t="n"/>
      <c r="R357" s="40" t="inlineStr"/>
      <c r="S357" s="40" t="inlineStr"/>
      <c r="T357" s="41" t="inlineStr">
        <is>
          <t>кг</t>
        </is>
      </c>
      <c r="U357" s="671" t="n">
        <v>0</v>
      </c>
      <c r="V357" s="672">
        <f>IFERROR(IF(U357="",0,CEILING((U357/$H357),1)*$H357),"")</f>
        <v/>
      </c>
      <c r="W357" s="42">
        <f>IFERROR(IF(V357=0,"",ROUNDUP(V357/H357,0)*0.00753),"")</f>
        <v/>
      </c>
      <c r="X357" s="69" t="inlineStr"/>
      <c r="Y357" s="70" t="inlineStr"/>
      <c r="AC357" s="71" t="n"/>
      <c r="AZ357" s="265" t="inlineStr">
        <is>
          <t>КИ</t>
        </is>
      </c>
    </row>
    <row r="358" ht="27" customHeight="1">
      <c r="A358" s="64" t="inlineStr">
        <is>
          <t>SU002285</t>
        </is>
      </c>
      <c r="B358" s="64" t="inlineStr">
        <is>
          <t>P002969</t>
        </is>
      </c>
      <c r="C358" s="37" t="n">
        <v>4301051284</v>
      </c>
      <c r="D358" s="324" t="n">
        <v>4607091384352</v>
      </c>
      <c r="E358" s="636" t="n"/>
      <c r="F358" s="668" t="n">
        <v>0.6</v>
      </c>
      <c r="G358" s="38" t="n">
        <v>4</v>
      </c>
      <c r="H358" s="668" t="n">
        <v>2.4</v>
      </c>
      <c r="I358" s="668" t="n">
        <v>2.646</v>
      </c>
      <c r="J358" s="38" t="n">
        <v>120</v>
      </c>
      <c r="K358" s="39" t="inlineStr">
        <is>
          <t>СК3</t>
        </is>
      </c>
      <c r="L358" s="38" t="n">
        <v>45</v>
      </c>
      <c r="M358" s="869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N358" s="670" t="n"/>
      <c r="O358" s="670" t="n"/>
      <c r="P358" s="670" t="n"/>
      <c r="Q358" s="636" t="n"/>
      <c r="R358" s="40" t="inlineStr"/>
      <c r="S358" s="40" t="inlineStr"/>
      <c r="T358" s="41" t="inlineStr">
        <is>
          <t>кг</t>
        </is>
      </c>
      <c r="U358" s="671" t="n">
        <v>0</v>
      </c>
      <c r="V358" s="672">
        <f>IFERROR(IF(U358="",0,CEILING((U358/$H358),1)*$H358),"")</f>
        <v/>
      </c>
      <c r="W358" s="42">
        <f>IFERROR(IF(V358=0,"",ROUNDUP(V358/H358,0)*0.00937),"")</f>
        <v/>
      </c>
      <c r="X358" s="69" t="inlineStr"/>
      <c r="Y358" s="70" t="inlineStr"/>
      <c r="AC358" s="71" t="n"/>
      <c r="AZ358" s="266" t="inlineStr">
        <is>
          <t>КИ</t>
        </is>
      </c>
    </row>
    <row r="359" ht="27" customHeight="1">
      <c r="A359" s="64" t="inlineStr">
        <is>
          <t>SU002419</t>
        </is>
      </c>
      <c r="B359" s="64" t="inlineStr">
        <is>
          <t>P002913</t>
        </is>
      </c>
      <c r="C359" s="37" t="n">
        <v>4301051257</v>
      </c>
      <c r="D359" s="324" t="n">
        <v>4607091389661</v>
      </c>
      <c r="E359" s="636" t="n"/>
      <c r="F359" s="668" t="n">
        <v>0.55</v>
      </c>
      <c r="G359" s="38" t="n">
        <v>4</v>
      </c>
      <c r="H359" s="668" t="n">
        <v>2.2</v>
      </c>
      <c r="I359" s="668" t="n">
        <v>2.492</v>
      </c>
      <c r="J359" s="38" t="n">
        <v>120</v>
      </c>
      <c r="K359" s="39" t="inlineStr">
        <is>
          <t>СК3</t>
        </is>
      </c>
      <c r="L359" s="38" t="n">
        <v>45</v>
      </c>
      <c r="M359" s="870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N359" s="670" t="n"/>
      <c r="O359" s="670" t="n"/>
      <c r="P359" s="670" t="n"/>
      <c r="Q359" s="636" t="n"/>
      <c r="R359" s="40" t="inlineStr"/>
      <c r="S359" s="40" t="inlineStr"/>
      <c r="T359" s="41" t="inlineStr">
        <is>
          <t>кг</t>
        </is>
      </c>
      <c r="U359" s="671" t="n">
        <v>0</v>
      </c>
      <c r="V359" s="672">
        <f>IFERROR(IF(U359="",0,CEILING((U359/$H359),1)*$H359),"")</f>
        <v/>
      </c>
      <c r="W359" s="42">
        <f>IFERROR(IF(V359=0,"",ROUNDUP(V359/H359,0)*0.00937),"")</f>
        <v/>
      </c>
      <c r="X359" s="69" t="inlineStr"/>
      <c r="Y359" s="70" t="inlineStr"/>
      <c r="AC359" s="71" t="n"/>
      <c r="AZ359" s="267" t="inlineStr">
        <is>
          <t>КИ</t>
        </is>
      </c>
    </row>
    <row r="360">
      <c r="A360" s="319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673" t="n"/>
      <c r="M360" s="674" t="inlineStr">
        <is>
          <t>Итого</t>
        </is>
      </c>
      <c r="N360" s="644" t="n"/>
      <c r="O360" s="644" t="n"/>
      <c r="P360" s="644" t="n"/>
      <c r="Q360" s="644" t="n"/>
      <c r="R360" s="644" t="n"/>
      <c r="S360" s="645" t="n"/>
      <c r="T360" s="43" t="inlineStr">
        <is>
          <t>кор</t>
        </is>
      </c>
      <c r="U360" s="675">
        <f>IFERROR(U356/H356,"0")+IFERROR(U357/H357,"0")+IFERROR(U358/H358,"0")+IFERROR(U359/H359,"0")</f>
        <v/>
      </c>
      <c r="V360" s="675">
        <f>IFERROR(V356/H356,"0")+IFERROR(V357/H357,"0")+IFERROR(V358/H358,"0")+IFERROR(V359/H359,"0")</f>
        <v/>
      </c>
      <c r="W360" s="675">
        <f>IFERROR(IF(W356="",0,W356),"0")+IFERROR(IF(W357="",0,W357),"0")+IFERROR(IF(W358="",0,W358),"0")+IFERROR(IF(W359="",0,W359),"0")</f>
        <v/>
      </c>
      <c r="X360" s="676" t="n"/>
      <c r="Y360" s="676" t="n"/>
    </row>
    <row r="361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673" t="n"/>
      <c r="M361" s="674" t="inlineStr">
        <is>
          <t>Итого</t>
        </is>
      </c>
      <c r="N361" s="644" t="n"/>
      <c r="O361" s="644" t="n"/>
      <c r="P361" s="644" t="n"/>
      <c r="Q361" s="644" t="n"/>
      <c r="R361" s="644" t="n"/>
      <c r="S361" s="645" t="n"/>
      <c r="T361" s="43" t="inlineStr">
        <is>
          <t>кг</t>
        </is>
      </c>
      <c r="U361" s="675">
        <f>IFERROR(SUM(U356:U359),"0")</f>
        <v/>
      </c>
      <c r="V361" s="675">
        <f>IFERROR(SUM(V356:V359),"0")</f>
        <v/>
      </c>
      <c r="W361" s="43" t="n"/>
      <c r="X361" s="676" t="n"/>
      <c r="Y361" s="676" t="n"/>
    </row>
    <row r="362" ht="14.25" customHeight="1">
      <c r="A362" s="329" t="inlineStr">
        <is>
          <t>Сардельки</t>
        </is>
      </c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329" t="n"/>
      <c r="Y362" s="329" t="n"/>
    </row>
    <row r="363" ht="27" customHeight="1">
      <c r="A363" s="64" t="inlineStr">
        <is>
          <t>SU002846</t>
        </is>
      </c>
      <c r="B363" s="64" t="inlineStr">
        <is>
          <t>P003254</t>
        </is>
      </c>
      <c r="C363" s="37" t="n">
        <v>4301060352</v>
      </c>
      <c r="D363" s="324" t="n">
        <v>4680115881648</v>
      </c>
      <c r="E363" s="636" t="n"/>
      <c r="F363" s="668" t="n">
        <v>1</v>
      </c>
      <c r="G363" s="38" t="n">
        <v>4</v>
      </c>
      <c r="H363" s="668" t="n">
        <v>4</v>
      </c>
      <c r="I363" s="668" t="n">
        <v>4.404</v>
      </c>
      <c r="J363" s="38" t="n">
        <v>104</v>
      </c>
      <c r="K363" s="39" t="inlineStr">
        <is>
          <t>СК2</t>
        </is>
      </c>
      <c r="L363" s="38" t="n">
        <v>35</v>
      </c>
      <c r="M363" s="871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N363" s="670" t="n"/>
      <c r="O363" s="670" t="n"/>
      <c r="P363" s="670" t="n"/>
      <c r="Q363" s="636" t="n"/>
      <c r="R363" s="40" t="inlineStr"/>
      <c r="S363" s="40" t="inlineStr"/>
      <c r="T363" s="41" t="inlineStr">
        <is>
          <t>кг</t>
        </is>
      </c>
      <c r="U363" s="671" t="n">
        <v>0</v>
      </c>
      <c r="V363" s="672">
        <f>IFERROR(IF(U363="",0,CEILING((U363/$H363),1)*$H363),"")</f>
        <v/>
      </c>
      <c r="W363" s="42">
        <f>IFERROR(IF(V363=0,"",ROUNDUP(V363/H363,0)*0.01196),"")</f>
        <v/>
      </c>
      <c r="X363" s="69" t="inlineStr"/>
      <c r="Y363" s="70" t="inlineStr"/>
      <c r="AC363" s="71" t="n"/>
      <c r="AZ363" s="268" t="inlineStr">
        <is>
          <t>КИ</t>
        </is>
      </c>
    </row>
    <row r="364">
      <c r="A364" s="319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673" t="n"/>
      <c r="M364" s="674" t="inlineStr">
        <is>
          <t>Итого</t>
        </is>
      </c>
      <c r="N364" s="644" t="n"/>
      <c r="O364" s="644" t="n"/>
      <c r="P364" s="644" t="n"/>
      <c r="Q364" s="644" t="n"/>
      <c r="R364" s="644" t="n"/>
      <c r="S364" s="645" t="n"/>
      <c r="T364" s="43" t="inlineStr">
        <is>
          <t>кор</t>
        </is>
      </c>
      <c r="U364" s="675">
        <f>IFERROR(U363/H363,"0")</f>
        <v/>
      </c>
      <c r="V364" s="675">
        <f>IFERROR(V363/H363,"0")</f>
        <v/>
      </c>
      <c r="W364" s="675">
        <f>IFERROR(IF(W363="",0,W363),"0")</f>
        <v/>
      </c>
      <c r="X364" s="676" t="n"/>
      <c r="Y364" s="676" t="n"/>
    </row>
    <row r="365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673" t="n"/>
      <c r="M365" s="674" t="inlineStr">
        <is>
          <t>Итого</t>
        </is>
      </c>
      <c r="N365" s="644" t="n"/>
      <c r="O365" s="644" t="n"/>
      <c r="P365" s="644" t="n"/>
      <c r="Q365" s="644" t="n"/>
      <c r="R365" s="644" t="n"/>
      <c r="S365" s="645" t="n"/>
      <c r="T365" s="43" t="inlineStr">
        <is>
          <t>кг</t>
        </is>
      </c>
      <c r="U365" s="675">
        <f>IFERROR(SUM(U363:U363),"0")</f>
        <v/>
      </c>
      <c r="V365" s="675">
        <f>IFERROR(SUM(V363:V363),"0")</f>
        <v/>
      </c>
      <c r="W365" s="43" t="n"/>
      <c r="X365" s="676" t="n"/>
      <c r="Y365" s="676" t="n"/>
    </row>
    <row r="366" ht="14.25" customHeight="1">
      <c r="A366" s="329" t="inlineStr">
        <is>
          <t>Сырокопченые колбасы</t>
        </is>
      </c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329" t="n"/>
      <c r="Y366" s="329" t="n"/>
    </row>
    <row r="367" ht="27" customHeight="1">
      <c r="A367" s="64" t="inlineStr">
        <is>
          <t>SU003058</t>
        </is>
      </c>
      <c r="B367" s="64" t="inlineStr">
        <is>
          <t>P003620</t>
        </is>
      </c>
      <c r="C367" s="37" t="n">
        <v>4301032042</v>
      </c>
      <c r="D367" s="324" t="n">
        <v>4680115883017</v>
      </c>
      <c r="E367" s="636" t="n"/>
      <c r="F367" s="668" t="n">
        <v>0.03</v>
      </c>
      <c r="G367" s="38" t="n">
        <v>20</v>
      </c>
      <c r="H367" s="668" t="n">
        <v>0.6</v>
      </c>
      <c r="I367" s="668" t="n">
        <v>0.63</v>
      </c>
      <c r="J367" s="38" t="n">
        <v>350</v>
      </c>
      <c r="K367" s="39" t="inlineStr">
        <is>
          <t>ДК</t>
        </is>
      </c>
      <c r="L367" s="38" t="n">
        <v>60</v>
      </c>
      <c r="M367" s="872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/>
      </c>
      <c r="N367" s="670" t="n"/>
      <c r="O367" s="670" t="n"/>
      <c r="P367" s="670" t="n"/>
      <c r="Q367" s="636" t="n"/>
      <c r="R367" s="40" t="inlineStr"/>
      <c r="S367" s="40" t="inlineStr"/>
      <c r="T367" s="41" t="inlineStr">
        <is>
          <t>кг</t>
        </is>
      </c>
      <c r="U367" s="671" t="n">
        <v>0</v>
      </c>
      <c r="V367" s="672">
        <f>IFERROR(IF(U367="",0,CEILING((U367/$H367),1)*$H367),"")</f>
        <v/>
      </c>
      <c r="W367" s="42">
        <f>IFERROR(IF(V367=0,"",ROUNDUP(V367/H367,0)*0.00349),"")</f>
        <v/>
      </c>
      <c r="X367" s="69" t="inlineStr"/>
      <c r="Y367" s="70" t="inlineStr"/>
      <c r="AC367" s="71" t="n"/>
      <c r="AZ367" s="269" t="inlineStr">
        <is>
          <t>КИ</t>
        </is>
      </c>
    </row>
    <row r="368" ht="27" customHeight="1">
      <c r="A368" s="64" t="inlineStr">
        <is>
          <t>SU003061</t>
        </is>
      </c>
      <c r="B368" s="64" t="inlineStr">
        <is>
          <t>P003621</t>
        </is>
      </c>
      <c r="C368" s="37" t="n">
        <v>4301032043</v>
      </c>
      <c r="D368" s="324" t="n">
        <v>4680115883031</v>
      </c>
      <c r="E368" s="636" t="n"/>
      <c r="F368" s="668" t="n">
        <v>0.03</v>
      </c>
      <c r="G368" s="38" t="n">
        <v>20</v>
      </c>
      <c r="H368" s="668" t="n">
        <v>0.6</v>
      </c>
      <c r="I368" s="668" t="n">
        <v>0.63</v>
      </c>
      <c r="J368" s="38" t="n">
        <v>350</v>
      </c>
      <c r="K368" s="39" t="inlineStr">
        <is>
          <t>ДК</t>
        </is>
      </c>
      <c r="L368" s="38" t="n">
        <v>60</v>
      </c>
      <c r="M368" s="873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/>
      </c>
      <c r="N368" s="670" t="n"/>
      <c r="O368" s="670" t="n"/>
      <c r="P368" s="670" t="n"/>
      <c r="Q368" s="636" t="n"/>
      <c r="R368" s="40" t="inlineStr"/>
      <c r="S368" s="40" t="inlineStr"/>
      <c r="T368" s="41" t="inlineStr">
        <is>
          <t>кг</t>
        </is>
      </c>
      <c r="U368" s="671" t="n">
        <v>0</v>
      </c>
      <c r="V368" s="672">
        <f>IFERROR(IF(U368="",0,CEILING((U368/$H368),1)*$H368),"")</f>
        <v/>
      </c>
      <c r="W368" s="42">
        <f>IFERROR(IF(V368=0,"",ROUNDUP(V368/H368,0)*0.00349),"")</f>
        <v/>
      </c>
      <c r="X368" s="69" t="inlineStr"/>
      <c r="Y368" s="70" t="inlineStr"/>
      <c r="AC368" s="71" t="n"/>
      <c r="AZ368" s="270" t="inlineStr">
        <is>
          <t>КИ</t>
        </is>
      </c>
    </row>
    <row r="369" ht="27" customHeight="1">
      <c r="A369" s="64" t="inlineStr">
        <is>
          <t>SU003057</t>
        </is>
      </c>
      <c r="B369" s="64" t="inlineStr">
        <is>
          <t>P003619</t>
        </is>
      </c>
      <c r="C369" s="37" t="n">
        <v>4301032041</v>
      </c>
      <c r="D369" s="324" t="n">
        <v>4680115883024</v>
      </c>
      <c r="E369" s="636" t="n"/>
      <c r="F369" s="668" t="n">
        <v>0.03</v>
      </c>
      <c r="G369" s="38" t="n">
        <v>20</v>
      </c>
      <c r="H369" s="668" t="n">
        <v>0.6</v>
      </c>
      <c r="I369" s="668" t="n">
        <v>0.63</v>
      </c>
      <c r="J369" s="38" t="n">
        <v>350</v>
      </c>
      <c r="K369" s="39" t="inlineStr">
        <is>
          <t>ДК</t>
        </is>
      </c>
      <c r="L369" s="38" t="n">
        <v>60</v>
      </c>
      <c r="M369" s="874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/>
      </c>
      <c r="N369" s="670" t="n"/>
      <c r="O369" s="670" t="n"/>
      <c r="P369" s="670" t="n"/>
      <c r="Q369" s="636" t="n"/>
      <c r="R369" s="40" t="inlineStr"/>
      <c r="S369" s="40" t="inlineStr"/>
      <c r="T369" s="41" t="inlineStr">
        <is>
          <t>кг</t>
        </is>
      </c>
      <c r="U369" s="671" t="n">
        <v>0</v>
      </c>
      <c r="V369" s="672">
        <f>IFERROR(IF(U369="",0,CEILING((U369/$H369),1)*$H369),"")</f>
        <v/>
      </c>
      <c r="W369" s="42">
        <f>IFERROR(IF(V369=0,"",ROUNDUP(V369/H369,0)*0.00349),"")</f>
        <v/>
      </c>
      <c r="X369" s="69" t="inlineStr"/>
      <c r="Y369" s="70" t="inlineStr"/>
      <c r="AC369" s="71" t="n"/>
      <c r="AZ369" s="271" t="inlineStr">
        <is>
          <t>КИ</t>
        </is>
      </c>
    </row>
    <row r="370">
      <c r="A370" s="319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673" t="n"/>
      <c r="M370" s="674" t="inlineStr">
        <is>
          <t>Итого</t>
        </is>
      </c>
      <c r="N370" s="644" t="n"/>
      <c r="O370" s="644" t="n"/>
      <c r="P370" s="644" t="n"/>
      <c r="Q370" s="644" t="n"/>
      <c r="R370" s="644" t="n"/>
      <c r="S370" s="645" t="n"/>
      <c r="T370" s="43" t="inlineStr">
        <is>
          <t>кор</t>
        </is>
      </c>
      <c r="U370" s="675">
        <f>IFERROR(U367/H367,"0")+IFERROR(U368/H368,"0")+IFERROR(U369/H369,"0")</f>
        <v/>
      </c>
      <c r="V370" s="675">
        <f>IFERROR(V367/H367,"0")+IFERROR(V368/H368,"0")+IFERROR(V369/H369,"0")</f>
        <v/>
      </c>
      <c r="W370" s="675">
        <f>IFERROR(IF(W367="",0,W367),"0")+IFERROR(IF(W368="",0,W368),"0")+IFERROR(IF(W369="",0,W369),"0")</f>
        <v/>
      </c>
      <c r="X370" s="676" t="n"/>
      <c r="Y370" s="676" t="n"/>
    </row>
    <row r="371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673" t="n"/>
      <c r="M371" s="674" t="inlineStr">
        <is>
          <t>Итого</t>
        </is>
      </c>
      <c r="N371" s="644" t="n"/>
      <c r="O371" s="644" t="n"/>
      <c r="P371" s="644" t="n"/>
      <c r="Q371" s="644" t="n"/>
      <c r="R371" s="644" t="n"/>
      <c r="S371" s="645" t="n"/>
      <c r="T371" s="43" t="inlineStr">
        <is>
          <t>кг</t>
        </is>
      </c>
      <c r="U371" s="675">
        <f>IFERROR(SUM(U367:U369),"0")</f>
        <v/>
      </c>
      <c r="V371" s="675">
        <f>IFERROR(SUM(V367:V369),"0")</f>
        <v/>
      </c>
      <c r="W371" s="43" t="n"/>
      <c r="X371" s="676" t="n"/>
      <c r="Y371" s="676" t="n"/>
    </row>
    <row r="372" ht="14.25" customHeight="1">
      <c r="A372" s="329" t="inlineStr">
        <is>
          <t>Сыровяленые колбасы</t>
        </is>
      </c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329" t="n"/>
      <c r="Y372" s="329" t="n"/>
    </row>
    <row r="373" ht="27" customHeight="1">
      <c r="A373" s="64" t="inlineStr">
        <is>
          <t>SU003060</t>
        </is>
      </c>
      <c r="B373" s="64" t="inlineStr">
        <is>
          <t>P003624</t>
        </is>
      </c>
      <c r="C373" s="37" t="n">
        <v>4301170009</v>
      </c>
      <c r="D373" s="324" t="n">
        <v>4680115882997</v>
      </c>
      <c r="E373" s="636" t="n"/>
      <c r="F373" s="668" t="n">
        <v>0.13</v>
      </c>
      <c r="G373" s="38" t="n">
        <v>10</v>
      </c>
      <c r="H373" s="668" t="n">
        <v>1.3</v>
      </c>
      <c r="I373" s="668" t="n">
        <v>1.46</v>
      </c>
      <c r="J373" s="38" t="n">
        <v>200</v>
      </c>
      <c r="K373" s="39" t="inlineStr">
        <is>
          <t>ДК</t>
        </is>
      </c>
      <c r="L373" s="38" t="n">
        <v>150</v>
      </c>
      <c r="M373" s="875" t="inlineStr">
        <is>
          <t>с/в колбасы «Филейбургская с филе сочного окорока» ф/в 0,13 н/о ТМ «Баварушка»</t>
        </is>
      </c>
      <c r="N373" s="670" t="n"/>
      <c r="O373" s="670" t="n"/>
      <c r="P373" s="670" t="n"/>
      <c r="Q373" s="636" t="n"/>
      <c r="R373" s="40" t="inlineStr"/>
      <c r="S373" s="40" t="inlineStr"/>
      <c r="T373" s="41" t="inlineStr">
        <is>
          <t>кг</t>
        </is>
      </c>
      <c r="U373" s="671" t="n">
        <v>0</v>
      </c>
      <c r="V373" s="672">
        <f>IFERROR(IF(U373="",0,CEILING((U373/$H373),1)*$H373),"")</f>
        <v/>
      </c>
      <c r="W373" s="42">
        <f>IFERROR(IF(V373=0,"",ROUNDUP(V373/H373,0)*0.00673),"")</f>
        <v/>
      </c>
      <c r="X373" s="69" t="inlineStr"/>
      <c r="Y373" s="70" t="inlineStr"/>
      <c r="AC373" s="71" t="n"/>
      <c r="AZ373" s="272" t="inlineStr">
        <is>
          <t>КИ</t>
        </is>
      </c>
    </row>
    <row r="374">
      <c r="A374" s="319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673" t="n"/>
      <c r="M374" s="674" t="inlineStr">
        <is>
          <t>Итого</t>
        </is>
      </c>
      <c r="N374" s="644" t="n"/>
      <c r="O374" s="644" t="n"/>
      <c r="P374" s="644" t="n"/>
      <c r="Q374" s="644" t="n"/>
      <c r="R374" s="644" t="n"/>
      <c r="S374" s="645" t="n"/>
      <c r="T374" s="43" t="inlineStr">
        <is>
          <t>кор</t>
        </is>
      </c>
      <c r="U374" s="675">
        <f>IFERROR(U373/H373,"0")</f>
        <v/>
      </c>
      <c r="V374" s="675">
        <f>IFERROR(V373/H373,"0")</f>
        <v/>
      </c>
      <c r="W374" s="675">
        <f>IFERROR(IF(W373="",0,W373),"0")</f>
        <v/>
      </c>
      <c r="X374" s="676" t="n"/>
      <c r="Y374" s="676" t="n"/>
    </row>
    <row r="375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673" t="n"/>
      <c r="M375" s="674" t="inlineStr">
        <is>
          <t>Итого</t>
        </is>
      </c>
      <c r="N375" s="644" t="n"/>
      <c r="O375" s="644" t="n"/>
      <c r="P375" s="644" t="n"/>
      <c r="Q375" s="644" t="n"/>
      <c r="R375" s="644" t="n"/>
      <c r="S375" s="645" t="n"/>
      <c r="T375" s="43" t="inlineStr">
        <is>
          <t>кг</t>
        </is>
      </c>
      <c r="U375" s="675">
        <f>IFERROR(SUM(U373:U373),"0")</f>
        <v/>
      </c>
      <c r="V375" s="675">
        <f>IFERROR(SUM(V373:V373),"0")</f>
        <v/>
      </c>
      <c r="W375" s="43" t="n"/>
      <c r="X375" s="676" t="n"/>
      <c r="Y375" s="676" t="n"/>
    </row>
    <row r="376" ht="16.5" customHeight="1">
      <c r="A376" s="328" t="inlineStr">
        <is>
          <t>Балыкбургская</t>
        </is>
      </c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328" t="n"/>
      <c r="Y376" s="328" t="n"/>
    </row>
    <row r="377" ht="14.25" customHeight="1">
      <c r="A377" s="329" t="inlineStr">
        <is>
          <t>Ветчины</t>
        </is>
      </c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329" t="n"/>
      <c r="Y377" s="329" t="n"/>
    </row>
    <row r="378" ht="27" customHeight="1">
      <c r="A378" s="64" t="inlineStr">
        <is>
          <t>SU002542</t>
        </is>
      </c>
      <c r="B378" s="64" t="inlineStr">
        <is>
          <t>P002847</t>
        </is>
      </c>
      <c r="C378" s="37" t="n">
        <v>4301020196</v>
      </c>
      <c r="D378" s="324" t="n">
        <v>4607091389388</v>
      </c>
      <c r="E378" s="636" t="n"/>
      <c r="F378" s="668" t="n">
        <v>1.3</v>
      </c>
      <c r="G378" s="38" t="n">
        <v>4</v>
      </c>
      <c r="H378" s="668" t="n">
        <v>5.2</v>
      </c>
      <c r="I378" s="668" t="n">
        <v>5.608</v>
      </c>
      <c r="J378" s="38" t="n">
        <v>104</v>
      </c>
      <c r="K378" s="39" t="inlineStr">
        <is>
          <t>СК3</t>
        </is>
      </c>
      <c r="L378" s="38" t="n">
        <v>35</v>
      </c>
      <c r="M378" s="876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N378" s="670" t="n"/>
      <c r="O378" s="670" t="n"/>
      <c r="P378" s="670" t="n"/>
      <c r="Q378" s="636" t="n"/>
      <c r="R378" s="40" t="inlineStr"/>
      <c r="S378" s="40" t="inlineStr"/>
      <c r="T378" s="41" t="inlineStr">
        <is>
          <t>кг</t>
        </is>
      </c>
      <c r="U378" s="671" t="n">
        <v>0</v>
      </c>
      <c r="V378" s="672">
        <f>IFERROR(IF(U378="",0,CEILING((U378/$H378),1)*$H378),"")</f>
        <v/>
      </c>
      <c r="W378" s="42">
        <f>IFERROR(IF(V378=0,"",ROUNDUP(V378/H378,0)*0.01196),"")</f>
        <v/>
      </c>
      <c r="X378" s="69" t="inlineStr"/>
      <c r="Y378" s="70" t="inlineStr"/>
      <c r="AC378" s="71" t="n"/>
      <c r="AZ378" s="273" t="inlineStr">
        <is>
          <t>КИ</t>
        </is>
      </c>
    </row>
    <row r="379" ht="27" customHeight="1">
      <c r="A379" s="64" t="inlineStr">
        <is>
          <t>SU002319</t>
        </is>
      </c>
      <c r="B379" s="64" t="inlineStr">
        <is>
          <t>P002597</t>
        </is>
      </c>
      <c r="C379" s="37" t="n">
        <v>4301020185</v>
      </c>
      <c r="D379" s="324" t="n">
        <v>4607091389364</v>
      </c>
      <c r="E379" s="636" t="n"/>
      <c r="F379" s="668" t="n">
        <v>0.42</v>
      </c>
      <c r="G379" s="38" t="n">
        <v>6</v>
      </c>
      <c r="H379" s="668" t="n">
        <v>2.52</v>
      </c>
      <c r="I379" s="668" t="n">
        <v>2.75</v>
      </c>
      <c r="J379" s="38" t="n">
        <v>156</v>
      </c>
      <c r="K379" s="39" t="inlineStr">
        <is>
          <t>СК3</t>
        </is>
      </c>
      <c r="L379" s="38" t="n">
        <v>35</v>
      </c>
      <c r="M379" s="877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N379" s="670" t="n"/>
      <c r="O379" s="670" t="n"/>
      <c r="P379" s="670" t="n"/>
      <c r="Q379" s="636" t="n"/>
      <c r="R379" s="40" t="inlineStr"/>
      <c r="S379" s="40" t="inlineStr"/>
      <c r="T379" s="41" t="inlineStr">
        <is>
          <t>кг</t>
        </is>
      </c>
      <c r="U379" s="671" t="n">
        <v>0</v>
      </c>
      <c r="V379" s="672">
        <f>IFERROR(IF(U379="",0,CEILING((U379/$H379),1)*$H379),"")</f>
        <v/>
      </c>
      <c r="W379" s="42">
        <f>IFERROR(IF(V379=0,"",ROUNDUP(V379/H379,0)*0.00753),"")</f>
        <v/>
      </c>
      <c r="X379" s="69" t="inlineStr"/>
      <c r="Y379" s="70" t="inlineStr"/>
      <c r="AC379" s="71" t="n"/>
      <c r="AZ379" s="274" t="inlineStr">
        <is>
          <t>КИ</t>
        </is>
      </c>
    </row>
    <row r="380">
      <c r="A380" s="319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673" t="n"/>
      <c r="M380" s="674" t="inlineStr">
        <is>
          <t>Итого</t>
        </is>
      </c>
      <c r="N380" s="644" t="n"/>
      <c r="O380" s="644" t="n"/>
      <c r="P380" s="644" t="n"/>
      <c r="Q380" s="644" t="n"/>
      <c r="R380" s="644" t="n"/>
      <c r="S380" s="645" t="n"/>
      <c r="T380" s="43" t="inlineStr">
        <is>
          <t>кор</t>
        </is>
      </c>
      <c r="U380" s="675">
        <f>IFERROR(U378/H378,"0")+IFERROR(U379/H379,"0")</f>
        <v/>
      </c>
      <c r="V380" s="675">
        <f>IFERROR(V378/H378,"0")+IFERROR(V379/H379,"0")</f>
        <v/>
      </c>
      <c r="W380" s="675">
        <f>IFERROR(IF(W378="",0,W378),"0")+IFERROR(IF(W379="",0,W379),"0")</f>
        <v/>
      </c>
      <c r="X380" s="676" t="n"/>
      <c r="Y380" s="676" t="n"/>
    </row>
    <row r="381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673" t="n"/>
      <c r="M381" s="674" t="inlineStr">
        <is>
          <t>Итого</t>
        </is>
      </c>
      <c r="N381" s="644" t="n"/>
      <c r="O381" s="644" t="n"/>
      <c r="P381" s="644" t="n"/>
      <c r="Q381" s="644" t="n"/>
      <c r="R381" s="644" t="n"/>
      <c r="S381" s="645" t="n"/>
      <c r="T381" s="43" t="inlineStr">
        <is>
          <t>кг</t>
        </is>
      </c>
      <c r="U381" s="675">
        <f>IFERROR(SUM(U378:U379),"0")</f>
        <v/>
      </c>
      <c r="V381" s="675">
        <f>IFERROR(SUM(V378:V379),"0")</f>
        <v/>
      </c>
      <c r="W381" s="43" t="n"/>
      <c r="X381" s="676" t="n"/>
      <c r="Y381" s="676" t="n"/>
    </row>
    <row r="382" ht="14.25" customHeight="1">
      <c r="A382" s="329" t="inlineStr">
        <is>
          <t>Копченые колбасы</t>
        </is>
      </c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329" t="n"/>
      <c r="Y382" s="329" t="n"/>
    </row>
    <row r="383" ht="27" customHeight="1">
      <c r="A383" s="64" t="inlineStr">
        <is>
          <t>SU002612</t>
        </is>
      </c>
      <c r="B383" s="64" t="inlineStr">
        <is>
          <t>P003140</t>
        </is>
      </c>
      <c r="C383" s="37" t="n">
        <v>4301031212</v>
      </c>
      <c r="D383" s="324" t="n">
        <v>4607091389739</v>
      </c>
      <c r="E383" s="636" t="n"/>
      <c r="F383" s="668" t="n">
        <v>0.7</v>
      </c>
      <c r="G383" s="38" t="n">
        <v>6</v>
      </c>
      <c r="H383" s="668" t="n">
        <v>4.2</v>
      </c>
      <c r="I383" s="668" t="n">
        <v>4.43</v>
      </c>
      <c r="J383" s="38" t="n">
        <v>156</v>
      </c>
      <c r="K383" s="39" t="inlineStr">
        <is>
          <t>СК1</t>
        </is>
      </c>
      <c r="L383" s="38" t="n">
        <v>45</v>
      </c>
      <c r="M383" s="878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N383" s="670" t="n"/>
      <c r="O383" s="670" t="n"/>
      <c r="P383" s="670" t="n"/>
      <c r="Q383" s="636" t="n"/>
      <c r="R383" s="40" t="inlineStr"/>
      <c r="S383" s="40" t="inlineStr"/>
      <c r="T383" s="41" t="inlineStr">
        <is>
          <t>кг</t>
        </is>
      </c>
      <c r="U383" s="671" t="n">
        <v>0</v>
      </c>
      <c r="V383" s="672">
        <f>IFERROR(IF(U383="",0,CEILING((U383/$H383),1)*$H383),"")</f>
        <v/>
      </c>
      <c r="W383" s="42">
        <f>IFERROR(IF(V383=0,"",ROUNDUP(V383/H383,0)*0.00753),"")</f>
        <v/>
      </c>
      <c r="X383" s="69" t="inlineStr"/>
      <c r="Y383" s="70" t="inlineStr"/>
      <c r="AC383" s="71" t="n"/>
      <c r="AZ383" s="275" t="inlineStr">
        <is>
          <t>КИ</t>
        </is>
      </c>
    </row>
    <row r="384" ht="27" customHeight="1">
      <c r="A384" s="64" t="inlineStr">
        <is>
          <t>SU003071</t>
        </is>
      </c>
      <c r="B384" s="64" t="inlineStr">
        <is>
          <t>P003612</t>
        </is>
      </c>
      <c r="C384" s="37" t="n">
        <v>4301031247</v>
      </c>
      <c r="D384" s="324" t="n">
        <v>4680115883048</v>
      </c>
      <c r="E384" s="636" t="n"/>
      <c r="F384" s="668" t="n">
        <v>1</v>
      </c>
      <c r="G384" s="38" t="n">
        <v>4</v>
      </c>
      <c r="H384" s="668" t="n">
        <v>4</v>
      </c>
      <c r="I384" s="668" t="n">
        <v>4.21</v>
      </c>
      <c r="J384" s="38" t="n">
        <v>120</v>
      </c>
      <c r="K384" s="39" t="inlineStr">
        <is>
          <t>СК2</t>
        </is>
      </c>
      <c r="L384" s="38" t="n">
        <v>40</v>
      </c>
      <c r="M384" s="879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N384" s="670" t="n"/>
      <c r="O384" s="670" t="n"/>
      <c r="P384" s="670" t="n"/>
      <c r="Q384" s="636" t="n"/>
      <c r="R384" s="40" t="inlineStr"/>
      <c r="S384" s="40" t="inlineStr"/>
      <c r="T384" s="41" t="inlineStr">
        <is>
          <t>кг</t>
        </is>
      </c>
      <c r="U384" s="671" t="n">
        <v>0</v>
      </c>
      <c r="V384" s="672">
        <f>IFERROR(IF(U384="",0,CEILING((U384/$H384),1)*$H384),"")</f>
        <v/>
      </c>
      <c r="W384" s="42">
        <f>IFERROR(IF(V384=0,"",ROUNDUP(V384/H384,0)*0.00937),"")</f>
        <v/>
      </c>
      <c r="X384" s="69" t="inlineStr"/>
      <c r="Y384" s="70" t="inlineStr"/>
      <c r="AC384" s="71" t="n"/>
      <c r="AZ384" s="276" t="inlineStr">
        <is>
          <t>КИ</t>
        </is>
      </c>
    </row>
    <row r="385" ht="27" customHeight="1">
      <c r="A385" s="64" t="inlineStr">
        <is>
          <t>SU002545</t>
        </is>
      </c>
      <c r="B385" s="64" t="inlineStr">
        <is>
          <t>P003137</t>
        </is>
      </c>
      <c r="C385" s="37" t="n">
        <v>4301031176</v>
      </c>
      <c r="D385" s="324" t="n">
        <v>4607091389425</v>
      </c>
      <c r="E385" s="636" t="n"/>
      <c r="F385" s="668" t="n">
        <v>0.35</v>
      </c>
      <c r="G385" s="38" t="n">
        <v>6</v>
      </c>
      <c r="H385" s="668" t="n">
        <v>2.1</v>
      </c>
      <c r="I385" s="668" t="n">
        <v>2.23</v>
      </c>
      <c r="J385" s="38" t="n">
        <v>234</v>
      </c>
      <c r="K385" s="39" t="inlineStr">
        <is>
          <t>СК2</t>
        </is>
      </c>
      <c r="L385" s="38" t="n">
        <v>45</v>
      </c>
      <c r="M385" s="880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N385" s="670" t="n"/>
      <c r="O385" s="670" t="n"/>
      <c r="P385" s="670" t="n"/>
      <c r="Q385" s="636" t="n"/>
      <c r="R385" s="40" t="inlineStr"/>
      <c r="S385" s="40" t="inlineStr"/>
      <c r="T385" s="41" t="inlineStr">
        <is>
          <t>кг</t>
        </is>
      </c>
      <c r="U385" s="671" t="n">
        <v>0</v>
      </c>
      <c r="V385" s="672">
        <f>IFERROR(IF(U385="",0,CEILING((U385/$H385),1)*$H385),"")</f>
        <v/>
      </c>
      <c r="W385" s="42">
        <f>IFERROR(IF(V385=0,"",ROUNDUP(V385/H385,0)*0.00502),"")</f>
        <v/>
      </c>
      <c r="X385" s="69" t="inlineStr"/>
      <c r="Y385" s="70" t="inlineStr"/>
      <c r="AC385" s="71" t="n"/>
      <c r="AZ385" s="277" t="inlineStr">
        <is>
          <t>КИ</t>
        </is>
      </c>
    </row>
    <row r="386" ht="27" customHeight="1">
      <c r="A386" s="64" t="inlineStr">
        <is>
          <t>SU002917</t>
        </is>
      </c>
      <c r="B386" s="64" t="inlineStr">
        <is>
          <t>P003343</t>
        </is>
      </c>
      <c r="C386" s="37" t="n">
        <v>4301031215</v>
      </c>
      <c r="D386" s="324" t="n">
        <v>4680115882911</v>
      </c>
      <c r="E386" s="636" t="n"/>
      <c r="F386" s="668" t="n">
        <v>0.4</v>
      </c>
      <c r="G386" s="38" t="n">
        <v>6</v>
      </c>
      <c r="H386" s="668" t="n">
        <v>2.4</v>
      </c>
      <c r="I386" s="668" t="n">
        <v>2.53</v>
      </c>
      <c r="J386" s="38" t="n">
        <v>234</v>
      </c>
      <c r="K386" s="39" t="inlineStr">
        <is>
          <t>СК2</t>
        </is>
      </c>
      <c r="L386" s="38" t="n">
        <v>40</v>
      </c>
      <c r="M386" s="881" t="inlineStr">
        <is>
          <t>П/к колбасы «Балыкбургская по-баварски» Фикс.вес 0,4 н/о мгс ТМ «Баварушка»</t>
        </is>
      </c>
      <c r="N386" s="670" t="n"/>
      <c r="O386" s="670" t="n"/>
      <c r="P386" s="670" t="n"/>
      <c r="Q386" s="636" t="n"/>
      <c r="R386" s="40" t="inlineStr"/>
      <c r="S386" s="40" t="inlineStr"/>
      <c r="T386" s="41" t="inlineStr">
        <is>
          <t>кг</t>
        </is>
      </c>
      <c r="U386" s="671" t="n">
        <v>0</v>
      </c>
      <c r="V386" s="672">
        <f>IFERROR(IF(U386="",0,CEILING((U386/$H386),1)*$H386),"")</f>
        <v/>
      </c>
      <c r="W386" s="42">
        <f>IFERROR(IF(V386=0,"",ROUNDUP(V386/H386,0)*0.00502),"")</f>
        <v/>
      </c>
      <c r="X386" s="69" t="inlineStr"/>
      <c r="Y386" s="70" t="inlineStr"/>
      <c r="AC386" s="71" t="n"/>
      <c r="AZ386" s="278" t="inlineStr">
        <is>
          <t>КИ</t>
        </is>
      </c>
    </row>
    <row r="387" ht="27" customHeight="1">
      <c r="A387" s="64" t="inlineStr">
        <is>
          <t>SU002726</t>
        </is>
      </c>
      <c r="B387" s="64" t="inlineStr">
        <is>
          <t>P003095</t>
        </is>
      </c>
      <c r="C387" s="37" t="n">
        <v>4301031167</v>
      </c>
      <c r="D387" s="324" t="n">
        <v>4680115880771</v>
      </c>
      <c r="E387" s="636" t="n"/>
      <c r="F387" s="668" t="n">
        <v>0.28</v>
      </c>
      <c r="G387" s="38" t="n">
        <v>6</v>
      </c>
      <c r="H387" s="668" t="n">
        <v>1.68</v>
      </c>
      <c r="I387" s="668" t="n">
        <v>1.81</v>
      </c>
      <c r="J387" s="38" t="n">
        <v>234</v>
      </c>
      <c r="K387" s="39" t="inlineStr">
        <is>
          <t>СК2</t>
        </is>
      </c>
      <c r="L387" s="38" t="n">
        <v>45</v>
      </c>
      <c r="M387" s="882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N387" s="670" t="n"/>
      <c r="O387" s="670" t="n"/>
      <c r="P387" s="670" t="n"/>
      <c r="Q387" s="636" t="n"/>
      <c r="R387" s="40" t="inlineStr"/>
      <c r="S387" s="40" t="inlineStr"/>
      <c r="T387" s="41" t="inlineStr">
        <is>
          <t>кг</t>
        </is>
      </c>
      <c r="U387" s="671" t="n">
        <v>0</v>
      </c>
      <c r="V387" s="672">
        <f>IFERROR(IF(U387="",0,CEILING((U387/$H387),1)*$H387),"")</f>
        <v/>
      </c>
      <c r="W387" s="42">
        <f>IFERROR(IF(V387=0,"",ROUNDUP(V387/H387,0)*0.00502),"")</f>
        <v/>
      </c>
      <c r="X387" s="69" t="inlineStr"/>
      <c r="Y387" s="70" t="inlineStr"/>
      <c r="AC387" s="71" t="n"/>
      <c r="AZ387" s="279" t="inlineStr">
        <is>
          <t>КИ</t>
        </is>
      </c>
    </row>
    <row r="388" ht="27" customHeight="1">
      <c r="A388" s="64" t="inlineStr">
        <is>
          <t>SU002604</t>
        </is>
      </c>
      <c r="B388" s="64" t="inlineStr">
        <is>
          <t>P003135</t>
        </is>
      </c>
      <c r="C388" s="37" t="n">
        <v>4301031173</v>
      </c>
      <c r="D388" s="324" t="n">
        <v>4607091389500</v>
      </c>
      <c r="E388" s="636" t="n"/>
      <c r="F388" s="668" t="n">
        <v>0.35</v>
      </c>
      <c r="G388" s="38" t="n">
        <v>6</v>
      </c>
      <c r="H388" s="668" t="n">
        <v>2.1</v>
      </c>
      <c r="I388" s="668" t="n">
        <v>2.23</v>
      </c>
      <c r="J388" s="38" t="n">
        <v>234</v>
      </c>
      <c r="K388" s="39" t="inlineStr">
        <is>
          <t>СК2</t>
        </is>
      </c>
      <c r="L388" s="38" t="n">
        <v>45</v>
      </c>
      <c r="M388" s="883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N388" s="670" t="n"/>
      <c r="O388" s="670" t="n"/>
      <c r="P388" s="670" t="n"/>
      <c r="Q388" s="636" t="n"/>
      <c r="R388" s="40" t="inlineStr"/>
      <c r="S388" s="40" t="inlineStr"/>
      <c r="T388" s="41" t="inlineStr">
        <is>
          <t>кг</t>
        </is>
      </c>
      <c r="U388" s="671" t="n">
        <v>0</v>
      </c>
      <c r="V388" s="672">
        <f>IFERROR(IF(U388="",0,CEILING((U388/$H388),1)*$H388),"")</f>
        <v/>
      </c>
      <c r="W388" s="42">
        <f>IFERROR(IF(V388=0,"",ROUNDUP(V388/H388,0)*0.00502),"")</f>
        <v/>
      </c>
      <c r="X388" s="69" t="inlineStr"/>
      <c r="Y388" s="70" t="inlineStr"/>
      <c r="AC388" s="71" t="n"/>
      <c r="AZ388" s="280" t="inlineStr">
        <is>
          <t>КИ</t>
        </is>
      </c>
    </row>
    <row r="389" ht="27" customHeight="1">
      <c r="A389" s="64" t="inlineStr">
        <is>
          <t>SU002358</t>
        </is>
      </c>
      <c r="B389" s="64" t="inlineStr">
        <is>
          <t>P002642</t>
        </is>
      </c>
      <c r="C389" s="37" t="n">
        <v>4301031103</v>
      </c>
      <c r="D389" s="324" t="n">
        <v>4680115881983</v>
      </c>
      <c r="E389" s="636" t="n"/>
      <c r="F389" s="668" t="n">
        <v>0.28</v>
      </c>
      <c r="G389" s="38" t="n">
        <v>4</v>
      </c>
      <c r="H389" s="668" t="n">
        <v>1.12</v>
      </c>
      <c r="I389" s="668" t="n">
        <v>1.252</v>
      </c>
      <c r="J389" s="38" t="n">
        <v>234</v>
      </c>
      <c r="K389" s="39" t="inlineStr">
        <is>
          <t>СК2</t>
        </is>
      </c>
      <c r="L389" s="38" t="n">
        <v>40</v>
      </c>
      <c r="M389" s="884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N389" s="670" t="n"/>
      <c r="O389" s="670" t="n"/>
      <c r="P389" s="670" t="n"/>
      <c r="Q389" s="636" t="n"/>
      <c r="R389" s="40" t="inlineStr"/>
      <c r="S389" s="40" t="inlineStr"/>
      <c r="T389" s="41" t="inlineStr">
        <is>
          <t>кг</t>
        </is>
      </c>
      <c r="U389" s="671" t="n">
        <v>0</v>
      </c>
      <c r="V389" s="672">
        <f>IFERROR(IF(U389="",0,CEILING((U389/$H389),1)*$H389),"")</f>
        <v/>
      </c>
      <c r="W389" s="42">
        <f>IFERROR(IF(V389=0,"",ROUNDUP(V389/H389,0)*0.00502),"")</f>
        <v/>
      </c>
      <c r="X389" s="69" t="inlineStr"/>
      <c r="Y389" s="70" t="inlineStr"/>
      <c r="AC389" s="71" t="n"/>
      <c r="AZ389" s="281" t="inlineStr">
        <is>
          <t>КИ</t>
        </is>
      </c>
    </row>
    <row r="390">
      <c r="A390" s="319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673" t="n"/>
      <c r="M390" s="674" t="inlineStr">
        <is>
          <t>Итого</t>
        </is>
      </c>
      <c r="N390" s="644" t="n"/>
      <c r="O390" s="644" t="n"/>
      <c r="P390" s="644" t="n"/>
      <c r="Q390" s="644" t="n"/>
      <c r="R390" s="644" t="n"/>
      <c r="S390" s="645" t="n"/>
      <c r="T390" s="43" t="inlineStr">
        <is>
          <t>кор</t>
        </is>
      </c>
      <c r="U390" s="675">
        <f>IFERROR(U383/H383,"0")+IFERROR(U384/H384,"0")+IFERROR(U385/H385,"0")+IFERROR(U386/H386,"0")+IFERROR(U387/H387,"0")+IFERROR(U388/H388,"0")+IFERROR(U389/H389,"0")</f>
        <v/>
      </c>
      <c r="V390" s="675">
        <f>IFERROR(V383/H383,"0")+IFERROR(V384/H384,"0")+IFERROR(V385/H385,"0")+IFERROR(V386/H386,"0")+IFERROR(V387/H387,"0")+IFERROR(V388/H388,"0")+IFERROR(V389/H389,"0")</f>
        <v/>
      </c>
      <c r="W390" s="675">
        <f>IFERROR(IF(W383="",0,W383),"0")+IFERROR(IF(W384="",0,W384),"0")+IFERROR(IF(W385="",0,W385),"0")+IFERROR(IF(W386="",0,W386),"0")+IFERROR(IF(W387="",0,W387),"0")+IFERROR(IF(W388="",0,W388),"0")+IFERROR(IF(W389="",0,W389),"0")</f>
        <v/>
      </c>
      <c r="X390" s="676" t="n"/>
      <c r="Y390" s="676" t="n"/>
    </row>
    <row r="391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673" t="n"/>
      <c r="M391" s="674" t="inlineStr">
        <is>
          <t>Итого</t>
        </is>
      </c>
      <c r="N391" s="644" t="n"/>
      <c r="O391" s="644" t="n"/>
      <c r="P391" s="644" t="n"/>
      <c r="Q391" s="644" t="n"/>
      <c r="R391" s="644" t="n"/>
      <c r="S391" s="645" t="n"/>
      <c r="T391" s="43" t="inlineStr">
        <is>
          <t>кг</t>
        </is>
      </c>
      <c r="U391" s="675">
        <f>IFERROR(SUM(U383:U389),"0")</f>
        <v/>
      </c>
      <c r="V391" s="675">
        <f>IFERROR(SUM(V383:V389),"0")</f>
        <v/>
      </c>
      <c r="W391" s="43" t="n"/>
      <c r="X391" s="676" t="n"/>
      <c r="Y391" s="676" t="n"/>
    </row>
    <row r="392" ht="14.25" customHeight="1">
      <c r="A392" s="329" t="inlineStr">
        <is>
          <t>Сырокопченые колбасы</t>
        </is>
      </c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329" t="n"/>
      <c r="Y392" s="329" t="n"/>
    </row>
    <row r="393" ht="27" customHeight="1">
      <c r="A393" s="64" t="inlineStr">
        <is>
          <t>SU003059</t>
        </is>
      </c>
      <c r="B393" s="64" t="inlineStr">
        <is>
          <t>P003623</t>
        </is>
      </c>
      <c r="C393" s="37" t="n">
        <v>4301032044</v>
      </c>
      <c r="D393" s="324" t="n">
        <v>4680115883000</v>
      </c>
      <c r="E393" s="636" t="n"/>
      <c r="F393" s="668" t="n">
        <v>0.03</v>
      </c>
      <c r="G393" s="38" t="n">
        <v>20</v>
      </c>
      <c r="H393" s="668" t="n">
        <v>0.6</v>
      </c>
      <c r="I393" s="668" t="n">
        <v>0.63</v>
      </c>
      <c r="J393" s="38" t="n">
        <v>350</v>
      </c>
      <c r="K393" s="39" t="inlineStr">
        <is>
          <t>ДК</t>
        </is>
      </c>
      <c r="L393" s="38" t="n">
        <v>60</v>
      </c>
      <c r="M393" s="885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/>
      </c>
      <c r="N393" s="670" t="n"/>
      <c r="O393" s="670" t="n"/>
      <c r="P393" s="670" t="n"/>
      <c r="Q393" s="636" t="n"/>
      <c r="R393" s="40" t="inlineStr"/>
      <c r="S393" s="40" t="inlineStr"/>
      <c r="T393" s="41" t="inlineStr">
        <is>
          <t>кг</t>
        </is>
      </c>
      <c r="U393" s="671" t="n">
        <v>0</v>
      </c>
      <c r="V393" s="672">
        <f>IFERROR(IF(U393="",0,CEILING((U393/$H393),1)*$H393),"")</f>
        <v/>
      </c>
      <c r="W393" s="42">
        <f>IFERROR(IF(V393=0,"",ROUNDUP(V393/H393,0)*0.00349),"")</f>
        <v/>
      </c>
      <c r="X393" s="69" t="inlineStr"/>
      <c r="Y393" s="70" t="inlineStr"/>
      <c r="AC393" s="71" t="n"/>
      <c r="AZ393" s="282" t="inlineStr">
        <is>
          <t>КИ</t>
        </is>
      </c>
    </row>
    <row r="394">
      <c r="A394" s="319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673" t="n"/>
      <c r="M394" s="674" t="inlineStr">
        <is>
          <t>Итого</t>
        </is>
      </c>
      <c r="N394" s="644" t="n"/>
      <c r="O394" s="644" t="n"/>
      <c r="P394" s="644" t="n"/>
      <c r="Q394" s="644" t="n"/>
      <c r="R394" s="644" t="n"/>
      <c r="S394" s="645" t="n"/>
      <c r="T394" s="43" t="inlineStr">
        <is>
          <t>кор</t>
        </is>
      </c>
      <c r="U394" s="675">
        <f>IFERROR(U393/H393,"0")</f>
        <v/>
      </c>
      <c r="V394" s="675">
        <f>IFERROR(V393/H393,"0")</f>
        <v/>
      </c>
      <c r="W394" s="675">
        <f>IFERROR(IF(W393="",0,W393),"0")</f>
        <v/>
      </c>
      <c r="X394" s="676" t="n"/>
      <c r="Y394" s="676" t="n"/>
    </row>
    <row r="395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673" t="n"/>
      <c r="M395" s="674" t="inlineStr">
        <is>
          <t>Итого</t>
        </is>
      </c>
      <c r="N395" s="644" t="n"/>
      <c r="O395" s="644" t="n"/>
      <c r="P395" s="644" t="n"/>
      <c r="Q395" s="644" t="n"/>
      <c r="R395" s="644" t="n"/>
      <c r="S395" s="645" t="n"/>
      <c r="T395" s="43" t="inlineStr">
        <is>
          <t>кг</t>
        </is>
      </c>
      <c r="U395" s="675">
        <f>IFERROR(SUM(U393:U393),"0")</f>
        <v/>
      </c>
      <c r="V395" s="675">
        <f>IFERROR(SUM(V393:V393),"0")</f>
        <v/>
      </c>
      <c r="W395" s="43" t="n"/>
      <c r="X395" s="676" t="n"/>
      <c r="Y395" s="676" t="n"/>
    </row>
    <row r="396" ht="14.25" customHeight="1">
      <c r="A396" s="329" t="inlineStr">
        <is>
          <t>Сыровяленые колбасы</t>
        </is>
      </c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329" t="n"/>
      <c r="Y396" s="329" t="n"/>
    </row>
    <row r="397" ht="27" customHeight="1">
      <c r="A397" s="64" t="inlineStr">
        <is>
          <t>SU003056</t>
        </is>
      </c>
      <c r="B397" s="64" t="inlineStr">
        <is>
          <t>P003622</t>
        </is>
      </c>
      <c r="C397" s="37" t="n">
        <v>4301170008</v>
      </c>
      <c r="D397" s="324" t="n">
        <v>4680115882980</v>
      </c>
      <c r="E397" s="636" t="n"/>
      <c r="F397" s="668" t="n">
        <v>0.13</v>
      </c>
      <c r="G397" s="38" t="n">
        <v>10</v>
      </c>
      <c r="H397" s="668" t="n">
        <v>1.3</v>
      </c>
      <c r="I397" s="668" t="n">
        <v>1.46</v>
      </c>
      <c r="J397" s="38" t="n">
        <v>200</v>
      </c>
      <c r="K397" s="39" t="inlineStr">
        <is>
          <t>ДК</t>
        </is>
      </c>
      <c r="L397" s="38" t="n">
        <v>150</v>
      </c>
      <c r="M397" s="886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/>
      </c>
      <c r="N397" s="670" t="n"/>
      <c r="O397" s="670" t="n"/>
      <c r="P397" s="670" t="n"/>
      <c r="Q397" s="636" t="n"/>
      <c r="R397" s="40" t="inlineStr"/>
      <c r="S397" s="40" t="inlineStr"/>
      <c r="T397" s="41" t="inlineStr">
        <is>
          <t>кг</t>
        </is>
      </c>
      <c r="U397" s="671" t="n">
        <v>0</v>
      </c>
      <c r="V397" s="672">
        <f>IFERROR(IF(U397="",0,CEILING((U397/$H397),1)*$H397),"")</f>
        <v/>
      </c>
      <c r="W397" s="42">
        <f>IFERROR(IF(V397=0,"",ROUNDUP(V397/H397,0)*0.00673),"")</f>
        <v/>
      </c>
      <c r="X397" s="69" t="inlineStr"/>
      <c r="Y397" s="70" t="inlineStr"/>
      <c r="AC397" s="71" t="n"/>
      <c r="AZ397" s="283" t="inlineStr">
        <is>
          <t>КИ</t>
        </is>
      </c>
    </row>
    <row r="398">
      <c r="A398" s="319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673" t="n"/>
      <c r="M398" s="674" t="inlineStr">
        <is>
          <t>Итого</t>
        </is>
      </c>
      <c r="N398" s="644" t="n"/>
      <c r="O398" s="644" t="n"/>
      <c r="P398" s="644" t="n"/>
      <c r="Q398" s="644" t="n"/>
      <c r="R398" s="644" t="n"/>
      <c r="S398" s="645" t="n"/>
      <c r="T398" s="43" t="inlineStr">
        <is>
          <t>кор</t>
        </is>
      </c>
      <c r="U398" s="675">
        <f>IFERROR(U397/H397,"0")</f>
        <v/>
      </c>
      <c r="V398" s="675">
        <f>IFERROR(V397/H397,"0")</f>
        <v/>
      </c>
      <c r="W398" s="675">
        <f>IFERROR(IF(W397="",0,W397),"0")</f>
        <v/>
      </c>
      <c r="X398" s="676" t="n"/>
      <c r="Y398" s="676" t="n"/>
    </row>
    <row r="399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673" t="n"/>
      <c r="M399" s="674" t="inlineStr">
        <is>
          <t>Итого</t>
        </is>
      </c>
      <c r="N399" s="644" t="n"/>
      <c r="O399" s="644" t="n"/>
      <c r="P399" s="644" t="n"/>
      <c r="Q399" s="644" t="n"/>
      <c r="R399" s="644" t="n"/>
      <c r="S399" s="645" t="n"/>
      <c r="T399" s="43" t="inlineStr">
        <is>
          <t>кг</t>
        </is>
      </c>
      <c r="U399" s="675">
        <f>IFERROR(SUM(U397:U397),"0")</f>
        <v/>
      </c>
      <c r="V399" s="675">
        <f>IFERROR(SUM(V397:V397),"0")</f>
        <v/>
      </c>
      <c r="W399" s="43" t="n"/>
      <c r="X399" s="676" t="n"/>
      <c r="Y399" s="676" t="n"/>
    </row>
    <row r="400" ht="27.75" customHeight="1">
      <c r="A400" s="340" t="inlineStr">
        <is>
          <t>Дугушка</t>
        </is>
      </c>
      <c r="B400" s="667" t="n"/>
      <c r="C400" s="667" t="n"/>
      <c r="D400" s="667" t="n"/>
      <c r="E400" s="667" t="n"/>
      <c r="F400" s="667" t="n"/>
      <c r="G400" s="667" t="n"/>
      <c r="H400" s="667" t="n"/>
      <c r="I400" s="667" t="n"/>
      <c r="J400" s="667" t="n"/>
      <c r="K400" s="667" t="n"/>
      <c r="L400" s="667" t="n"/>
      <c r="M400" s="667" t="n"/>
      <c r="N400" s="667" t="n"/>
      <c r="O400" s="667" t="n"/>
      <c r="P400" s="667" t="n"/>
      <c r="Q400" s="667" t="n"/>
      <c r="R400" s="667" t="n"/>
      <c r="S400" s="667" t="n"/>
      <c r="T400" s="667" t="n"/>
      <c r="U400" s="667" t="n"/>
      <c r="V400" s="667" t="n"/>
      <c r="W400" s="667" t="n"/>
      <c r="X400" s="55" t="n"/>
      <c r="Y400" s="55" t="n"/>
    </row>
    <row r="401" ht="16.5" customHeight="1">
      <c r="A401" s="328" t="inlineStr">
        <is>
          <t>Дугушка</t>
        </is>
      </c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328" t="n"/>
      <c r="Y401" s="328" t="n"/>
    </row>
    <row r="402" ht="14.25" customHeight="1">
      <c r="A402" s="329" t="inlineStr">
        <is>
          <t>Вареные колбасы</t>
        </is>
      </c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329" t="n"/>
      <c r="Y402" s="329" t="n"/>
    </row>
    <row r="403" ht="27" customHeight="1">
      <c r="A403" s="64" t="inlineStr">
        <is>
          <t>SU002011</t>
        </is>
      </c>
      <c r="B403" s="64" t="inlineStr">
        <is>
          <t>P002991</t>
        </is>
      </c>
      <c r="C403" s="37" t="n">
        <v>4301011371</v>
      </c>
      <c r="D403" s="324" t="n">
        <v>4607091389067</v>
      </c>
      <c r="E403" s="636" t="n"/>
      <c r="F403" s="668" t="n">
        <v>0.88</v>
      </c>
      <c r="G403" s="38" t="n">
        <v>6</v>
      </c>
      <c r="H403" s="668" t="n">
        <v>5.28</v>
      </c>
      <c r="I403" s="668" t="n">
        <v>5.64</v>
      </c>
      <c r="J403" s="38" t="n">
        <v>104</v>
      </c>
      <c r="K403" s="39" t="inlineStr">
        <is>
          <t>СК3</t>
        </is>
      </c>
      <c r="L403" s="38" t="n">
        <v>55</v>
      </c>
      <c r="M403" s="887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N403" s="670" t="n"/>
      <c r="O403" s="670" t="n"/>
      <c r="P403" s="670" t="n"/>
      <c r="Q403" s="636" t="n"/>
      <c r="R403" s="40" t="inlineStr"/>
      <c r="S403" s="40" t="inlineStr"/>
      <c r="T403" s="41" t="inlineStr">
        <is>
          <t>кг</t>
        </is>
      </c>
      <c r="U403" s="671" t="n">
        <v>0</v>
      </c>
      <c r="V403" s="672">
        <f>IFERROR(IF(U403="",0,CEILING((U403/$H403),1)*$H403),"")</f>
        <v/>
      </c>
      <c r="W403" s="42">
        <f>IFERROR(IF(V403=0,"",ROUNDUP(V403/H403,0)*0.01196),"")</f>
        <v/>
      </c>
      <c r="X403" s="69" t="inlineStr"/>
      <c r="Y403" s="70" t="inlineStr"/>
      <c r="AC403" s="71" t="n"/>
      <c r="AZ403" s="284" t="inlineStr">
        <is>
          <t>КИ</t>
        </is>
      </c>
    </row>
    <row r="404" ht="27" customHeight="1">
      <c r="A404" s="64" t="inlineStr">
        <is>
          <t>SU002094</t>
        </is>
      </c>
      <c r="B404" s="64" t="inlineStr">
        <is>
          <t>P002975</t>
        </is>
      </c>
      <c r="C404" s="37" t="n">
        <v>4301011363</v>
      </c>
      <c r="D404" s="324" t="n">
        <v>4607091383522</v>
      </c>
      <c r="E404" s="636" t="n"/>
      <c r="F404" s="668" t="n">
        <v>0.88</v>
      </c>
      <c r="G404" s="38" t="n">
        <v>6</v>
      </c>
      <c r="H404" s="668" t="n">
        <v>5.28</v>
      </c>
      <c r="I404" s="668" t="n">
        <v>5.64</v>
      </c>
      <c r="J404" s="38" t="n">
        <v>104</v>
      </c>
      <c r="K404" s="39" t="inlineStr">
        <is>
          <t>СК1</t>
        </is>
      </c>
      <c r="L404" s="38" t="n">
        <v>55</v>
      </c>
      <c r="M404" s="888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N404" s="670" t="n"/>
      <c r="O404" s="670" t="n"/>
      <c r="P404" s="670" t="n"/>
      <c r="Q404" s="636" t="n"/>
      <c r="R404" s="40" t="inlineStr"/>
      <c r="S404" s="40" t="inlineStr"/>
      <c r="T404" s="41" t="inlineStr">
        <is>
          <t>кг</t>
        </is>
      </c>
      <c r="U404" s="671" t="n">
        <v>0</v>
      </c>
      <c r="V404" s="672">
        <f>IFERROR(IF(U404="",0,CEILING((U404/$H404),1)*$H404),"")</f>
        <v/>
      </c>
      <c r="W404" s="42">
        <f>IFERROR(IF(V404=0,"",ROUNDUP(V404/H404,0)*0.01196),"")</f>
        <v/>
      </c>
      <c r="X404" s="69" t="inlineStr"/>
      <c r="Y404" s="70" t="inlineStr"/>
      <c r="AC404" s="71" t="n"/>
      <c r="AZ404" s="285" t="inlineStr">
        <is>
          <t>КИ</t>
        </is>
      </c>
    </row>
    <row r="405" ht="27" customHeight="1">
      <c r="A405" s="64" t="inlineStr">
        <is>
          <t>SU002182</t>
        </is>
      </c>
      <c r="B405" s="64" t="inlineStr">
        <is>
          <t>P002990</t>
        </is>
      </c>
      <c r="C405" s="37" t="n">
        <v>4301011431</v>
      </c>
      <c r="D405" s="324" t="n">
        <v>4607091384437</v>
      </c>
      <c r="E405" s="636" t="n"/>
      <c r="F405" s="668" t="n">
        <v>0.88</v>
      </c>
      <c r="G405" s="38" t="n">
        <v>6</v>
      </c>
      <c r="H405" s="668" t="n">
        <v>5.28</v>
      </c>
      <c r="I405" s="668" t="n">
        <v>5.64</v>
      </c>
      <c r="J405" s="38" t="n">
        <v>104</v>
      </c>
      <c r="K405" s="39" t="inlineStr">
        <is>
          <t>СК1</t>
        </is>
      </c>
      <c r="L405" s="38" t="n">
        <v>50</v>
      </c>
      <c r="M405" s="889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N405" s="670" t="n"/>
      <c r="O405" s="670" t="n"/>
      <c r="P405" s="670" t="n"/>
      <c r="Q405" s="636" t="n"/>
      <c r="R405" s="40" t="inlineStr"/>
      <c r="S405" s="40" t="inlineStr"/>
      <c r="T405" s="41" t="inlineStr">
        <is>
          <t>кг</t>
        </is>
      </c>
      <c r="U405" s="671" t="n">
        <v>0</v>
      </c>
      <c r="V405" s="672">
        <f>IFERROR(IF(U405="",0,CEILING((U405/$H405),1)*$H405),"")</f>
        <v/>
      </c>
      <c r="W405" s="42">
        <f>IFERROR(IF(V405=0,"",ROUNDUP(V405/H405,0)*0.01196),"")</f>
        <v/>
      </c>
      <c r="X405" s="69" t="inlineStr"/>
      <c r="Y405" s="70" t="inlineStr"/>
      <c r="AC405" s="71" t="n"/>
      <c r="AZ405" s="286" t="inlineStr">
        <is>
          <t>КИ</t>
        </is>
      </c>
    </row>
    <row r="406" ht="27" customHeight="1">
      <c r="A406" s="64" t="inlineStr">
        <is>
          <t>SU002010</t>
        </is>
      </c>
      <c r="B406" s="64" t="inlineStr">
        <is>
          <t>P002979</t>
        </is>
      </c>
      <c r="C406" s="37" t="n">
        <v>4301011365</v>
      </c>
      <c r="D406" s="324" t="n">
        <v>4607091389104</v>
      </c>
      <c r="E406" s="636" t="n"/>
      <c r="F406" s="668" t="n">
        <v>0.88</v>
      </c>
      <c r="G406" s="38" t="n">
        <v>6</v>
      </c>
      <c r="H406" s="668" t="n">
        <v>5.28</v>
      </c>
      <c r="I406" s="668" t="n">
        <v>5.64</v>
      </c>
      <c r="J406" s="38" t="n">
        <v>104</v>
      </c>
      <c r="K406" s="39" t="inlineStr">
        <is>
          <t>СК1</t>
        </is>
      </c>
      <c r="L406" s="38" t="n">
        <v>55</v>
      </c>
      <c r="M406" s="890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N406" s="670" t="n"/>
      <c r="O406" s="670" t="n"/>
      <c r="P406" s="670" t="n"/>
      <c r="Q406" s="636" t="n"/>
      <c r="R406" s="40" t="inlineStr"/>
      <c r="S406" s="40" t="inlineStr"/>
      <c r="T406" s="41" t="inlineStr">
        <is>
          <t>кг</t>
        </is>
      </c>
      <c r="U406" s="671" t="n">
        <v>0</v>
      </c>
      <c r="V406" s="672">
        <f>IFERROR(IF(U406="",0,CEILING((U406/$H406),1)*$H406),"")</f>
        <v/>
      </c>
      <c r="W406" s="42">
        <f>IFERROR(IF(V406=0,"",ROUNDUP(V406/H406,0)*0.01196),"")</f>
        <v/>
      </c>
      <c r="X406" s="69" t="inlineStr"/>
      <c r="Y406" s="70" t="inlineStr"/>
      <c r="AC406" s="71" t="n"/>
      <c r="AZ406" s="287" t="inlineStr">
        <is>
          <t>КИ</t>
        </is>
      </c>
    </row>
    <row r="407" ht="27" customHeight="1">
      <c r="A407" s="64" t="inlineStr">
        <is>
          <t>SU002632</t>
        </is>
      </c>
      <c r="B407" s="64" t="inlineStr">
        <is>
          <t>P002982</t>
        </is>
      </c>
      <c r="C407" s="37" t="n">
        <v>4301011367</v>
      </c>
      <c r="D407" s="324" t="n">
        <v>4680115880603</v>
      </c>
      <c r="E407" s="636" t="n"/>
      <c r="F407" s="668" t="n">
        <v>0.6</v>
      </c>
      <c r="G407" s="38" t="n">
        <v>6</v>
      </c>
      <c r="H407" s="668" t="n">
        <v>3.6</v>
      </c>
      <c r="I407" s="668" t="n">
        <v>3.84</v>
      </c>
      <c r="J407" s="38" t="n">
        <v>120</v>
      </c>
      <c r="K407" s="39" t="inlineStr">
        <is>
          <t>СК1</t>
        </is>
      </c>
      <c r="L407" s="38" t="n">
        <v>55</v>
      </c>
      <c r="M407" s="891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N407" s="670" t="n"/>
      <c r="O407" s="670" t="n"/>
      <c r="P407" s="670" t="n"/>
      <c r="Q407" s="636" t="n"/>
      <c r="R407" s="40" t="inlineStr"/>
      <c r="S407" s="40" t="inlineStr"/>
      <c r="T407" s="41" t="inlineStr">
        <is>
          <t>кг</t>
        </is>
      </c>
      <c r="U407" s="671" t="n">
        <v>0</v>
      </c>
      <c r="V407" s="672">
        <f>IFERROR(IF(U407="",0,CEILING((U407/$H407),1)*$H407),"")</f>
        <v/>
      </c>
      <c r="W407" s="42">
        <f>IFERROR(IF(V407=0,"",ROUNDUP(V407/H407,0)*0.00937),"")</f>
        <v/>
      </c>
      <c r="X407" s="69" t="inlineStr"/>
      <c r="Y407" s="70" t="inlineStr"/>
      <c r="AC407" s="71" t="n"/>
      <c r="AZ407" s="288" t="inlineStr">
        <is>
          <t>КИ</t>
        </is>
      </c>
    </row>
    <row r="408" ht="27" customHeight="1">
      <c r="A408" s="64" t="inlineStr">
        <is>
          <t>SU002220</t>
        </is>
      </c>
      <c r="B408" s="64" t="inlineStr">
        <is>
          <t>P002404</t>
        </is>
      </c>
      <c r="C408" s="37" t="n">
        <v>4301011168</v>
      </c>
      <c r="D408" s="324" t="n">
        <v>4607091389999</v>
      </c>
      <c r="E408" s="636" t="n"/>
      <c r="F408" s="668" t="n">
        <v>0.6</v>
      </c>
      <c r="G408" s="38" t="n">
        <v>6</v>
      </c>
      <c r="H408" s="668" t="n">
        <v>3.6</v>
      </c>
      <c r="I408" s="668" t="n">
        <v>3.84</v>
      </c>
      <c r="J408" s="38" t="n">
        <v>120</v>
      </c>
      <c r="K408" s="39" t="inlineStr">
        <is>
          <t>СК1</t>
        </is>
      </c>
      <c r="L408" s="38" t="n">
        <v>55</v>
      </c>
      <c r="M408" s="892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N408" s="670" t="n"/>
      <c r="O408" s="670" t="n"/>
      <c r="P408" s="670" t="n"/>
      <c r="Q408" s="636" t="n"/>
      <c r="R408" s="40" t="inlineStr"/>
      <c r="S408" s="40" t="inlineStr"/>
      <c r="T408" s="41" t="inlineStr">
        <is>
          <t>кг</t>
        </is>
      </c>
      <c r="U408" s="671" t="n">
        <v>0</v>
      </c>
      <c r="V408" s="672">
        <f>IFERROR(IF(U408="",0,CEILING((U408/$H408),1)*$H408),"")</f>
        <v/>
      </c>
      <c r="W408" s="42">
        <f>IFERROR(IF(V408=0,"",ROUNDUP(V408/H408,0)*0.00937),"")</f>
        <v/>
      </c>
      <c r="X408" s="69" t="inlineStr"/>
      <c r="Y408" s="70" t="inlineStr"/>
      <c r="AC408" s="71" t="n"/>
      <c r="AZ408" s="289" t="inlineStr">
        <is>
          <t>КИ</t>
        </is>
      </c>
    </row>
    <row r="409" ht="27" customHeight="1">
      <c r="A409" s="64" t="inlineStr">
        <is>
          <t>SU002635</t>
        </is>
      </c>
      <c r="B409" s="64" t="inlineStr">
        <is>
          <t>P002992</t>
        </is>
      </c>
      <c r="C409" s="37" t="n">
        <v>4301011372</v>
      </c>
      <c r="D409" s="324" t="n">
        <v>4680115882782</v>
      </c>
      <c r="E409" s="636" t="n"/>
      <c r="F409" s="668" t="n">
        <v>0.6</v>
      </c>
      <c r="G409" s="38" t="n">
        <v>6</v>
      </c>
      <c r="H409" s="668" t="n">
        <v>3.6</v>
      </c>
      <c r="I409" s="668" t="n">
        <v>3.84</v>
      </c>
      <c r="J409" s="38" t="n">
        <v>120</v>
      </c>
      <c r="K409" s="39" t="inlineStr">
        <is>
          <t>СК1</t>
        </is>
      </c>
      <c r="L409" s="38" t="n">
        <v>50</v>
      </c>
      <c r="M409" s="893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N409" s="670" t="n"/>
      <c r="O409" s="670" t="n"/>
      <c r="P409" s="670" t="n"/>
      <c r="Q409" s="636" t="n"/>
      <c r="R409" s="40" t="inlineStr"/>
      <c r="S409" s="40" t="inlineStr"/>
      <c r="T409" s="41" t="inlineStr">
        <is>
          <t>кг</t>
        </is>
      </c>
      <c r="U409" s="671" t="n">
        <v>0</v>
      </c>
      <c r="V409" s="672">
        <f>IFERROR(IF(U409="",0,CEILING((U409/$H409),1)*$H409),"")</f>
        <v/>
      </c>
      <c r="W409" s="42">
        <f>IFERROR(IF(V409=0,"",ROUNDUP(V409/H409,0)*0.00937),"")</f>
        <v/>
      </c>
      <c r="X409" s="69" t="inlineStr"/>
      <c r="Y409" s="70" t="inlineStr"/>
      <c r="AC409" s="71" t="n"/>
      <c r="AZ409" s="290" t="inlineStr">
        <is>
          <t>КИ</t>
        </is>
      </c>
    </row>
    <row r="410" ht="27" customHeight="1">
      <c r="A410" s="64" t="inlineStr">
        <is>
          <t>SU002020</t>
        </is>
      </c>
      <c r="B410" s="64" t="inlineStr">
        <is>
          <t>P002308</t>
        </is>
      </c>
      <c r="C410" s="37" t="n">
        <v>4301011190</v>
      </c>
      <c r="D410" s="324" t="n">
        <v>4607091389098</v>
      </c>
      <c r="E410" s="636" t="n"/>
      <c r="F410" s="668" t="n">
        <v>0.4</v>
      </c>
      <c r="G410" s="38" t="n">
        <v>6</v>
      </c>
      <c r="H410" s="668" t="n">
        <v>2.4</v>
      </c>
      <c r="I410" s="668" t="n">
        <v>2.6</v>
      </c>
      <c r="J410" s="38" t="n">
        <v>156</v>
      </c>
      <c r="K410" s="39" t="inlineStr">
        <is>
          <t>СК3</t>
        </is>
      </c>
      <c r="L410" s="38" t="n">
        <v>50</v>
      </c>
      <c r="M410" s="894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N410" s="670" t="n"/>
      <c r="O410" s="670" t="n"/>
      <c r="P410" s="670" t="n"/>
      <c r="Q410" s="636" t="n"/>
      <c r="R410" s="40" t="inlineStr"/>
      <c r="S410" s="40" t="inlineStr"/>
      <c r="T410" s="41" t="inlineStr">
        <is>
          <t>кг</t>
        </is>
      </c>
      <c r="U410" s="671" t="n">
        <v>0</v>
      </c>
      <c r="V410" s="672">
        <f>IFERROR(IF(U410="",0,CEILING((U410/$H410),1)*$H410),"")</f>
        <v/>
      </c>
      <c r="W410" s="42">
        <f>IFERROR(IF(V410=0,"",ROUNDUP(V410/H410,0)*0.00753),"")</f>
        <v/>
      </c>
      <c r="X410" s="69" t="inlineStr"/>
      <c r="Y410" s="70" t="inlineStr"/>
      <c r="AC410" s="71" t="n"/>
      <c r="AZ410" s="291" t="inlineStr">
        <is>
          <t>КИ</t>
        </is>
      </c>
    </row>
    <row r="411" ht="27" customHeight="1">
      <c r="A411" s="64" t="inlineStr">
        <is>
          <t>SU002631</t>
        </is>
      </c>
      <c r="B411" s="64" t="inlineStr">
        <is>
          <t>P002981</t>
        </is>
      </c>
      <c r="C411" s="37" t="n">
        <v>4301011366</v>
      </c>
      <c r="D411" s="324" t="n">
        <v>4607091389982</v>
      </c>
      <c r="E411" s="636" t="n"/>
      <c r="F411" s="668" t="n">
        <v>0.6</v>
      </c>
      <c r="G411" s="38" t="n">
        <v>6</v>
      </c>
      <c r="H411" s="668" t="n">
        <v>3.6</v>
      </c>
      <c r="I411" s="668" t="n">
        <v>3.84</v>
      </c>
      <c r="J411" s="38" t="n">
        <v>120</v>
      </c>
      <c r="K411" s="39" t="inlineStr">
        <is>
          <t>СК1</t>
        </is>
      </c>
      <c r="L411" s="38" t="n">
        <v>55</v>
      </c>
      <c r="M411" s="895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N411" s="670" t="n"/>
      <c r="O411" s="670" t="n"/>
      <c r="P411" s="670" t="n"/>
      <c r="Q411" s="636" t="n"/>
      <c r="R411" s="40" t="inlineStr"/>
      <c r="S411" s="40" t="inlineStr"/>
      <c r="T411" s="41" t="inlineStr">
        <is>
          <t>кг</t>
        </is>
      </c>
      <c r="U411" s="671" t="n">
        <v>0</v>
      </c>
      <c r="V411" s="672">
        <f>IFERROR(IF(U411="",0,CEILING((U411/$H411),1)*$H411),"")</f>
        <v/>
      </c>
      <c r="W411" s="42">
        <f>IFERROR(IF(V411=0,"",ROUNDUP(V411/H411,0)*0.00937),"")</f>
        <v/>
      </c>
      <c r="X411" s="69" t="inlineStr"/>
      <c r="Y411" s="70" t="inlineStr"/>
      <c r="AC411" s="71" t="n"/>
      <c r="AZ411" s="292" t="inlineStr">
        <is>
          <t>КИ</t>
        </is>
      </c>
    </row>
    <row r="412">
      <c r="A412" s="319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673" t="n"/>
      <c r="M412" s="674" t="inlineStr">
        <is>
          <t>Итого</t>
        </is>
      </c>
      <c r="N412" s="644" t="n"/>
      <c r="O412" s="644" t="n"/>
      <c r="P412" s="644" t="n"/>
      <c r="Q412" s="644" t="n"/>
      <c r="R412" s="644" t="n"/>
      <c r="S412" s="645" t="n"/>
      <c r="T412" s="43" t="inlineStr">
        <is>
          <t>кор</t>
        </is>
      </c>
      <c r="U412" s="675">
        <f>IFERROR(U403/H403,"0")+IFERROR(U404/H404,"0")+IFERROR(U405/H405,"0")+IFERROR(U406/H406,"0")+IFERROR(U407/H407,"0")+IFERROR(U408/H408,"0")+IFERROR(U409/H409,"0")+IFERROR(U410/H410,"0")+IFERROR(U411/H411,"0")</f>
        <v/>
      </c>
      <c r="V412" s="675">
        <f>IFERROR(V403/H403,"0")+IFERROR(V404/H404,"0")+IFERROR(V405/H405,"0")+IFERROR(V406/H406,"0")+IFERROR(V407/H407,"0")+IFERROR(V408/H408,"0")+IFERROR(V409/H409,"0")+IFERROR(V410/H410,"0")+IFERROR(V411/H411,"0")</f>
        <v/>
      </c>
      <c r="W412" s="675">
        <f>IFERROR(IF(W403="",0,W403),"0")+IFERROR(IF(W404="",0,W404),"0")+IFERROR(IF(W405="",0,W405),"0")+IFERROR(IF(W406="",0,W406),"0")+IFERROR(IF(W407="",0,W407),"0")+IFERROR(IF(W408="",0,W408),"0")+IFERROR(IF(W409="",0,W409),"0")+IFERROR(IF(W410="",0,W410),"0")+IFERROR(IF(W411="",0,W411),"0")</f>
        <v/>
      </c>
      <c r="X412" s="676" t="n"/>
      <c r="Y412" s="676" t="n"/>
    </row>
    <row r="413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673" t="n"/>
      <c r="M413" s="674" t="inlineStr">
        <is>
          <t>Итого</t>
        </is>
      </c>
      <c r="N413" s="644" t="n"/>
      <c r="O413" s="644" t="n"/>
      <c r="P413" s="644" t="n"/>
      <c r="Q413" s="644" t="n"/>
      <c r="R413" s="644" t="n"/>
      <c r="S413" s="645" t="n"/>
      <c r="T413" s="43" t="inlineStr">
        <is>
          <t>кг</t>
        </is>
      </c>
      <c r="U413" s="675">
        <f>IFERROR(SUM(U403:U411),"0")</f>
        <v/>
      </c>
      <c r="V413" s="675">
        <f>IFERROR(SUM(V403:V411),"0")</f>
        <v/>
      </c>
      <c r="W413" s="43" t="n"/>
      <c r="X413" s="676" t="n"/>
      <c r="Y413" s="676" t="n"/>
    </row>
    <row r="414" ht="14.25" customHeight="1">
      <c r="A414" s="329" t="inlineStr">
        <is>
          <t>Ветчины</t>
        </is>
      </c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329" t="n"/>
      <c r="Y414" s="329" t="n"/>
    </row>
    <row r="415" ht="16.5" customHeight="1">
      <c r="A415" s="64" t="inlineStr">
        <is>
          <t>SU002035</t>
        </is>
      </c>
      <c r="B415" s="64" t="inlineStr">
        <is>
          <t>P003146</t>
        </is>
      </c>
      <c r="C415" s="37" t="n">
        <v>4301020222</v>
      </c>
      <c r="D415" s="324" t="n">
        <v>4607091388930</v>
      </c>
      <c r="E415" s="636" t="n"/>
      <c r="F415" s="668" t="n">
        <v>0.88</v>
      </c>
      <c r="G415" s="38" t="n">
        <v>6</v>
      </c>
      <c r="H415" s="668" t="n">
        <v>5.28</v>
      </c>
      <c r="I415" s="668" t="n">
        <v>5.64</v>
      </c>
      <c r="J415" s="38" t="n">
        <v>104</v>
      </c>
      <c r="K415" s="39" t="inlineStr">
        <is>
          <t>СК1</t>
        </is>
      </c>
      <c r="L415" s="38" t="n">
        <v>55</v>
      </c>
      <c r="M415" s="896">
        <f>HYPERLINK("https://abi.ru/products/Охлажденные/Дугушка/Дугушка/Ветчины/P003146/","Ветчины Дугушка Дугушка Вес б/о Дугушка")</f>
        <v/>
      </c>
      <c r="N415" s="670" t="n"/>
      <c r="O415" s="670" t="n"/>
      <c r="P415" s="670" t="n"/>
      <c r="Q415" s="636" t="n"/>
      <c r="R415" s="40" t="inlineStr"/>
      <c r="S415" s="40" t="inlineStr"/>
      <c r="T415" s="41" t="inlineStr">
        <is>
          <t>кг</t>
        </is>
      </c>
      <c r="U415" s="671" t="n">
        <v>0</v>
      </c>
      <c r="V415" s="672">
        <f>IFERROR(IF(U415="",0,CEILING((U415/$H415),1)*$H415),"")</f>
        <v/>
      </c>
      <c r="W415" s="42">
        <f>IFERROR(IF(V415=0,"",ROUNDUP(V415/H415,0)*0.01196),"")</f>
        <v/>
      </c>
      <c r="X415" s="69" t="inlineStr"/>
      <c r="Y415" s="70" t="inlineStr"/>
      <c r="AC415" s="71" t="n"/>
      <c r="AZ415" s="293" t="inlineStr">
        <is>
          <t>КИ</t>
        </is>
      </c>
    </row>
    <row r="416" ht="16.5" customHeight="1">
      <c r="A416" s="64" t="inlineStr">
        <is>
          <t>SU002643</t>
        </is>
      </c>
      <c r="B416" s="64" t="inlineStr">
        <is>
          <t>P002993</t>
        </is>
      </c>
      <c r="C416" s="37" t="n">
        <v>4301020206</v>
      </c>
      <c r="D416" s="324" t="n">
        <v>4680115880054</v>
      </c>
      <c r="E416" s="636" t="n"/>
      <c r="F416" s="668" t="n">
        <v>0.6</v>
      </c>
      <c r="G416" s="38" t="n">
        <v>6</v>
      </c>
      <c r="H416" s="668" t="n">
        <v>3.6</v>
      </c>
      <c r="I416" s="668" t="n">
        <v>3.84</v>
      </c>
      <c r="J416" s="38" t="n">
        <v>120</v>
      </c>
      <c r="K416" s="39" t="inlineStr">
        <is>
          <t>СК1</t>
        </is>
      </c>
      <c r="L416" s="38" t="n">
        <v>55</v>
      </c>
      <c r="M416" s="897">
        <f>HYPERLINK("https://abi.ru/products/Охлажденные/Дугушка/Дугушка/Ветчины/P002993/","Ветчины «Дугушка» Фикс.вес 0,6 П/а ТМ «Дугушка»")</f>
        <v/>
      </c>
      <c r="N416" s="670" t="n"/>
      <c r="O416" s="670" t="n"/>
      <c r="P416" s="670" t="n"/>
      <c r="Q416" s="636" t="n"/>
      <c r="R416" s="40" t="inlineStr"/>
      <c r="S416" s="40" t="inlineStr"/>
      <c r="T416" s="41" t="inlineStr">
        <is>
          <t>кг</t>
        </is>
      </c>
      <c r="U416" s="671" t="n">
        <v>0</v>
      </c>
      <c r="V416" s="672">
        <f>IFERROR(IF(U416="",0,CEILING((U416/$H416),1)*$H416),"")</f>
        <v/>
      </c>
      <c r="W416" s="42">
        <f>IFERROR(IF(V416=0,"",ROUNDUP(V416/H416,0)*0.00937),"")</f>
        <v/>
      </c>
      <c r="X416" s="69" t="inlineStr"/>
      <c r="Y416" s="70" t="inlineStr"/>
      <c r="AC416" s="71" t="n"/>
      <c r="AZ416" s="294" t="inlineStr">
        <is>
          <t>КИ</t>
        </is>
      </c>
    </row>
    <row r="417">
      <c r="A417" s="319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673" t="n"/>
      <c r="M417" s="674" t="inlineStr">
        <is>
          <t>Итого</t>
        </is>
      </c>
      <c r="N417" s="644" t="n"/>
      <c r="O417" s="644" t="n"/>
      <c r="P417" s="644" t="n"/>
      <c r="Q417" s="644" t="n"/>
      <c r="R417" s="644" t="n"/>
      <c r="S417" s="645" t="n"/>
      <c r="T417" s="43" t="inlineStr">
        <is>
          <t>кор</t>
        </is>
      </c>
      <c r="U417" s="675">
        <f>IFERROR(U415/H415,"0")+IFERROR(U416/H416,"0")</f>
        <v/>
      </c>
      <c r="V417" s="675">
        <f>IFERROR(V415/H415,"0")+IFERROR(V416/H416,"0")</f>
        <v/>
      </c>
      <c r="W417" s="675">
        <f>IFERROR(IF(W415="",0,W415),"0")+IFERROR(IF(W416="",0,W416),"0")</f>
        <v/>
      </c>
      <c r="X417" s="676" t="n"/>
      <c r="Y417" s="676" t="n"/>
    </row>
    <row r="41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673" t="n"/>
      <c r="M418" s="674" t="inlineStr">
        <is>
          <t>Итого</t>
        </is>
      </c>
      <c r="N418" s="644" t="n"/>
      <c r="O418" s="644" t="n"/>
      <c r="P418" s="644" t="n"/>
      <c r="Q418" s="644" t="n"/>
      <c r="R418" s="644" t="n"/>
      <c r="S418" s="645" t="n"/>
      <c r="T418" s="43" t="inlineStr">
        <is>
          <t>кг</t>
        </is>
      </c>
      <c r="U418" s="675">
        <f>IFERROR(SUM(U415:U416),"0")</f>
        <v/>
      </c>
      <c r="V418" s="675">
        <f>IFERROR(SUM(V415:V416),"0")</f>
        <v/>
      </c>
      <c r="W418" s="43" t="n"/>
      <c r="X418" s="676" t="n"/>
      <c r="Y418" s="676" t="n"/>
    </row>
    <row r="419" ht="14.25" customHeight="1">
      <c r="A419" s="329" t="inlineStr">
        <is>
          <t>Копченые колбасы</t>
        </is>
      </c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329" t="n"/>
      <c r="Y419" s="329" t="n"/>
    </row>
    <row r="420" ht="27" customHeight="1">
      <c r="A420" s="64" t="inlineStr">
        <is>
          <t>SU002150</t>
        </is>
      </c>
      <c r="B420" s="64" t="inlineStr">
        <is>
          <t>P003636</t>
        </is>
      </c>
      <c r="C420" s="37" t="n">
        <v>4301031252</v>
      </c>
      <c r="D420" s="324" t="n">
        <v>4680115883116</v>
      </c>
      <c r="E420" s="636" t="n"/>
      <c r="F420" s="668" t="n">
        <v>0.88</v>
      </c>
      <c r="G420" s="38" t="n">
        <v>6</v>
      </c>
      <c r="H420" s="668" t="n">
        <v>5.28</v>
      </c>
      <c r="I420" s="668" t="n">
        <v>5.64</v>
      </c>
      <c r="J420" s="38" t="n">
        <v>104</v>
      </c>
      <c r="K420" s="39" t="inlineStr">
        <is>
          <t>СК1</t>
        </is>
      </c>
      <c r="L420" s="38" t="n">
        <v>60</v>
      </c>
      <c r="M420" s="898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N420" s="670" t="n"/>
      <c r="O420" s="670" t="n"/>
      <c r="P420" s="670" t="n"/>
      <c r="Q420" s="636" t="n"/>
      <c r="R420" s="40" t="inlineStr"/>
      <c r="S420" s="40" t="inlineStr"/>
      <c r="T420" s="41" t="inlineStr">
        <is>
          <t>кг</t>
        </is>
      </c>
      <c r="U420" s="671" t="n">
        <v>0</v>
      </c>
      <c r="V420" s="672">
        <f>IFERROR(IF(U420="",0,CEILING((U420/$H420),1)*$H420),"")</f>
        <v/>
      </c>
      <c r="W420" s="42">
        <f>IFERROR(IF(V420=0,"",ROUNDUP(V420/H420,0)*0.01196),"")</f>
        <v/>
      </c>
      <c r="X420" s="69" t="inlineStr"/>
      <c r="Y420" s="70" t="inlineStr"/>
      <c r="AC420" s="71" t="n"/>
      <c r="AZ420" s="295" t="inlineStr">
        <is>
          <t>КИ</t>
        </is>
      </c>
    </row>
    <row r="421" ht="27" customHeight="1">
      <c r="A421" s="64" t="inlineStr">
        <is>
          <t>SU002158</t>
        </is>
      </c>
      <c r="B421" s="64" t="inlineStr">
        <is>
          <t>P003632</t>
        </is>
      </c>
      <c r="C421" s="37" t="n">
        <v>4301031248</v>
      </c>
      <c r="D421" s="324" t="n">
        <v>4680115883093</v>
      </c>
      <c r="E421" s="636" t="n"/>
      <c r="F421" s="668" t="n">
        <v>0.88</v>
      </c>
      <c r="G421" s="38" t="n">
        <v>6</v>
      </c>
      <c r="H421" s="668" t="n">
        <v>5.28</v>
      </c>
      <c r="I421" s="668" t="n">
        <v>5.64</v>
      </c>
      <c r="J421" s="38" t="n">
        <v>104</v>
      </c>
      <c r="K421" s="39" t="inlineStr">
        <is>
          <t>СК2</t>
        </is>
      </c>
      <c r="L421" s="38" t="n">
        <v>60</v>
      </c>
      <c r="M421" s="899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N421" s="670" t="n"/>
      <c r="O421" s="670" t="n"/>
      <c r="P421" s="670" t="n"/>
      <c r="Q421" s="636" t="n"/>
      <c r="R421" s="40" t="inlineStr"/>
      <c r="S421" s="40" t="inlineStr"/>
      <c r="T421" s="41" t="inlineStr">
        <is>
          <t>кг</t>
        </is>
      </c>
      <c r="U421" s="671" t="n">
        <v>0</v>
      </c>
      <c r="V421" s="672">
        <f>IFERROR(IF(U421="",0,CEILING((U421/$H421),1)*$H421),"")</f>
        <v/>
      </c>
      <c r="W421" s="42">
        <f>IFERROR(IF(V421=0,"",ROUNDUP(V421/H421,0)*0.01196),"")</f>
        <v/>
      </c>
      <c r="X421" s="69" t="inlineStr"/>
      <c r="Y421" s="70" t="inlineStr"/>
      <c r="AC421" s="71" t="n"/>
      <c r="AZ421" s="296" t="inlineStr">
        <is>
          <t>КИ</t>
        </is>
      </c>
    </row>
    <row r="422" ht="27" customHeight="1">
      <c r="A422" s="64" t="inlineStr">
        <is>
          <t>SU002151</t>
        </is>
      </c>
      <c r="B422" s="64" t="inlineStr">
        <is>
          <t>P003634</t>
        </is>
      </c>
      <c r="C422" s="37" t="n">
        <v>4301031250</v>
      </c>
      <c r="D422" s="324" t="n">
        <v>4680115883109</v>
      </c>
      <c r="E422" s="636" t="n"/>
      <c r="F422" s="668" t="n">
        <v>0.88</v>
      </c>
      <c r="G422" s="38" t="n">
        <v>6</v>
      </c>
      <c r="H422" s="668" t="n">
        <v>5.28</v>
      </c>
      <c r="I422" s="668" t="n">
        <v>5.64</v>
      </c>
      <c r="J422" s="38" t="n">
        <v>104</v>
      </c>
      <c r="K422" s="39" t="inlineStr">
        <is>
          <t>СК2</t>
        </is>
      </c>
      <c r="L422" s="38" t="n">
        <v>60</v>
      </c>
      <c r="M422" s="900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N422" s="670" t="n"/>
      <c r="O422" s="670" t="n"/>
      <c r="P422" s="670" t="n"/>
      <c r="Q422" s="636" t="n"/>
      <c r="R422" s="40" t="inlineStr"/>
      <c r="S422" s="40" t="inlineStr"/>
      <c r="T422" s="41" t="inlineStr">
        <is>
          <t>кг</t>
        </is>
      </c>
      <c r="U422" s="671" t="n">
        <v>0</v>
      </c>
      <c r="V422" s="672">
        <f>IFERROR(IF(U422="",0,CEILING((U422/$H422),1)*$H422),"")</f>
        <v/>
      </c>
      <c r="W422" s="42">
        <f>IFERROR(IF(V422=0,"",ROUNDUP(V422/H422,0)*0.01196),"")</f>
        <v/>
      </c>
      <c r="X422" s="69" t="inlineStr"/>
      <c r="Y422" s="70" t="inlineStr"/>
      <c r="AC422" s="71" t="n"/>
      <c r="AZ422" s="297" t="inlineStr">
        <is>
          <t>КИ</t>
        </is>
      </c>
    </row>
    <row r="423" ht="27" customHeight="1">
      <c r="A423" s="64" t="inlineStr">
        <is>
          <t>SU002916</t>
        </is>
      </c>
      <c r="B423" s="64" t="inlineStr">
        <is>
          <t>P003633</t>
        </is>
      </c>
      <c r="C423" s="37" t="n">
        <v>4301031249</v>
      </c>
      <c r="D423" s="324" t="n">
        <v>4680115882072</v>
      </c>
      <c r="E423" s="636" t="n"/>
      <c r="F423" s="668" t="n">
        <v>0.6</v>
      </c>
      <c r="G423" s="38" t="n">
        <v>6</v>
      </c>
      <c r="H423" s="668" t="n">
        <v>3.6</v>
      </c>
      <c r="I423" s="668" t="n">
        <v>3.84</v>
      </c>
      <c r="J423" s="38" t="n">
        <v>120</v>
      </c>
      <c r="K423" s="39" t="inlineStr">
        <is>
          <t>СК1</t>
        </is>
      </c>
      <c r="L423" s="38" t="n">
        <v>60</v>
      </c>
      <c r="M423" s="901" t="inlineStr">
        <is>
          <t>В/к колбасы «Рубленая Запеченная» Фикс.вес 0,6 Вектор ТМ «Дугушка»</t>
        </is>
      </c>
      <c r="N423" s="670" t="n"/>
      <c r="O423" s="670" t="n"/>
      <c r="P423" s="670" t="n"/>
      <c r="Q423" s="636" t="n"/>
      <c r="R423" s="40" t="inlineStr"/>
      <c r="S423" s="40" t="inlineStr"/>
      <c r="T423" s="41" t="inlineStr">
        <is>
          <t>кг</t>
        </is>
      </c>
      <c r="U423" s="671" t="n">
        <v>0</v>
      </c>
      <c r="V423" s="672">
        <f>IFERROR(IF(U423="",0,CEILING((U423/$H423),1)*$H423),"")</f>
        <v/>
      </c>
      <c r="W423" s="42">
        <f>IFERROR(IF(V423=0,"",ROUNDUP(V423/H423,0)*0.00937),"")</f>
        <v/>
      </c>
      <c r="X423" s="69" t="inlineStr"/>
      <c r="Y423" s="70" t="inlineStr"/>
      <c r="AC423" s="71" t="n"/>
      <c r="AZ423" s="298" t="inlineStr">
        <is>
          <t>КИ</t>
        </is>
      </c>
    </row>
    <row r="424" ht="27" customHeight="1">
      <c r="A424" s="64" t="inlineStr">
        <is>
          <t>SU002919</t>
        </is>
      </c>
      <c r="B424" s="64" t="inlineStr">
        <is>
          <t>P003635</t>
        </is>
      </c>
      <c r="C424" s="37" t="n">
        <v>4301031251</v>
      </c>
      <c r="D424" s="324" t="n">
        <v>4680115882102</v>
      </c>
      <c r="E424" s="636" t="n"/>
      <c r="F424" s="668" t="n">
        <v>0.6</v>
      </c>
      <c r="G424" s="38" t="n">
        <v>6</v>
      </c>
      <c r="H424" s="668" t="n">
        <v>3.6</v>
      </c>
      <c r="I424" s="668" t="n">
        <v>3.81</v>
      </c>
      <c r="J424" s="38" t="n">
        <v>120</v>
      </c>
      <c r="K424" s="39" t="inlineStr">
        <is>
          <t>СК2</t>
        </is>
      </c>
      <c r="L424" s="38" t="n">
        <v>60</v>
      </c>
      <c r="M424" s="902" t="inlineStr">
        <is>
          <t>В/к колбасы «Салями Запеченая» Фикс.вес 0,6 Вектор ТМ «Дугушка»</t>
        </is>
      </c>
      <c r="N424" s="670" t="n"/>
      <c r="O424" s="670" t="n"/>
      <c r="P424" s="670" t="n"/>
      <c r="Q424" s="636" t="n"/>
      <c r="R424" s="40" t="inlineStr"/>
      <c r="S424" s="40" t="inlineStr"/>
      <c r="T424" s="41" t="inlineStr">
        <is>
          <t>кг</t>
        </is>
      </c>
      <c r="U424" s="671" t="n">
        <v>0</v>
      </c>
      <c r="V424" s="672">
        <f>IFERROR(IF(U424="",0,CEILING((U424/$H424),1)*$H424),"")</f>
        <v/>
      </c>
      <c r="W424" s="42">
        <f>IFERROR(IF(V424=0,"",ROUNDUP(V424/H424,0)*0.00937),"")</f>
        <v/>
      </c>
      <c r="X424" s="69" t="inlineStr"/>
      <c r="Y424" s="70" t="inlineStr"/>
      <c r="AC424" s="71" t="n"/>
      <c r="AZ424" s="299" t="inlineStr">
        <is>
          <t>КИ</t>
        </is>
      </c>
    </row>
    <row r="425" ht="27" customHeight="1">
      <c r="A425" s="64" t="inlineStr">
        <is>
          <t>SU002918</t>
        </is>
      </c>
      <c r="B425" s="64" t="inlineStr">
        <is>
          <t>P003637</t>
        </is>
      </c>
      <c r="C425" s="37" t="n">
        <v>4301031253</v>
      </c>
      <c r="D425" s="324" t="n">
        <v>4680115882096</v>
      </c>
      <c r="E425" s="636" t="n"/>
      <c r="F425" s="668" t="n">
        <v>0.6</v>
      </c>
      <c r="G425" s="38" t="n">
        <v>6</v>
      </c>
      <c r="H425" s="668" t="n">
        <v>3.6</v>
      </c>
      <c r="I425" s="668" t="n">
        <v>3.81</v>
      </c>
      <c r="J425" s="38" t="n">
        <v>120</v>
      </c>
      <c r="K425" s="39" t="inlineStr">
        <is>
          <t>СК2</t>
        </is>
      </c>
      <c r="L425" s="38" t="n">
        <v>60</v>
      </c>
      <c r="M425" s="903" t="inlineStr">
        <is>
          <t>В/к колбасы «Сервелат Запеченный» Фикс.вес 0,6 Вектор ТМ «Дугушка»</t>
        </is>
      </c>
      <c r="N425" s="670" t="n"/>
      <c r="O425" s="670" t="n"/>
      <c r="P425" s="670" t="n"/>
      <c r="Q425" s="636" t="n"/>
      <c r="R425" s="40" t="inlineStr"/>
      <c r="S425" s="40" t="inlineStr"/>
      <c r="T425" s="41" t="inlineStr">
        <is>
          <t>кг</t>
        </is>
      </c>
      <c r="U425" s="671" t="n">
        <v>0</v>
      </c>
      <c r="V425" s="672">
        <f>IFERROR(IF(U425="",0,CEILING((U425/$H425),1)*$H425),"")</f>
        <v/>
      </c>
      <c r="W425" s="42">
        <f>IFERROR(IF(V425=0,"",ROUNDUP(V425/H425,0)*0.00937),"")</f>
        <v/>
      </c>
      <c r="X425" s="69" t="inlineStr"/>
      <c r="Y425" s="70" t="inlineStr"/>
      <c r="AC425" s="71" t="n"/>
      <c r="AZ425" s="300" t="inlineStr">
        <is>
          <t>КИ</t>
        </is>
      </c>
    </row>
    <row r="426">
      <c r="A426" s="319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673" t="n"/>
      <c r="M426" s="674" t="inlineStr">
        <is>
          <t>Итого</t>
        </is>
      </c>
      <c r="N426" s="644" t="n"/>
      <c r="O426" s="644" t="n"/>
      <c r="P426" s="644" t="n"/>
      <c r="Q426" s="644" t="n"/>
      <c r="R426" s="644" t="n"/>
      <c r="S426" s="645" t="n"/>
      <c r="T426" s="43" t="inlineStr">
        <is>
          <t>кор</t>
        </is>
      </c>
      <c r="U426" s="675">
        <f>IFERROR(U420/H420,"0")+IFERROR(U421/H421,"0")+IFERROR(U422/H422,"0")+IFERROR(U423/H423,"0")+IFERROR(U424/H424,"0")+IFERROR(U425/H425,"0")</f>
        <v/>
      </c>
      <c r="V426" s="675">
        <f>IFERROR(V420/H420,"0")+IFERROR(V421/H421,"0")+IFERROR(V422/H422,"0")+IFERROR(V423/H423,"0")+IFERROR(V424/H424,"0")+IFERROR(V425/H425,"0")</f>
        <v/>
      </c>
      <c r="W426" s="675">
        <f>IFERROR(IF(W420="",0,W420),"0")+IFERROR(IF(W421="",0,W421),"0")+IFERROR(IF(W422="",0,W422),"0")+IFERROR(IF(W423="",0,W423),"0")+IFERROR(IF(W424="",0,W424),"0")+IFERROR(IF(W425="",0,W425),"0")</f>
        <v/>
      </c>
      <c r="X426" s="676" t="n"/>
      <c r="Y426" s="676" t="n"/>
    </row>
    <row r="427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673" t="n"/>
      <c r="M427" s="674" t="inlineStr">
        <is>
          <t>Итого</t>
        </is>
      </c>
      <c r="N427" s="644" t="n"/>
      <c r="O427" s="644" t="n"/>
      <c r="P427" s="644" t="n"/>
      <c r="Q427" s="644" t="n"/>
      <c r="R427" s="644" t="n"/>
      <c r="S427" s="645" t="n"/>
      <c r="T427" s="43" t="inlineStr">
        <is>
          <t>кг</t>
        </is>
      </c>
      <c r="U427" s="675">
        <f>IFERROR(SUM(U420:U425),"0")</f>
        <v/>
      </c>
      <c r="V427" s="675">
        <f>IFERROR(SUM(V420:V425),"0")</f>
        <v/>
      </c>
      <c r="W427" s="43" t="n"/>
      <c r="X427" s="676" t="n"/>
      <c r="Y427" s="676" t="n"/>
    </row>
    <row r="428" ht="14.25" customHeight="1">
      <c r="A428" s="329" t="inlineStr">
        <is>
          <t>Сосиски</t>
        </is>
      </c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329" t="n"/>
      <c r="Y428" s="329" t="n"/>
    </row>
    <row r="429" ht="16.5" customHeight="1">
      <c r="A429" s="64" t="inlineStr">
        <is>
          <t>SU002218</t>
        </is>
      </c>
      <c r="B429" s="64" t="inlineStr">
        <is>
          <t>P002854</t>
        </is>
      </c>
      <c r="C429" s="37" t="n">
        <v>4301051230</v>
      </c>
      <c r="D429" s="324" t="n">
        <v>4607091383409</v>
      </c>
      <c r="E429" s="636" t="n"/>
      <c r="F429" s="668" t="n">
        <v>1.3</v>
      </c>
      <c r="G429" s="38" t="n">
        <v>6</v>
      </c>
      <c r="H429" s="668" t="n">
        <v>7.8</v>
      </c>
      <c r="I429" s="668" t="n">
        <v>8.346</v>
      </c>
      <c r="J429" s="38" t="n">
        <v>56</v>
      </c>
      <c r="K429" s="39" t="inlineStr">
        <is>
          <t>СК2</t>
        </is>
      </c>
      <c r="L429" s="38" t="n">
        <v>45</v>
      </c>
      <c r="M429" s="904">
        <f>HYPERLINK("https://abi.ru/products/Охлажденные/Дугушка/Дугушка/Сосиски/P002854/","Сосиски Молочные Дугушки Дугушка Весовые П/а мгс Дугушка")</f>
        <v/>
      </c>
      <c r="N429" s="670" t="n"/>
      <c r="O429" s="670" t="n"/>
      <c r="P429" s="670" t="n"/>
      <c r="Q429" s="636" t="n"/>
      <c r="R429" s="40" t="inlineStr"/>
      <c r="S429" s="40" t="inlineStr"/>
      <c r="T429" s="41" t="inlineStr">
        <is>
          <t>кг</t>
        </is>
      </c>
      <c r="U429" s="671" t="n">
        <v>0</v>
      </c>
      <c r="V429" s="672">
        <f>IFERROR(IF(U429="",0,CEILING((U429/$H429),1)*$H429),"")</f>
        <v/>
      </c>
      <c r="W429" s="42">
        <f>IFERROR(IF(V429=0,"",ROUNDUP(V429/H429,0)*0.02175),"")</f>
        <v/>
      </c>
      <c r="X429" s="69" t="inlineStr"/>
      <c r="Y429" s="70" t="inlineStr"/>
      <c r="AC429" s="71" t="n"/>
      <c r="AZ429" s="301" t="inlineStr">
        <is>
          <t>КИ</t>
        </is>
      </c>
    </row>
    <row r="430" ht="16.5" customHeight="1">
      <c r="A430" s="64" t="inlineStr">
        <is>
          <t>SU002219</t>
        </is>
      </c>
      <c r="B430" s="64" t="inlineStr">
        <is>
          <t>P002855</t>
        </is>
      </c>
      <c r="C430" s="37" t="n">
        <v>4301051231</v>
      </c>
      <c r="D430" s="324" t="n">
        <v>4607091383416</v>
      </c>
      <c r="E430" s="636" t="n"/>
      <c r="F430" s="668" t="n">
        <v>1.3</v>
      </c>
      <c r="G430" s="38" t="n">
        <v>6</v>
      </c>
      <c r="H430" s="668" t="n">
        <v>7.8</v>
      </c>
      <c r="I430" s="668" t="n">
        <v>8.346</v>
      </c>
      <c r="J430" s="38" t="n">
        <v>56</v>
      </c>
      <c r="K430" s="39" t="inlineStr">
        <is>
          <t>СК2</t>
        </is>
      </c>
      <c r="L430" s="38" t="n">
        <v>45</v>
      </c>
      <c r="M430" s="905">
        <f>HYPERLINK("https://abi.ru/products/Охлажденные/Дугушка/Дугушка/Сосиски/P002855/","Сосиски Сливочные Дугушки Дугушка Весовые П/а мгс Дугушка")</f>
        <v/>
      </c>
      <c r="N430" s="670" t="n"/>
      <c r="O430" s="670" t="n"/>
      <c r="P430" s="670" t="n"/>
      <c r="Q430" s="636" t="n"/>
      <c r="R430" s="40" t="inlineStr"/>
      <c r="S430" s="40" t="inlineStr"/>
      <c r="T430" s="41" t="inlineStr">
        <is>
          <t>кг</t>
        </is>
      </c>
      <c r="U430" s="671" t="n">
        <v>0</v>
      </c>
      <c r="V430" s="672">
        <f>IFERROR(IF(U430="",0,CEILING((U430/$H430),1)*$H430),"")</f>
        <v/>
      </c>
      <c r="W430" s="42">
        <f>IFERROR(IF(V430=0,"",ROUNDUP(V430/H430,0)*0.02175),"")</f>
        <v/>
      </c>
      <c r="X430" s="69" t="inlineStr"/>
      <c r="Y430" s="70" t="inlineStr"/>
      <c r="AC430" s="71" t="n"/>
      <c r="AZ430" s="302" t="inlineStr">
        <is>
          <t>КИ</t>
        </is>
      </c>
    </row>
    <row r="431">
      <c r="A431" s="319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673" t="n"/>
      <c r="M431" s="674" t="inlineStr">
        <is>
          <t>Итого</t>
        </is>
      </c>
      <c r="N431" s="644" t="n"/>
      <c r="O431" s="644" t="n"/>
      <c r="P431" s="644" t="n"/>
      <c r="Q431" s="644" t="n"/>
      <c r="R431" s="644" t="n"/>
      <c r="S431" s="645" t="n"/>
      <c r="T431" s="43" t="inlineStr">
        <is>
          <t>кор</t>
        </is>
      </c>
      <c r="U431" s="675">
        <f>IFERROR(U429/H429,"0")+IFERROR(U430/H430,"0")</f>
        <v/>
      </c>
      <c r="V431" s="675">
        <f>IFERROR(V429/H429,"0")+IFERROR(V430/H430,"0")</f>
        <v/>
      </c>
      <c r="W431" s="675">
        <f>IFERROR(IF(W429="",0,W429),"0")+IFERROR(IF(W430="",0,W430),"0")</f>
        <v/>
      </c>
      <c r="X431" s="676" t="n"/>
      <c r="Y431" s="676" t="n"/>
    </row>
    <row r="432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673" t="n"/>
      <c r="M432" s="674" t="inlineStr">
        <is>
          <t>Итого</t>
        </is>
      </c>
      <c r="N432" s="644" t="n"/>
      <c r="O432" s="644" t="n"/>
      <c r="P432" s="644" t="n"/>
      <c r="Q432" s="644" t="n"/>
      <c r="R432" s="644" t="n"/>
      <c r="S432" s="645" t="n"/>
      <c r="T432" s="43" t="inlineStr">
        <is>
          <t>кг</t>
        </is>
      </c>
      <c r="U432" s="675">
        <f>IFERROR(SUM(U429:U430),"0")</f>
        <v/>
      </c>
      <c r="V432" s="675">
        <f>IFERROR(SUM(V429:V430),"0")</f>
        <v/>
      </c>
      <c r="W432" s="43" t="n"/>
      <c r="X432" s="676" t="n"/>
      <c r="Y432" s="676" t="n"/>
    </row>
    <row r="433" ht="27.75" customHeight="1">
      <c r="A433" s="340" t="inlineStr">
        <is>
          <t>Зареченские</t>
        </is>
      </c>
      <c r="B433" s="667" t="n"/>
      <c r="C433" s="667" t="n"/>
      <c r="D433" s="667" t="n"/>
      <c r="E433" s="667" t="n"/>
      <c r="F433" s="667" t="n"/>
      <c r="G433" s="667" t="n"/>
      <c r="H433" s="667" t="n"/>
      <c r="I433" s="667" t="n"/>
      <c r="J433" s="667" t="n"/>
      <c r="K433" s="667" t="n"/>
      <c r="L433" s="667" t="n"/>
      <c r="M433" s="667" t="n"/>
      <c r="N433" s="667" t="n"/>
      <c r="O433" s="667" t="n"/>
      <c r="P433" s="667" t="n"/>
      <c r="Q433" s="667" t="n"/>
      <c r="R433" s="667" t="n"/>
      <c r="S433" s="667" t="n"/>
      <c r="T433" s="667" t="n"/>
      <c r="U433" s="667" t="n"/>
      <c r="V433" s="667" t="n"/>
      <c r="W433" s="667" t="n"/>
      <c r="X433" s="55" t="n"/>
      <c r="Y433" s="55" t="n"/>
    </row>
    <row r="434" ht="16.5" customHeight="1">
      <c r="A434" s="328" t="inlineStr">
        <is>
          <t>Зареченские продукты</t>
        </is>
      </c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328" t="n"/>
      <c r="Y434" s="328" t="n"/>
    </row>
    <row r="435" ht="14.25" customHeight="1">
      <c r="A435" s="329" t="inlineStr">
        <is>
          <t>Вареные колбасы</t>
        </is>
      </c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329" t="n"/>
      <c r="Y435" s="329" t="n"/>
    </row>
    <row r="436" ht="27" customHeight="1">
      <c r="A436" s="64" t="inlineStr">
        <is>
          <t>SU002807</t>
        </is>
      </c>
      <c r="B436" s="64" t="inlineStr">
        <is>
          <t>P003210</t>
        </is>
      </c>
      <c r="C436" s="37" t="n">
        <v>4301011434</v>
      </c>
      <c r="D436" s="324" t="n">
        <v>4680115881099</v>
      </c>
      <c r="E436" s="636" t="n"/>
      <c r="F436" s="668" t="n">
        <v>1.5</v>
      </c>
      <c r="G436" s="38" t="n">
        <v>8</v>
      </c>
      <c r="H436" s="668" t="n">
        <v>12</v>
      </c>
      <c r="I436" s="668" t="n">
        <v>12.48</v>
      </c>
      <c r="J436" s="38" t="n">
        <v>56</v>
      </c>
      <c r="K436" s="39" t="inlineStr">
        <is>
          <t>СК1</t>
        </is>
      </c>
      <c r="L436" s="38" t="n">
        <v>50</v>
      </c>
      <c r="M436" s="906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/>
      </c>
      <c r="N436" s="670" t="n"/>
      <c r="O436" s="670" t="n"/>
      <c r="P436" s="670" t="n"/>
      <c r="Q436" s="636" t="n"/>
      <c r="R436" s="40" t="inlineStr"/>
      <c r="S436" s="40" t="inlineStr"/>
      <c r="T436" s="41" t="inlineStr">
        <is>
          <t>кг</t>
        </is>
      </c>
      <c r="U436" s="671" t="n">
        <v>0</v>
      </c>
      <c r="V436" s="672">
        <f>IFERROR(IF(U436="",0,CEILING((U436/$H436),1)*$H436),"")</f>
        <v/>
      </c>
      <c r="W436" s="42">
        <f>IFERROR(IF(V436=0,"",ROUNDUP(V436/H436,0)*0.02175),"")</f>
        <v/>
      </c>
      <c r="X436" s="69" t="inlineStr"/>
      <c r="Y436" s="70" t="inlineStr"/>
      <c r="AC436" s="71" t="n"/>
      <c r="AZ436" s="303" t="inlineStr">
        <is>
          <t>КИ</t>
        </is>
      </c>
    </row>
    <row r="437" ht="27" customHeight="1">
      <c r="A437" s="64" t="inlineStr">
        <is>
          <t>SU002808</t>
        </is>
      </c>
      <c r="B437" s="64" t="inlineStr">
        <is>
          <t>P003214</t>
        </is>
      </c>
      <c r="C437" s="37" t="n">
        <v>4301011435</v>
      </c>
      <c r="D437" s="324" t="n">
        <v>4680115881150</v>
      </c>
      <c r="E437" s="636" t="n"/>
      <c r="F437" s="668" t="n">
        <v>1.5</v>
      </c>
      <c r="G437" s="38" t="n">
        <v>8</v>
      </c>
      <c r="H437" s="668" t="n">
        <v>12</v>
      </c>
      <c r="I437" s="668" t="n">
        <v>12.48</v>
      </c>
      <c r="J437" s="38" t="n">
        <v>56</v>
      </c>
      <c r="K437" s="39" t="inlineStr">
        <is>
          <t>СК1</t>
        </is>
      </c>
      <c r="L437" s="38" t="n">
        <v>50</v>
      </c>
      <c r="M437" s="907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/>
      </c>
      <c r="N437" s="670" t="n"/>
      <c r="O437" s="670" t="n"/>
      <c r="P437" s="670" t="n"/>
      <c r="Q437" s="636" t="n"/>
      <c r="R437" s="40" t="inlineStr"/>
      <c r="S437" s="40" t="inlineStr"/>
      <c r="T437" s="41" t="inlineStr">
        <is>
          <t>кг</t>
        </is>
      </c>
      <c r="U437" s="671" t="n">
        <v>0</v>
      </c>
      <c r="V437" s="672">
        <f>IFERROR(IF(U437="",0,CEILING((U437/$H437),1)*$H437),"")</f>
        <v/>
      </c>
      <c r="W437" s="42">
        <f>IFERROR(IF(V437=0,"",ROUNDUP(V437/H437,0)*0.02175),"")</f>
        <v/>
      </c>
      <c r="X437" s="69" t="inlineStr"/>
      <c r="Y437" s="70" t="inlineStr"/>
      <c r="AC437" s="71" t="n"/>
      <c r="AZ437" s="304" t="inlineStr">
        <is>
          <t>КИ</t>
        </is>
      </c>
    </row>
    <row r="438">
      <c r="A438" s="319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673" t="n"/>
      <c r="M438" s="674" t="inlineStr">
        <is>
          <t>Итого</t>
        </is>
      </c>
      <c r="N438" s="644" t="n"/>
      <c r="O438" s="644" t="n"/>
      <c r="P438" s="644" t="n"/>
      <c r="Q438" s="644" t="n"/>
      <c r="R438" s="644" t="n"/>
      <c r="S438" s="645" t="n"/>
      <c r="T438" s="43" t="inlineStr">
        <is>
          <t>кор</t>
        </is>
      </c>
      <c r="U438" s="675">
        <f>IFERROR(U436/H436,"0")+IFERROR(U437/H437,"0")</f>
        <v/>
      </c>
      <c r="V438" s="675">
        <f>IFERROR(V436/H436,"0")+IFERROR(V437/H437,"0")</f>
        <v/>
      </c>
      <c r="W438" s="675">
        <f>IFERROR(IF(W436="",0,W436),"0")+IFERROR(IF(W437="",0,W437),"0")</f>
        <v/>
      </c>
      <c r="X438" s="676" t="n"/>
      <c r="Y438" s="676" t="n"/>
    </row>
    <row r="439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673" t="n"/>
      <c r="M439" s="674" t="inlineStr">
        <is>
          <t>Итого</t>
        </is>
      </c>
      <c r="N439" s="644" t="n"/>
      <c r="O439" s="644" t="n"/>
      <c r="P439" s="644" t="n"/>
      <c r="Q439" s="644" t="n"/>
      <c r="R439" s="644" t="n"/>
      <c r="S439" s="645" t="n"/>
      <c r="T439" s="43" t="inlineStr">
        <is>
          <t>кг</t>
        </is>
      </c>
      <c r="U439" s="675">
        <f>IFERROR(SUM(U436:U437),"0")</f>
        <v/>
      </c>
      <c r="V439" s="675">
        <f>IFERROR(SUM(V436:V437),"0")</f>
        <v/>
      </c>
      <c r="W439" s="43" t="n"/>
      <c r="X439" s="676" t="n"/>
      <c r="Y439" s="676" t="n"/>
    </row>
    <row r="440" ht="14.25" customHeight="1">
      <c r="A440" s="329" t="inlineStr">
        <is>
          <t>Ветчины</t>
        </is>
      </c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329" t="n"/>
      <c r="Y440" s="329" t="n"/>
    </row>
    <row r="441" ht="16.5" customHeight="1">
      <c r="A441" s="64" t="inlineStr">
        <is>
          <t>SU002806</t>
        </is>
      </c>
      <c r="B441" s="64" t="inlineStr">
        <is>
          <t>P003207</t>
        </is>
      </c>
      <c r="C441" s="37" t="n">
        <v>4301020230</v>
      </c>
      <c r="D441" s="324" t="n">
        <v>4680115881112</v>
      </c>
      <c r="E441" s="636" t="n"/>
      <c r="F441" s="668" t="n">
        <v>1.35</v>
      </c>
      <c r="G441" s="38" t="n">
        <v>8</v>
      </c>
      <c r="H441" s="668" t="n">
        <v>10.8</v>
      </c>
      <c r="I441" s="668" t="n">
        <v>11.28</v>
      </c>
      <c r="J441" s="38" t="n">
        <v>56</v>
      </c>
      <c r="K441" s="39" t="inlineStr">
        <is>
          <t>СК1</t>
        </is>
      </c>
      <c r="L441" s="38" t="n">
        <v>50</v>
      </c>
      <c r="M441" s="908">
        <f>HYPERLINK("https://abi.ru/products/Охлажденные/Зареченские/Зареченские продукты/Ветчины/P003207/","Ветчины «Нежная» Весовой п/а ТМ «Зареченские»")</f>
        <v/>
      </c>
      <c r="N441" s="670" t="n"/>
      <c r="O441" s="670" t="n"/>
      <c r="P441" s="670" t="n"/>
      <c r="Q441" s="636" t="n"/>
      <c r="R441" s="40" t="inlineStr"/>
      <c r="S441" s="40" t="inlineStr"/>
      <c r="T441" s="41" t="inlineStr">
        <is>
          <t>кг</t>
        </is>
      </c>
      <c r="U441" s="671" t="n">
        <v>0</v>
      </c>
      <c r="V441" s="672">
        <f>IFERROR(IF(U441="",0,CEILING((U441/$H441),1)*$H441),"")</f>
        <v/>
      </c>
      <c r="W441" s="42">
        <f>IFERROR(IF(V441=0,"",ROUNDUP(V441/H441,0)*0.02175),"")</f>
        <v/>
      </c>
      <c r="X441" s="69" t="inlineStr"/>
      <c r="Y441" s="70" t="inlineStr"/>
      <c r="AC441" s="71" t="n"/>
      <c r="AZ441" s="305" t="inlineStr">
        <is>
          <t>КИ</t>
        </is>
      </c>
    </row>
    <row r="442" ht="27" customHeight="1">
      <c r="A442" s="64" t="inlineStr">
        <is>
          <t>SU002811</t>
        </is>
      </c>
      <c r="B442" s="64" t="inlineStr">
        <is>
          <t>P003208</t>
        </is>
      </c>
      <c r="C442" s="37" t="n">
        <v>4301020231</v>
      </c>
      <c r="D442" s="324" t="n">
        <v>4680115881129</v>
      </c>
      <c r="E442" s="636" t="n"/>
      <c r="F442" s="668" t="n">
        <v>1.8</v>
      </c>
      <c r="G442" s="38" t="n">
        <v>6</v>
      </c>
      <c r="H442" s="668" t="n">
        <v>10.8</v>
      </c>
      <c r="I442" s="668" t="n">
        <v>11.28</v>
      </c>
      <c r="J442" s="38" t="n">
        <v>56</v>
      </c>
      <c r="K442" s="39" t="inlineStr">
        <is>
          <t>СК1</t>
        </is>
      </c>
      <c r="L442" s="38" t="n">
        <v>50</v>
      </c>
      <c r="M442" s="909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/>
      </c>
      <c r="N442" s="670" t="n"/>
      <c r="O442" s="670" t="n"/>
      <c r="P442" s="670" t="n"/>
      <c r="Q442" s="636" t="n"/>
      <c r="R442" s="40" t="inlineStr"/>
      <c r="S442" s="40" t="inlineStr"/>
      <c r="T442" s="41" t="inlineStr">
        <is>
          <t>кг</t>
        </is>
      </c>
      <c r="U442" s="671" t="n">
        <v>0</v>
      </c>
      <c r="V442" s="672">
        <f>IFERROR(IF(U442="",0,CEILING((U442/$H442),1)*$H442),"")</f>
        <v/>
      </c>
      <c r="W442" s="42">
        <f>IFERROR(IF(V442=0,"",ROUNDUP(V442/H442,0)*0.02175),"")</f>
        <v/>
      </c>
      <c r="X442" s="69" t="inlineStr"/>
      <c r="Y442" s="70" t="inlineStr"/>
      <c r="AC442" s="71" t="n"/>
      <c r="AZ442" s="306" t="inlineStr">
        <is>
          <t>КИ</t>
        </is>
      </c>
    </row>
    <row r="443">
      <c r="A443" s="319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673" t="n"/>
      <c r="M443" s="674" t="inlineStr">
        <is>
          <t>Итого</t>
        </is>
      </c>
      <c r="N443" s="644" t="n"/>
      <c r="O443" s="644" t="n"/>
      <c r="P443" s="644" t="n"/>
      <c r="Q443" s="644" t="n"/>
      <c r="R443" s="644" t="n"/>
      <c r="S443" s="645" t="n"/>
      <c r="T443" s="43" t="inlineStr">
        <is>
          <t>кор</t>
        </is>
      </c>
      <c r="U443" s="675">
        <f>IFERROR(U441/H441,"0")+IFERROR(U442/H442,"0")</f>
        <v/>
      </c>
      <c r="V443" s="675">
        <f>IFERROR(V441/H441,"0")+IFERROR(V442/H442,"0")</f>
        <v/>
      </c>
      <c r="W443" s="675">
        <f>IFERROR(IF(W441="",0,W441),"0")+IFERROR(IF(W442="",0,W442),"0")</f>
        <v/>
      </c>
      <c r="X443" s="676" t="n"/>
      <c r="Y443" s="676" t="n"/>
    </row>
    <row r="444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673" t="n"/>
      <c r="M444" s="674" t="inlineStr">
        <is>
          <t>Итого</t>
        </is>
      </c>
      <c r="N444" s="644" t="n"/>
      <c r="O444" s="644" t="n"/>
      <c r="P444" s="644" t="n"/>
      <c r="Q444" s="644" t="n"/>
      <c r="R444" s="644" t="n"/>
      <c r="S444" s="645" t="n"/>
      <c r="T444" s="43" t="inlineStr">
        <is>
          <t>кг</t>
        </is>
      </c>
      <c r="U444" s="675">
        <f>IFERROR(SUM(U441:U442),"0")</f>
        <v/>
      </c>
      <c r="V444" s="675">
        <f>IFERROR(SUM(V441:V442),"0")</f>
        <v/>
      </c>
      <c r="W444" s="43" t="n"/>
      <c r="X444" s="676" t="n"/>
      <c r="Y444" s="676" t="n"/>
    </row>
    <row r="445" ht="14.25" customHeight="1">
      <c r="A445" s="329" t="inlineStr">
        <is>
          <t>Копченые колбасы</t>
        </is>
      </c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329" t="n"/>
      <c r="Y445" s="329" t="n"/>
    </row>
    <row r="446" ht="27" customHeight="1">
      <c r="A446" s="64" t="inlineStr">
        <is>
          <t>SU002805</t>
        </is>
      </c>
      <c r="B446" s="64" t="inlineStr">
        <is>
          <t>P003206</t>
        </is>
      </c>
      <c r="C446" s="37" t="n">
        <v>4301031192</v>
      </c>
      <c r="D446" s="324" t="n">
        <v>4680115881167</v>
      </c>
      <c r="E446" s="636" t="n"/>
      <c r="F446" s="668" t="n">
        <v>0.73</v>
      </c>
      <c r="G446" s="38" t="n">
        <v>6</v>
      </c>
      <c r="H446" s="668" t="n">
        <v>4.38</v>
      </c>
      <c r="I446" s="668" t="n">
        <v>4.64</v>
      </c>
      <c r="J446" s="38" t="n">
        <v>156</v>
      </c>
      <c r="K446" s="39" t="inlineStr">
        <is>
          <t>СК2</t>
        </is>
      </c>
      <c r="L446" s="38" t="n">
        <v>40</v>
      </c>
      <c r="M446" s="910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/>
      </c>
      <c r="N446" s="670" t="n"/>
      <c r="O446" s="670" t="n"/>
      <c r="P446" s="670" t="n"/>
      <c r="Q446" s="636" t="n"/>
      <c r="R446" s="40" t="inlineStr"/>
      <c r="S446" s="40" t="inlineStr"/>
      <c r="T446" s="41" t="inlineStr">
        <is>
          <t>кг</t>
        </is>
      </c>
      <c r="U446" s="671" t="n">
        <v>0</v>
      </c>
      <c r="V446" s="672">
        <f>IFERROR(IF(U446="",0,CEILING((U446/$H446),1)*$H446),"")</f>
        <v/>
      </c>
      <c r="W446" s="42">
        <f>IFERROR(IF(V446=0,"",ROUNDUP(V446/H446,0)*0.00753),"")</f>
        <v/>
      </c>
      <c r="X446" s="69" t="inlineStr"/>
      <c r="Y446" s="70" t="inlineStr"/>
      <c r="AC446" s="71" t="n"/>
      <c r="AZ446" s="307" t="inlineStr">
        <is>
          <t>КИ</t>
        </is>
      </c>
    </row>
    <row r="447" ht="16.5" customHeight="1">
      <c r="A447" s="64" t="inlineStr">
        <is>
          <t>SU002809</t>
        </is>
      </c>
      <c r="B447" s="64" t="inlineStr">
        <is>
          <t>P003216</t>
        </is>
      </c>
      <c r="C447" s="37" t="n">
        <v>4301031193</v>
      </c>
      <c r="D447" s="324" t="n">
        <v>4680115881136</v>
      </c>
      <c r="E447" s="636" t="n"/>
      <c r="F447" s="668" t="n">
        <v>0.73</v>
      </c>
      <c r="G447" s="38" t="n">
        <v>6</v>
      </c>
      <c r="H447" s="668" t="n">
        <v>4.38</v>
      </c>
      <c r="I447" s="668" t="n">
        <v>4.64</v>
      </c>
      <c r="J447" s="38" t="n">
        <v>156</v>
      </c>
      <c r="K447" s="39" t="inlineStr">
        <is>
          <t>СК2</t>
        </is>
      </c>
      <c r="L447" s="38" t="n">
        <v>40</v>
      </c>
      <c r="M447" s="911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/>
      </c>
      <c r="N447" s="670" t="n"/>
      <c r="O447" s="670" t="n"/>
      <c r="P447" s="670" t="n"/>
      <c r="Q447" s="636" t="n"/>
      <c r="R447" s="40" t="inlineStr"/>
      <c r="S447" s="40" t="inlineStr"/>
      <c r="T447" s="41" t="inlineStr">
        <is>
          <t>кг</t>
        </is>
      </c>
      <c r="U447" s="671" t="n">
        <v>0</v>
      </c>
      <c r="V447" s="672">
        <f>IFERROR(IF(U447="",0,CEILING((U447/$H447),1)*$H447),"")</f>
        <v/>
      </c>
      <c r="W447" s="42">
        <f>IFERROR(IF(V447=0,"",ROUNDUP(V447/H447,0)*0.00753),"")</f>
        <v/>
      </c>
      <c r="X447" s="69" t="inlineStr"/>
      <c r="Y447" s="70" t="inlineStr"/>
      <c r="AC447" s="71" t="n"/>
      <c r="AZ447" s="308" t="inlineStr">
        <is>
          <t>КИ</t>
        </is>
      </c>
    </row>
    <row r="448">
      <c r="A448" s="319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673" t="n"/>
      <c r="M448" s="674" t="inlineStr">
        <is>
          <t>Итого</t>
        </is>
      </c>
      <c r="N448" s="644" t="n"/>
      <c r="O448" s="644" t="n"/>
      <c r="P448" s="644" t="n"/>
      <c r="Q448" s="644" t="n"/>
      <c r="R448" s="644" t="n"/>
      <c r="S448" s="645" t="n"/>
      <c r="T448" s="43" t="inlineStr">
        <is>
          <t>кор</t>
        </is>
      </c>
      <c r="U448" s="675">
        <f>IFERROR(U446/H446,"0")+IFERROR(U447/H447,"0")</f>
        <v/>
      </c>
      <c r="V448" s="675">
        <f>IFERROR(V446/H446,"0")+IFERROR(V447/H447,"0")</f>
        <v/>
      </c>
      <c r="W448" s="675">
        <f>IFERROR(IF(W446="",0,W446),"0")+IFERROR(IF(W447="",0,W447),"0")</f>
        <v/>
      </c>
      <c r="X448" s="676" t="n"/>
      <c r="Y448" s="676" t="n"/>
    </row>
    <row r="449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673" t="n"/>
      <c r="M449" s="674" t="inlineStr">
        <is>
          <t>Итого</t>
        </is>
      </c>
      <c r="N449" s="644" t="n"/>
      <c r="O449" s="644" t="n"/>
      <c r="P449" s="644" t="n"/>
      <c r="Q449" s="644" t="n"/>
      <c r="R449" s="644" t="n"/>
      <c r="S449" s="645" t="n"/>
      <c r="T449" s="43" t="inlineStr">
        <is>
          <t>кг</t>
        </is>
      </c>
      <c r="U449" s="675">
        <f>IFERROR(SUM(U446:U447),"0")</f>
        <v/>
      </c>
      <c r="V449" s="675">
        <f>IFERROR(SUM(V446:V447),"0")</f>
        <v/>
      </c>
      <c r="W449" s="43" t="n"/>
      <c r="X449" s="676" t="n"/>
      <c r="Y449" s="676" t="n"/>
    </row>
    <row r="450" ht="14.25" customHeight="1">
      <c r="A450" s="329" t="inlineStr">
        <is>
          <t>Сосиски</t>
        </is>
      </c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329" t="n"/>
      <c r="Y450" s="329" t="n"/>
    </row>
    <row r="451" ht="27" customHeight="1">
      <c r="A451" s="64" t="inlineStr">
        <is>
          <t>SU002803</t>
        </is>
      </c>
      <c r="B451" s="64" t="inlineStr">
        <is>
          <t>P003204</t>
        </is>
      </c>
      <c r="C451" s="37" t="n">
        <v>4301051381</v>
      </c>
      <c r="D451" s="324" t="n">
        <v>4680115881068</v>
      </c>
      <c r="E451" s="636" t="n"/>
      <c r="F451" s="668" t="n">
        <v>1.3</v>
      </c>
      <c r="G451" s="38" t="n">
        <v>6</v>
      </c>
      <c r="H451" s="668" t="n">
        <v>7.8</v>
      </c>
      <c r="I451" s="668" t="n">
        <v>8.279999999999999</v>
      </c>
      <c r="J451" s="38" t="n">
        <v>56</v>
      </c>
      <c r="K451" s="39" t="inlineStr">
        <is>
          <t>СК2</t>
        </is>
      </c>
      <c r="L451" s="38" t="n">
        <v>30</v>
      </c>
      <c r="M451" s="912">
        <f>HYPERLINK("https://abi.ru/products/Охлажденные/Зареченские/Зареченские продукты/Сосиски/P003204/","Сосиски «Сочные» Весовой п/а ТМ «Зареченские»")</f>
        <v/>
      </c>
      <c r="N451" s="670" t="n"/>
      <c r="O451" s="670" t="n"/>
      <c r="P451" s="670" t="n"/>
      <c r="Q451" s="636" t="n"/>
      <c r="R451" s="40" t="inlineStr"/>
      <c r="S451" s="40" t="inlineStr"/>
      <c r="T451" s="41" t="inlineStr">
        <is>
          <t>кг</t>
        </is>
      </c>
      <c r="U451" s="671" t="n">
        <v>0</v>
      </c>
      <c r="V451" s="672">
        <f>IFERROR(IF(U451="",0,CEILING((U451/$H451),1)*$H451),"")</f>
        <v/>
      </c>
      <c r="W451" s="42">
        <f>IFERROR(IF(V451=0,"",ROUNDUP(V451/H451,0)*0.02175),"")</f>
        <v/>
      </c>
      <c r="X451" s="69" t="inlineStr"/>
      <c r="Y451" s="70" t="inlineStr"/>
      <c r="AC451" s="71" t="n"/>
      <c r="AZ451" s="309" t="inlineStr">
        <is>
          <t>КИ</t>
        </is>
      </c>
    </row>
    <row r="452" ht="27" customHeight="1">
      <c r="A452" s="64" t="inlineStr">
        <is>
          <t>SU002804</t>
        </is>
      </c>
      <c r="B452" s="64" t="inlineStr">
        <is>
          <t>P003205</t>
        </is>
      </c>
      <c r="C452" s="37" t="n">
        <v>4301051382</v>
      </c>
      <c r="D452" s="324" t="n">
        <v>4680115881075</v>
      </c>
      <c r="E452" s="636" t="n"/>
      <c r="F452" s="668" t="n">
        <v>0.5</v>
      </c>
      <c r="G452" s="38" t="n">
        <v>6</v>
      </c>
      <c r="H452" s="668" t="n">
        <v>3</v>
      </c>
      <c r="I452" s="668" t="n">
        <v>3.2</v>
      </c>
      <c r="J452" s="38" t="n">
        <v>156</v>
      </c>
      <c r="K452" s="39" t="inlineStr">
        <is>
          <t>СК2</t>
        </is>
      </c>
      <c r="L452" s="38" t="n">
        <v>30</v>
      </c>
      <c r="M452" s="913">
        <f>HYPERLINK("https://abi.ru/products/Охлажденные/Зареченские/Зареченские продукты/Сосиски/P003205/","Сосиски «Сочные» Фикс.вес 0,5 п/а ТМ «Зареченские»")</f>
        <v/>
      </c>
      <c r="N452" s="670" t="n"/>
      <c r="O452" s="670" t="n"/>
      <c r="P452" s="670" t="n"/>
      <c r="Q452" s="636" t="n"/>
      <c r="R452" s="40" t="inlineStr"/>
      <c r="S452" s="40" t="inlineStr"/>
      <c r="T452" s="41" t="inlineStr">
        <is>
          <t>кг</t>
        </is>
      </c>
      <c r="U452" s="671" t="n">
        <v>0</v>
      </c>
      <c r="V452" s="672">
        <f>IFERROR(IF(U452="",0,CEILING((U452/$H452),1)*$H452),"")</f>
        <v/>
      </c>
      <c r="W452" s="42">
        <f>IFERROR(IF(V452=0,"",ROUNDUP(V452/H452,0)*0.00753),"")</f>
        <v/>
      </c>
      <c r="X452" s="69" t="inlineStr"/>
      <c r="Y452" s="70" t="inlineStr"/>
      <c r="AC452" s="71" t="n"/>
      <c r="AZ452" s="310" t="inlineStr">
        <is>
          <t>КИ</t>
        </is>
      </c>
    </row>
    <row r="453">
      <c r="A453" s="319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673" t="n"/>
      <c r="M453" s="674" t="inlineStr">
        <is>
          <t>Итого</t>
        </is>
      </c>
      <c r="N453" s="644" t="n"/>
      <c r="O453" s="644" t="n"/>
      <c r="P453" s="644" t="n"/>
      <c r="Q453" s="644" t="n"/>
      <c r="R453" s="644" t="n"/>
      <c r="S453" s="645" t="n"/>
      <c r="T453" s="43" t="inlineStr">
        <is>
          <t>кор</t>
        </is>
      </c>
      <c r="U453" s="675">
        <f>IFERROR(U451/H451,"0")+IFERROR(U452/H452,"0")</f>
        <v/>
      </c>
      <c r="V453" s="675">
        <f>IFERROR(V451/H451,"0")+IFERROR(V452/H452,"0")</f>
        <v/>
      </c>
      <c r="W453" s="675">
        <f>IFERROR(IF(W451="",0,W451),"0")+IFERROR(IF(W452="",0,W452),"0")</f>
        <v/>
      </c>
      <c r="X453" s="676" t="n"/>
      <c r="Y453" s="676" t="n"/>
    </row>
    <row r="454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673" t="n"/>
      <c r="M454" s="674" t="inlineStr">
        <is>
          <t>Итого</t>
        </is>
      </c>
      <c r="N454" s="644" t="n"/>
      <c r="O454" s="644" t="n"/>
      <c r="P454" s="644" t="n"/>
      <c r="Q454" s="644" t="n"/>
      <c r="R454" s="644" t="n"/>
      <c r="S454" s="645" t="n"/>
      <c r="T454" s="43" t="inlineStr">
        <is>
          <t>кг</t>
        </is>
      </c>
      <c r="U454" s="675">
        <f>IFERROR(SUM(U451:U452),"0")</f>
        <v/>
      </c>
      <c r="V454" s="675">
        <f>IFERROR(SUM(V451:V452),"0")</f>
        <v/>
      </c>
      <c r="W454" s="43" t="n"/>
      <c r="X454" s="676" t="n"/>
      <c r="Y454" s="676" t="n"/>
    </row>
    <row r="455" ht="16.5" customHeight="1">
      <c r="A455" s="328" t="inlineStr">
        <is>
          <t>Выгодная цена</t>
        </is>
      </c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328" t="n"/>
      <c r="Y455" s="328" t="n"/>
    </row>
    <row r="456" ht="14.25" customHeight="1">
      <c r="A456" s="329" t="inlineStr">
        <is>
          <t>Сосиски</t>
        </is>
      </c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329" t="n"/>
      <c r="Y456" s="329" t="n"/>
    </row>
    <row r="457" ht="16.5" customHeight="1">
      <c r="A457" s="64" t="inlineStr">
        <is>
          <t>SU002655</t>
        </is>
      </c>
      <c r="B457" s="64" t="inlineStr">
        <is>
          <t>P003022</t>
        </is>
      </c>
      <c r="C457" s="37" t="n">
        <v>4301051310</v>
      </c>
      <c r="D457" s="324" t="n">
        <v>4680115880870</v>
      </c>
      <c r="E457" s="636" t="n"/>
      <c r="F457" s="668" t="n">
        <v>1.3</v>
      </c>
      <c r="G457" s="38" t="n">
        <v>6</v>
      </c>
      <c r="H457" s="668" t="n">
        <v>7.8</v>
      </c>
      <c r="I457" s="668" t="n">
        <v>8.364000000000001</v>
      </c>
      <c r="J457" s="38" t="n">
        <v>56</v>
      </c>
      <c r="K457" s="39" t="inlineStr">
        <is>
          <t>СК3</t>
        </is>
      </c>
      <c r="L457" s="38" t="n">
        <v>40</v>
      </c>
      <c r="M457" s="914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N457" s="670" t="n"/>
      <c r="O457" s="670" t="n"/>
      <c r="P457" s="670" t="n"/>
      <c r="Q457" s="636" t="n"/>
      <c r="R457" s="40" t="inlineStr"/>
      <c r="S457" s="40" t="inlineStr"/>
      <c r="T457" s="41" t="inlineStr">
        <is>
          <t>кг</t>
        </is>
      </c>
      <c r="U457" s="671" t="n">
        <v>0</v>
      </c>
      <c r="V457" s="672">
        <f>IFERROR(IF(U457="",0,CEILING((U457/$H457),1)*$H457),"")</f>
        <v/>
      </c>
      <c r="W457" s="42">
        <f>IFERROR(IF(V457=0,"",ROUNDUP(V457/H457,0)*0.02175),"")</f>
        <v/>
      </c>
      <c r="X457" s="69" t="inlineStr"/>
      <c r="Y457" s="70" t="inlineStr"/>
      <c r="AC457" s="71" t="n"/>
      <c r="AZ457" s="311" t="inlineStr">
        <is>
          <t>КИ</t>
        </is>
      </c>
    </row>
    <row r="458">
      <c r="A458" s="319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673" t="n"/>
      <c r="M458" s="674" t="inlineStr">
        <is>
          <t>Итого</t>
        </is>
      </c>
      <c r="N458" s="644" t="n"/>
      <c r="O458" s="644" t="n"/>
      <c r="P458" s="644" t="n"/>
      <c r="Q458" s="644" t="n"/>
      <c r="R458" s="644" t="n"/>
      <c r="S458" s="645" t="n"/>
      <c r="T458" s="43" t="inlineStr">
        <is>
          <t>кор</t>
        </is>
      </c>
      <c r="U458" s="675">
        <f>IFERROR(U457/H457,"0")</f>
        <v/>
      </c>
      <c r="V458" s="675">
        <f>IFERROR(V457/H457,"0")</f>
        <v/>
      </c>
      <c r="W458" s="675">
        <f>IFERROR(IF(W457="",0,W457),"0")</f>
        <v/>
      </c>
      <c r="X458" s="676" t="n"/>
      <c r="Y458" s="676" t="n"/>
    </row>
    <row r="459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673" t="n"/>
      <c r="M459" s="674" t="inlineStr">
        <is>
          <t>Итого</t>
        </is>
      </c>
      <c r="N459" s="644" t="n"/>
      <c r="O459" s="644" t="n"/>
      <c r="P459" s="644" t="n"/>
      <c r="Q459" s="644" t="n"/>
      <c r="R459" s="644" t="n"/>
      <c r="S459" s="645" t="n"/>
      <c r="T459" s="43" t="inlineStr">
        <is>
          <t>кг</t>
        </is>
      </c>
      <c r="U459" s="675">
        <f>IFERROR(SUM(U457:U457),"0")</f>
        <v/>
      </c>
      <c r="V459" s="675">
        <f>IFERROR(SUM(V457:V457),"0")</f>
        <v/>
      </c>
      <c r="W459" s="43" t="n"/>
      <c r="X459" s="676" t="n"/>
      <c r="Y459" s="676" t="n"/>
    </row>
    <row r="460" ht="15" customHeight="1">
      <c r="A460" s="323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633" t="n"/>
      <c r="M460" s="915" t="inlineStr">
        <is>
          <t>ИТОГО НЕТТО</t>
        </is>
      </c>
      <c r="N460" s="627" t="n"/>
      <c r="O460" s="627" t="n"/>
      <c r="P460" s="627" t="n"/>
      <c r="Q460" s="627" t="n"/>
      <c r="R460" s="627" t="n"/>
      <c r="S460" s="628" t="n"/>
      <c r="T460" s="43" t="inlineStr">
        <is>
          <t>кг</t>
        </is>
      </c>
      <c r="U460" s="675">
        <f>IFERROR(U24+U33+U38+U42+U49+U56+U76+U85+U97+U108+U116+U124+U132+U144+U150+U155+U162+U182+U187+U206+U210+U217+U226+U233+U239+U245+U256+U261+U267+U273+U277+U281+U294+U299+U303+U307+U315+U320+U327+U331+U338+U354+U361+U365+U371+U375+U381+U391+U395+U399+U413+U418+U427+U432+U439+U444+U449+U454+U459,"0")</f>
        <v/>
      </c>
      <c r="V460" s="675">
        <f>IFERROR(V24+V33+V38+V42+V49+V56+V76+V85+V97+V108+V116+V124+V132+V144+V150+V155+V162+V182+V187+V206+V210+V217+V226+V233+V239+V245+V256+V261+V267+V273+V277+V281+V294+V299+V303+V307+V315+V320+V327+V331+V338+V354+V361+V365+V371+V375+V381+V391+V395+V399+V413+V418+V427+V432+V439+V444+V449+V454+V459,"0")</f>
        <v/>
      </c>
      <c r="W460" s="43" t="n"/>
      <c r="X460" s="676" t="n"/>
      <c r="Y460" s="676" t="n"/>
    </row>
    <row r="461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633" t="n"/>
      <c r="M461" s="915" t="inlineStr">
        <is>
          <t>ИТОГО БРУТТО</t>
        </is>
      </c>
      <c r="N461" s="627" t="n"/>
      <c r="O461" s="627" t="n"/>
      <c r="P461" s="627" t="n"/>
      <c r="Q461" s="627" t="n"/>
      <c r="R461" s="627" t="n"/>
      <c r="S461" s="628" t="n"/>
      <c r="T461" s="43" t="inlineStr">
        <is>
          <t>кг</t>
        </is>
      </c>
      <c r="U461" s="675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46*I46/H46,"0")+IFERROR(U47*I47/H47,"0")+IFERROR(U52*I52/H52,"0")+IFERROR(U53*I53/H53,"0")+IFERROR(U54*I54/H54,"0")+IFERROR(U59*I59/H59,"0")+IFERROR(U60*I60/H60,"0")+IFERROR(U61*I61/H61,"0")+IFERROR(U62*I62/H62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78*I78/H78,"0")+IFERROR(U79*I79/H79,"0")+IFERROR(U80*I80/H80,"0")+IFERROR(U81*I81/H81,"0")+IFERROR(U82*I82/H82,"0")+IFERROR(U83*I83/H83,"0")+IFERROR(U87*I87/H87,"0")+IFERROR(U88*I88/H88,"0")+IFERROR(U89*I89/H89,"0")+IFERROR(U90*I90/H90,"0")+IFERROR(U91*I91/H91,"0")+IFERROR(U92*I92/H92,"0")+IFERROR(U93*I93/H93,"0")+IFERROR(U94*I94/H94,"0")+IFERROR(U95*I95/H95,"0")+IFERROR(U99*I99/H99,"0")+IFERROR(U100*I100/H100,"0")+IFERROR(U101*I101/H101,"0")+IFERROR(U102*I102/H102,"0")+IFERROR(U103*I103/H103,"0")+IFERROR(U104*I104/H104,"0")+IFERROR(U105*I105/H105,"0")+IFERROR(U106*I106/H106,"0")+IFERROR(U110*I110/H110,"0")+IFERROR(U111*I111/H111,"0")+IFERROR(U112*I112/H112,"0")+IFERROR(U113*I113/H113,"0")+IFERROR(U114*I114/H114,"0")+IFERROR(U119*I119/H119,"0")+IFERROR(U120*I120/H120,"0")+IFERROR(U121*I121/H121,"0")+IFERROR(U122*I122/H122,"0")+IFERROR(U128*I128/H128,"0")+IFERROR(U129*I129/H129,"0")+IFERROR(U130*I130/H130,"0")+IFERROR(U135*I135/H135,"0")+IFERROR(U136*I136/H136,"0")+IFERROR(U137*I137/H137,"0")+IFERROR(U138*I138/H138,"0")+IFERROR(U139*I139/H139,"0")+IFERROR(U140*I140/H140,"0")+IFERROR(U141*I141/H141,"0")+IFERROR(U142*I142/H142,"0")+IFERROR(U147*I147/H147,"0")+IFERROR(U148*I148/H148,"0")+IFERROR(U152*I152/H152,"0")+IFERROR(U153*I153/H153,"0")+IFERROR(U157*I157/H157,"0")+IFERROR(U158*I158/H158,"0")+IFERROR(U159*I159/H159,"0")+IFERROR(U160*I160/H160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184*I184/H184,"0")+IFERROR(U185*I185/H185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208*I208/H208,"0")+IFERROR(U212*I212/H212,"0")+IFERROR(U213*I213/H213,"0")+IFERROR(U214*I214/H214,"0")+IFERROR(U215*I215/H215,"0")+IFERROR(U219*I219/H219,"0")+IFERROR(U220*I220/H220,"0")+IFERROR(U221*I221/H221,"0")+IFERROR(U222*I222/H222,"0")+IFERROR(U223*I223/H223,"0")+IFERROR(U224*I224/H224,"0")+IFERROR(U228*I228/H228,"0")+IFERROR(U229*I229/H229,"0")+IFERROR(U230*I230/H230,"0")+IFERROR(U231*I231/H231,"0")+IFERROR(U235*I235/H235,"0")+IFERROR(U236*I236/H236,"0")+IFERROR(U237*I237/H237,"0")+IFERROR(U241*I241/H241,"0")+IFERROR(U242*I242/H242,"0")+IFERROR(U243*I243/H243,"0")+IFERROR(U248*I248/H248,"0")+IFERROR(U249*I249/H249,"0")+IFERROR(U250*I250/H250,"0")+IFERROR(U251*I251/H251,"0")+IFERROR(U252*I252/H252,"0")+IFERROR(U253*I253/H253,"0")+IFERROR(U254*I254/H254,"0")+IFERROR(U258*I258/H258,"0")+IFERROR(U259*I259/H259,"0")+IFERROR(U264*I264/H264,"0")+IFERROR(U265*I265/H265,"0")+IFERROR(U269*I269/H269,"0")+IFERROR(U270*I270/H270,"0")+IFERROR(U271*I271/H271,"0")+IFERROR(U275*I275/H275,"0")+IFERROR(U279*I279/H279,"0")+IFERROR(U285*I285/H285,"0")+IFERROR(U286*I286/H286,"0")+IFERROR(U287*I287/H287,"0")+IFERROR(U288*I288/H288,"0")+IFERROR(U289*I289/H289,"0")+IFERROR(U290*I290/H290,"0")+IFERROR(U291*I291/H291,"0")+IFERROR(U292*I292/H292,"0")+IFERROR(U296*I296/H296,"0")+IFERROR(U297*I297/H297,"0")+IFERROR(U301*I301/H301,"0")+IFERROR(U305*I305/H305,"0")+IFERROR(U310*I310/H310,"0")+IFERROR(U311*I311/H311,"0")+IFERROR(U312*I312/H312,"0")+IFERROR(U313*I313/H313,"0")+IFERROR(U317*I317/H317,"0")+IFERROR(U318*I318/H318,"0")+IFERROR(U322*I322/H322,"0")+IFERROR(U323*I323/H323,"0")+IFERROR(U324*I324/H324,"0")+IFERROR(U325*I325/H325,"0")+IFERROR(U329*I329/H329,"0")+IFERROR(U335*I335/H335,"0")+IFERROR(U336*I336/H336,"0")+IFERROR(U340*I340/H340,"0")+IFERROR(U341*I341/H341,"0")+IFERROR(U342*I342/H342,"0")+IFERROR(U343*I343/H343,"0")+IFERROR(U344*I344/H344,"0")+IFERROR(U345*I345/H345,"0")+IFERROR(U346*I346/H346,"0")+IFERROR(U347*I347/H347,"0")+IFERROR(U348*I348/H348,"0")+IFERROR(U349*I349/H349,"0")+IFERROR(U350*I350/H350,"0")+IFERROR(U351*I351/H351,"0")+IFERROR(U352*I352/H352,"0")+IFERROR(U356*I356/H356,"0")+IFERROR(U357*I357/H357,"0")+IFERROR(U358*I358/H358,"0")+IFERROR(U359*I359/H359,"0")+IFERROR(U363*I363/H363,"0")+IFERROR(U367*I367/H367,"0")+IFERROR(U368*I368/H368,"0")+IFERROR(U369*I369/H369,"0")+IFERROR(U373*I373/H373,"0")+IFERROR(U378*I378/H378,"0")+IFERROR(U379*I379/H379,"0")+IFERROR(U383*I383/H383,"0")+IFERROR(U384*I384/H384,"0")+IFERROR(U385*I385/H385,"0")+IFERROR(U386*I386/H386,"0")+IFERROR(U387*I387/H387,"0")+IFERROR(U388*I388/H388,"0")+IFERROR(U389*I389/H389,"0")+IFERROR(U393*I393/H393,"0")+IFERROR(U397*I397/H397,"0")+IFERROR(U403*I403/H403,"0")+IFERROR(U404*I404/H404,"0")+IFERROR(U405*I405/H405,"0")+IFERROR(U406*I406/H406,"0")+IFERROR(U407*I407/H407,"0")+IFERROR(U408*I408/H408,"0")+IFERROR(U409*I409/H409,"0")+IFERROR(U410*I410/H410,"0")+IFERROR(U411*I411/H411,"0")+IFERROR(U415*I415/H415,"0")+IFERROR(U416*I416/H416,"0")+IFERROR(U420*I420/H420,"0")+IFERROR(U421*I421/H421,"0")+IFERROR(U422*I422/H422,"0")+IFERROR(U423*I423/H423,"0")+IFERROR(U424*I424/H424,"0")+IFERROR(U425*I425/H425,"0")+IFERROR(U429*I429/H429,"0")+IFERROR(U430*I430/H430,"0")+IFERROR(U436*I436/H436,"0")+IFERROR(U437*I437/H437,"0")+IFERROR(U441*I441/H441,"0")+IFERROR(U442*I442/H442,"0")+IFERROR(U446*I446/H446,"0")+IFERROR(U447*I447/H447,"0")+IFERROR(U451*I451/H451,"0")+IFERROR(U452*I452/H452,"0")+IFERROR(U457*I457/H457,"0"),"0")</f>
        <v/>
      </c>
      <c r="V461" s="675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46*I46/H46,"0")+IFERROR(V47*I47/H47,"0")+IFERROR(V52*I52/H52,"0")+IFERROR(V53*I53/H53,"0")+IFERROR(V54*I54/H54,"0")+IFERROR(V59*I59/H59,"0")+IFERROR(V60*I60/H60,"0")+IFERROR(V61*I61/H61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78*I78/H78,"0")+IFERROR(V79*I79/H79,"0")+IFERROR(V80*I80/H80,"0")+IFERROR(V81*I81/H81,"0")+IFERROR(V82*I82/H82,"0")+IFERROR(V83*I83/H83,"0")+IFERROR(V87*I87/H87,"0")+IFERROR(V88*I88/H88,"0")+IFERROR(V89*I89/H89,"0")+IFERROR(V90*I90/H90,"0")+IFERROR(V91*I91/H91,"0")+IFERROR(V92*I92/H92,"0")+IFERROR(V93*I93/H93,"0")+IFERROR(V94*I94/H94,"0")+IFERROR(V95*I95/H95,"0")+IFERROR(V99*I99/H99,"0")+IFERROR(V100*I100/H100,"0")+IFERROR(V101*I101/H101,"0")+IFERROR(V102*I102/H102,"0")+IFERROR(V103*I103/H103,"0")+IFERROR(V104*I104/H104,"0")+IFERROR(V105*I105/H105,"0")+IFERROR(V106*I106/H106,"0")+IFERROR(V110*I110/H110,"0")+IFERROR(V111*I111/H111,"0")+IFERROR(V112*I112/H112,"0")+IFERROR(V113*I113/H113,"0")+IFERROR(V114*I114/H114,"0")+IFERROR(V119*I119/H119,"0")+IFERROR(V120*I120/H120,"0")+IFERROR(V121*I121/H121,"0")+IFERROR(V122*I122/H122,"0")+IFERROR(V128*I128/H128,"0")+IFERROR(V129*I129/H129,"0")+IFERROR(V130*I130/H130,"0")+IFERROR(V135*I135/H135,"0")+IFERROR(V136*I136/H136,"0")+IFERROR(V137*I137/H137,"0")+IFERROR(V138*I138/H138,"0")+IFERROR(V139*I139/H139,"0")+IFERROR(V140*I140/H140,"0")+IFERROR(V141*I141/H141,"0")+IFERROR(V142*I142/H142,"0")+IFERROR(V147*I147/H147,"0")+IFERROR(V148*I148/H148,"0")+IFERROR(V152*I152/H152,"0")+IFERROR(V153*I153/H153,"0")+IFERROR(V157*I157/H157,"0")+IFERROR(V158*I158/H158,"0")+IFERROR(V159*I159/H159,"0")+IFERROR(V160*I160/H160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184*I184/H184,"0")+IFERROR(V185*I185/H185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208*I208/H208,"0")+IFERROR(V212*I212/H212,"0")+IFERROR(V213*I213/H213,"0")+IFERROR(V214*I214/H214,"0")+IFERROR(V215*I215/H215,"0")+IFERROR(V219*I219/H219,"0")+IFERROR(V220*I220/H220,"0")+IFERROR(V221*I221/H221,"0")+IFERROR(V222*I222/H222,"0")+IFERROR(V223*I223/H223,"0")+IFERROR(V224*I224/H224,"0")+IFERROR(V228*I228/H228,"0")+IFERROR(V229*I229/H229,"0")+IFERROR(V230*I230/H230,"0")+IFERROR(V231*I231/H231,"0")+IFERROR(V235*I235/H235,"0")+IFERROR(V236*I236/H236,"0")+IFERROR(V237*I237/H237,"0")+IFERROR(V241*I241/H241,"0")+IFERROR(V242*I242/H242,"0")+IFERROR(V243*I243/H243,"0")+IFERROR(V248*I248/H248,"0")+IFERROR(V249*I249/H249,"0")+IFERROR(V250*I250/H250,"0")+IFERROR(V251*I251/H251,"0")+IFERROR(V252*I252/H252,"0")+IFERROR(V253*I253/H253,"0")+IFERROR(V254*I254/H254,"0")+IFERROR(V258*I258/H258,"0")+IFERROR(V259*I259/H259,"0")+IFERROR(V264*I264/H264,"0")+IFERROR(V265*I265/H265,"0")+IFERROR(V269*I269/H269,"0")+IFERROR(V270*I270/H270,"0")+IFERROR(V271*I271/H271,"0")+IFERROR(V275*I275/H275,"0")+IFERROR(V279*I279/H279,"0")+IFERROR(V285*I285/H285,"0")+IFERROR(V286*I286/H286,"0")+IFERROR(V287*I287/H287,"0")+IFERROR(V288*I288/H288,"0")+IFERROR(V289*I289/H289,"0")+IFERROR(V290*I290/H290,"0")+IFERROR(V291*I291/H291,"0")+IFERROR(V292*I292/H292,"0")+IFERROR(V296*I296/H296,"0")+IFERROR(V297*I297/H297,"0")+IFERROR(V301*I301/H301,"0")+IFERROR(V305*I305/H305,"0")+IFERROR(V310*I310/H310,"0")+IFERROR(V311*I311/H311,"0")+IFERROR(V312*I312/H312,"0")+IFERROR(V313*I313/H313,"0")+IFERROR(V317*I317/H317,"0")+IFERROR(V318*I318/H318,"0")+IFERROR(V322*I322/H322,"0")+IFERROR(V323*I323/H323,"0")+IFERROR(V324*I324/H324,"0")+IFERROR(V325*I325/H325,"0")+IFERROR(V329*I329/H329,"0")+IFERROR(V335*I335/H335,"0")+IFERROR(V336*I336/H336,"0")+IFERROR(V340*I340/H340,"0")+IFERROR(V341*I341/H341,"0")+IFERROR(V342*I342/H342,"0")+IFERROR(V343*I343/H343,"0")+IFERROR(V344*I344/H344,"0")+IFERROR(V345*I345/H345,"0")+IFERROR(V346*I346/H346,"0")+IFERROR(V347*I347/H347,"0")+IFERROR(V348*I348/H348,"0")+IFERROR(V349*I349/H349,"0")+IFERROR(V350*I350/H350,"0")+IFERROR(V351*I351/H351,"0")+IFERROR(V352*I352/H352,"0")+IFERROR(V356*I356/H356,"0")+IFERROR(V357*I357/H357,"0")+IFERROR(V358*I358/H358,"0")+IFERROR(V359*I359/H359,"0")+IFERROR(V363*I363/H363,"0")+IFERROR(V367*I367/H367,"0")+IFERROR(V368*I368/H368,"0")+IFERROR(V369*I369/H369,"0")+IFERROR(V373*I373/H373,"0")+IFERROR(V378*I378/H378,"0")+IFERROR(V379*I379/H379,"0")+IFERROR(V383*I383/H383,"0")+IFERROR(V384*I384/H384,"0")+IFERROR(V385*I385/H385,"0")+IFERROR(V386*I386/H386,"0")+IFERROR(V387*I387/H387,"0")+IFERROR(V388*I388/H388,"0")+IFERROR(V389*I389/H389,"0")+IFERROR(V393*I393/H393,"0")+IFERROR(V397*I397/H397,"0")+IFERROR(V403*I403/H403,"0")+IFERROR(V404*I404/H404,"0")+IFERROR(V405*I405/H405,"0")+IFERROR(V406*I406/H406,"0")+IFERROR(V407*I407/H407,"0")+IFERROR(V408*I408/H408,"0")+IFERROR(V409*I409/H409,"0")+IFERROR(V410*I410/H410,"0")+IFERROR(V411*I411/H411,"0")+IFERROR(V415*I415/H415,"0")+IFERROR(V416*I416/H416,"0")+IFERROR(V420*I420/H420,"0")+IFERROR(V421*I421/H421,"0")+IFERROR(V422*I422/H422,"0")+IFERROR(V423*I423/H423,"0")+IFERROR(V424*I424/H424,"0")+IFERROR(V425*I425/H425,"0")+IFERROR(V429*I429/H429,"0")+IFERROR(V430*I430/H430,"0")+IFERROR(V436*I436/H436,"0")+IFERROR(V437*I437/H437,"0")+IFERROR(V441*I441/H441,"0")+IFERROR(V442*I442/H442,"0")+IFERROR(V446*I446/H446,"0")+IFERROR(V447*I447/H447,"0")+IFERROR(V451*I451/H451,"0")+IFERROR(V452*I452/H452,"0")+IFERROR(V457*I457/H457,"0"),"0")</f>
        <v/>
      </c>
      <c r="W461" s="43" t="n"/>
      <c r="X461" s="676" t="n"/>
      <c r="Y461" s="676" t="n"/>
    </row>
    <row r="462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633" t="n"/>
      <c r="M462" s="915" t="inlineStr">
        <is>
          <t>Кол-во паллет</t>
        </is>
      </c>
      <c r="N462" s="627" t="n"/>
      <c r="O462" s="627" t="n"/>
      <c r="P462" s="627" t="n"/>
      <c r="Q462" s="627" t="n"/>
      <c r="R462" s="627" t="n"/>
      <c r="S462" s="628" t="n"/>
      <c r="T462" s="43" t="inlineStr">
        <is>
          <t>шт</t>
        </is>
      </c>
      <c r="U462" s="45">
        <f>ROUNDUP(IFERROR(SUMPRODUCT(1/J22:J22*(U22:U22/H22:H22)),"0")+IFERROR(SUMPRODUCT(1/J26:J31*(U26:U31/H26:H31)),"0")+IFERROR(SUMPRODUCT(1/J35:J36*(U35:U36/H35:H36)),"0")+IFERROR(SUMPRODUCT(1/J40:J40*(U40:U40/H40:H40)),"0")+IFERROR(SUMPRODUCT(1/J46:J47*(U46:U47/H46:H47)),"0")+IFERROR(SUMPRODUCT(1/J52:J54*(U52:U54/H52:H54)),"0")+IFERROR(SUMPRODUCT(1/J59:J74*(U59:U74/H59:H74)),"0")+IFERROR(SUMPRODUCT(1/J78:J83*(U78:U83/H78:H83)),"0")+IFERROR(SUMPRODUCT(1/J87:J95*(U87:U95/H87:H95)),"0")+IFERROR(SUMPRODUCT(1/J99:J106*(U99:U106/H99:H106)),"0")+IFERROR(SUMPRODUCT(1/J110:J114*(U110:U114/H110:H114)),"0")+IFERROR(SUMPRODUCT(1/J119:J122*(U119:U122/H119:H122)),"0")+IFERROR(SUMPRODUCT(1/J128:J130*(U128:U130/H128:H130)),"0")+IFERROR(SUMPRODUCT(1/J135:J142*(U135:U142/H135:H142)),"0")+IFERROR(SUMPRODUCT(1/J147:J148*(U147:U148/H147:H148)),"0")+IFERROR(SUMPRODUCT(1/J152:J153*(U152:U153/H152:H153)),"0")+IFERROR(SUMPRODUCT(1/J157:J160*(U157:U160/H157:H160)),"0")+IFERROR(SUMPRODUCT(1/J164:J180*(U164:U180/H164:H180)),"0")+IFERROR(SUMPRODUCT(1/J184:J185*(U184:U185/H184:H185)),"0")+IFERROR(SUMPRODUCT(1/J190:J204*(U190:U204/H190:H204)),"0")+IFERROR(SUMPRODUCT(1/J208:J208*(U208:U208/H208:H208)),"0")+IFERROR(SUMPRODUCT(1/J212:J215*(U212:U215/H212:H215)),"0")+IFERROR(SUMPRODUCT(1/J219:J224*(U219:U224/H219:H224)),"0")+IFERROR(SUMPRODUCT(1/J228:J231*(U228:U231/H228:H231)),"0")+IFERROR(SUMPRODUCT(1/J235:J237*(U235:U237/H235:H237)),"0")+IFERROR(SUMPRODUCT(1/J241:J243*(U241:U243/H241:H243)),"0")+IFERROR(SUMPRODUCT(1/J248:J254*(U248:U254/H248:H254)),"0")+IFERROR(SUMPRODUCT(1/J258:J259*(U258:U259/H258:H259)),"0")+IFERROR(SUMPRODUCT(1/J264:J265*(U264:U265/H264:H265)),"0")+IFERROR(SUMPRODUCT(1/J269:J271*(U269:U271/H269:H271)),"0")+IFERROR(SUMPRODUCT(1/J275:J275*(U275:U275/H275:H275)),"0")+IFERROR(SUMPRODUCT(1/J279:J279*(U279:U279/H279:H279)),"0")+IFERROR(SUMPRODUCT(1/J285:J292*(U285:U292/H285:H292)),"0")+IFERROR(SUMPRODUCT(1/J296:J297*(U296:U297/H296:H297)),"0")+IFERROR(SUMPRODUCT(1/J301:J301*(U301:U301/H301:H301)),"0")+IFERROR(SUMPRODUCT(1/J305:J305*(U305:U305/H305:H305)),"0")+IFERROR(SUMPRODUCT(1/J310:J313*(U310:U313/H310:H313)),"0")+IFERROR(SUMPRODUCT(1/J317:J318*(U317:U318/H317:H318)),"0")+IFERROR(SUMPRODUCT(1/J322:J325*(U322:U325/H322:H325)),"0")+IFERROR(SUMPRODUCT(1/J329:J329*(U329:U329/H329:H329)),"0")+IFERROR(SUMPRODUCT(1/J335:J336*(U335:U336/H335:H336)),"0")+IFERROR(SUMPRODUCT(1/J340:J352*(U340:U352/H340:H352)),"0")+IFERROR(SUMPRODUCT(1/J356:J359*(U356:U359/H356:H359)),"0")+IFERROR(SUMPRODUCT(1/J363:J363*(U363:U363/H363:H363)),"0")+IFERROR(SUMPRODUCT(1/J367:J369*(U367:U369/H367:H369)),"0")+IFERROR(SUMPRODUCT(1/J373:J373*(U373:U373/H373:H373)),"0")+IFERROR(SUMPRODUCT(1/J378:J379*(U378:U379/H378:H379)),"0")+IFERROR(SUMPRODUCT(1/J383:J389*(U383:U389/H383:H389)),"0")+IFERROR(SUMPRODUCT(1/J393:J393*(U393:U393/H393:H393)),"0")+IFERROR(SUMPRODUCT(1/J397:J397*(U397:U397/H397:H397)),"0")+IFERROR(SUMPRODUCT(1/J403:J411*(U403:U411/H403:H411)),"0")+IFERROR(SUMPRODUCT(1/J415:J416*(U415:U416/H415:H416)),"0")+IFERROR(SUMPRODUCT(1/J420:J425*(U420:U425/H420:H425)),"0")+IFERROR(SUMPRODUCT(1/J429:J430*(U429:U430/H429:H430)),"0")+IFERROR(SUMPRODUCT(1/J436:J437*(U436:U437/H436:H437)),"0")+IFERROR(SUMPRODUCT(1/J441:J442*(U441:U442/H441:H442)),"0")+IFERROR(SUMPRODUCT(1/J446:J447*(U446:U447/H446:H447)),"0")+IFERROR(SUMPRODUCT(1/J451:J452*(U451:U452/H451:H452)),"0")+IFERROR(SUMPRODUCT(1/J457:J457*(U457:U457/H457:H457)),"0"),0)</f>
        <v/>
      </c>
      <c r="V462" s="45">
        <f>ROUNDUP(IFERROR(SUMPRODUCT(1/J22:J22*(V22:V22/H22:H22)),"0")+IFERROR(SUMPRODUCT(1/J26:J31*(V26:V31/H26:H31)),"0")+IFERROR(SUMPRODUCT(1/J35:J36*(V35:V36/H35:H36)),"0")+IFERROR(SUMPRODUCT(1/J40:J40*(V40:V40/H40:H40)),"0")+IFERROR(SUMPRODUCT(1/J46:J47*(V46:V47/H46:H47)),"0")+IFERROR(SUMPRODUCT(1/J52:J54*(V52:V54/H52:H54)),"0")+IFERROR(SUMPRODUCT(1/J59:J74*(V59:V74/H59:H74)),"0")+IFERROR(SUMPRODUCT(1/J78:J83*(V78:V83/H78:H83)),"0")+IFERROR(SUMPRODUCT(1/J87:J95*(V87:V95/H87:H95)),"0")+IFERROR(SUMPRODUCT(1/J99:J106*(V99:V106/H99:H106)),"0")+IFERROR(SUMPRODUCT(1/J110:J114*(V110:V114/H110:H114)),"0")+IFERROR(SUMPRODUCT(1/J119:J122*(V119:V122/H119:H122)),"0")+IFERROR(SUMPRODUCT(1/J128:J130*(V128:V130/H128:H130)),"0")+IFERROR(SUMPRODUCT(1/J135:J142*(V135:V142/H135:H142)),"0")+IFERROR(SUMPRODUCT(1/J147:J148*(V147:V148/H147:H148)),"0")+IFERROR(SUMPRODUCT(1/J152:J153*(V152:V153/H152:H153)),"0")+IFERROR(SUMPRODUCT(1/J157:J160*(V157:V160/H157:H160)),"0")+IFERROR(SUMPRODUCT(1/J164:J180*(V164:V180/H164:H180)),"0")+IFERROR(SUMPRODUCT(1/J184:J185*(V184:V185/H184:H185)),"0")+IFERROR(SUMPRODUCT(1/J190:J204*(V190:V204/H190:H204)),"0")+IFERROR(SUMPRODUCT(1/J208:J208*(V208:V208/H208:H208)),"0")+IFERROR(SUMPRODUCT(1/J212:J215*(V212:V215/H212:H215)),"0")+IFERROR(SUMPRODUCT(1/J219:J224*(V219:V224/H219:H224)),"0")+IFERROR(SUMPRODUCT(1/J228:J231*(V228:V231/H228:H231)),"0")+IFERROR(SUMPRODUCT(1/J235:J237*(V235:V237/H235:H237)),"0")+IFERROR(SUMPRODUCT(1/J241:J243*(V241:V243/H241:H243)),"0")+IFERROR(SUMPRODUCT(1/J248:J254*(V248:V254/H248:H254)),"0")+IFERROR(SUMPRODUCT(1/J258:J259*(V258:V259/H258:H259)),"0")+IFERROR(SUMPRODUCT(1/J264:J265*(V264:V265/H264:H265)),"0")+IFERROR(SUMPRODUCT(1/J269:J271*(V269:V271/H269:H271)),"0")+IFERROR(SUMPRODUCT(1/J275:J275*(V275:V275/H275:H275)),"0")+IFERROR(SUMPRODUCT(1/J279:J279*(V279:V279/H279:H279)),"0")+IFERROR(SUMPRODUCT(1/J285:J292*(V285:V292/H285:H292)),"0")+IFERROR(SUMPRODUCT(1/J296:J297*(V296:V297/H296:H297)),"0")+IFERROR(SUMPRODUCT(1/J301:J301*(V301:V301/H301:H301)),"0")+IFERROR(SUMPRODUCT(1/J305:J305*(V305:V305/H305:H305)),"0")+IFERROR(SUMPRODUCT(1/J310:J313*(V310:V313/H310:H313)),"0")+IFERROR(SUMPRODUCT(1/J317:J318*(V317:V318/H317:H318)),"0")+IFERROR(SUMPRODUCT(1/J322:J325*(V322:V325/H322:H325)),"0")+IFERROR(SUMPRODUCT(1/J329:J329*(V329:V329/H329:H329)),"0")+IFERROR(SUMPRODUCT(1/J335:J336*(V335:V336/H335:H336)),"0")+IFERROR(SUMPRODUCT(1/J340:J352*(V340:V352/H340:H352)),"0")+IFERROR(SUMPRODUCT(1/J356:J359*(V356:V359/H356:H359)),"0")+IFERROR(SUMPRODUCT(1/J363:J363*(V363:V363/H363:H363)),"0")+IFERROR(SUMPRODUCT(1/J367:J369*(V367:V369/H367:H369)),"0")+IFERROR(SUMPRODUCT(1/J373:J373*(V373:V373/H373:H373)),"0")+IFERROR(SUMPRODUCT(1/J378:J379*(V378:V379/H378:H379)),"0")+IFERROR(SUMPRODUCT(1/J383:J389*(V383:V389/H383:H389)),"0")+IFERROR(SUMPRODUCT(1/J393:J393*(V393:V393/H393:H393)),"0")+IFERROR(SUMPRODUCT(1/J397:J397*(V397:V397/H397:H397)),"0")+IFERROR(SUMPRODUCT(1/J403:J411*(V403:V411/H403:H411)),"0")+IFERROR(SUMPRODUCT(1/J415:J416*(V415:V416/H415:H416)),"0")+IFERROR(SUMPRODUCT(1/J420:J425*(V420:V425/H420:H425)),"0")+IFERROR(SUMPRODUCT(1/J429:J430*(V429:V430/H429:H430)),"0")+IFERROR(SUMPRODUCT(1/J436:J437*(V436:V437/H436:H437)),"0")+IFERROR(SUMPRODUCT(1/J441:J442*(V441:V442/H441:H442)),"0")+IFERROR(SUMPRODUCT(1/J446:J447*(V446:V447/H446:H447)),"0")+IFERROR(SUMPRODUCT(1/J451:J452*(V451:V452/H451:H452)),"0")+IFERROR(SUMPRODUCT(1/J457:J457*(V457:V457/H457:H457)),"0"),0)</f>
        <v/>
      </c>
      <c r="W462" s="43" t="n"/>
      <c r="X462" s="676" t="n"/>
      <c r="Y462" s="676" t="n"/>
    </row>
    <row r="463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633" t="n"/>
      <c r="M463" s="915" t="inlineStr">
        <is>
          <t>Вес брутто  с паллетами</t>
        </is>
      </c>
      <c r="N463" s="627" t="n"/>
      <c r="O463" s="627" t="n"/>
      <c r="P463" s="627" t="n"/>
      <c r="Q463" s="627" t="n"/>
      <c r="R463" s="627" t="n"/>
      <c r="S463" s="628" t="n"/>
      <c r="T463" s="43" t="inlineStr">
        <is>
          <t>кг</t>
        </is>
      </c>
      <c r="U463" s="675">
        <f>GrossWeightTotal+PalletQtyTotal*25</f>
        <v/>
      </c>
      <c r="V463" s="675">
        <f>GrossWeightTotalR+PalletQtyTotalR*25</f>
        <v/>
      </c>
      <c r="W463" s="43" t="n"/>
      <c r="X463" s="676" t="n"/>
      <c r="Y463" s="676" t="n"/>
    </row>
    <row r="464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633" t="n"/>
      <c r="M464" s="915" t="inlineStr">
        <is>
          <t>Кол-во коробок</t>
        </is>
      </c>
      <c r="N464" s="627" t="n"/>
      <c r="O464" s="627" t="n"/>
      <c r="P464" s="627" t="n"/>
      <c r="Q464" s="627" t="n"/>
      <c r="R464" s="627" t="n"/>
      <c r="S464" s="628" t="n"/>
      <c r="T464" s="43" t="inlineStr">
        <is>
          <t>шт</t>
        </is>
      </c>
      <c r="U464" s="675">
        <f>IFERROR(U23+U32+U37+U41+U48+U55+U75+U84+U96+U107+U115+U123+U131+U143+U149+U154+U161+U181+U186+U205+U209+U216+U225+U232+U238+U244+U255+U260+U266+U272+U276+U280+U293+U298+U302+U306+U314+U319+U326+U330+U337+U353+U360+U364+U370+U374+U380+U390+U394+U398+U412+U417+U426+U431+U438+U443+U448+U453+U458,"0")</f>
        <v/>
      </c>
      <c r="V464" s="675">
        <f>IFERROR(V23+V32+V37+V41+V48+V55+V75+V84+V96+V107+V115+V123+V131+V143+V149+V154+V161+V181+V186+V205+V209+V216+V225+V232+V238+V244+V255+V260+V266+V272+V276+V280+V293+V298+V302+V306+V314+V319+V326+V330+V337+V353+V360+V364+V370+V374+V380+V390+V394+V398+V412+V417+V426+V431+V438+V443+V448+V453+V458,"0")</f>
        <v/>
      </c>
      <c r="W464" s="43" t="n"/>
      <c r="X464" s="676" t="n"/>
      <c r="Y464" s="676" t="n"/>
    </row>
    <row r="465" ht="14.25" customHeight="1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633" t="n"/>
      <c r="M465" s="915" t="inlineStr">
        <is>
          <t>Объем заказа</t>
        </is>
      </c>
      <c r="N465" s="627" t="n"/>
      <c r="O465" s="627" t="n"/>
      <c r="P465" s="627" t="n"/>
      <c r="Q465" s="627" t="n"/>
      <c r="R465" s="627" t="n"/>
      <c r="S465" s="628" t="n"/>
      <c r="T465" s="46" t="inlineStr">
        <is>
          <t>м3</t>
        </is>
      </c>
      <c r="U465" s="43" t="n"/>
      <c r="V465" s="43" t="n"/>
      <c r="W465" s="43">
        <f>IFERROR(W23+W32+W37+W41+W48+W55+W75+W84+W96+W107+W115+W123+W131+W143+W149+W154+W161+W181+W186+W205+W209+W216+W225+W232+W238+W244+W255+W260+W266+W272+W276+W280+W293+W298+W302+W306+W314+W319+W326+W330+W337+W353+W360+W364+W370+W374+W380+W390+W394+W398+W412+W417+W426+W431+W438+W443+W448+W453+W458,"0")</f>
        <v/>
      </c>
      <c r="X465" s="676" t="n"/>
      <c r="Y465" s="676" t="n"/>
    </row>
    <row r="466" ht="13.5" customHeight="1" thickBot="1"/>
    <row r="467" ht="27" customHeight="1" thickBot="1" thickTop="1">
      <c r="A467" s="47" t="inlineStr">
        <is>
          <t>ТОРГОВАЯ МАРКА</t>
        </is>
      </c>
      <c r="B467" s="312" t="inlineStr">
        <is>
          <t>Ядрена копоть</t>
        </is>
      </c>
      <c r="C467" s="312" t="inlineStr">
        <is>
          <t>Вязанка</t>
        </is>
      </c>
      <c r="D467" s="916" t="n"/>
      <c r="E467" s="916" t="n"/>
      <c r="F467" s="917" t="n"/>
      <c r="G467" s="312" t="inlineStr">
        <is>
          <t>Стародворье</t>
        </is>
      </c>
      <c r="H467" s="916" t="n"/>
      <c r="I467" s="916" t="n"/>
      <c r="J467" s="916" t="n"/>
      <c r="K467" s="916" t="n"/>
      <c r="L467" s="917" t="n"/>
      <c r="M467" s="312" t="inlineStr">
        <is>
          <t>Особый рецепт</t>
        </is>
      </c>
      <c r="N467" s="917" t="n"/>
      <c r="O467" s="312" t="inlineStr">
        <is>
          <t>Баварушка</t>
        </is>
      </c>
      <c r="P467" s="917" t="n"/>
      <c r="Q467" s="312" t="inlineStr">
        <is>
          <t>Дугушка</t>
        </is>
      </c>
      <c r="R467" s="312" t="inlineStr">
        <is>
          <t>Зареченские</t>
        </is>
      </c>
      <c r="S467" s="917" t="n"/>
      <c r="T467" s="1" t="n"/>
      <c r="Y467" s="61" t="n"/>
      <c r="AB467" s="1" t="n"/>
    </row>
    <row r="468" ht="14.25" customHeight="1" thickTop="1">
      <c r="A468" s="313" t="inlineStr">
        <is>
          <t>СЕРИЯ</t>
        </is>
      </c>
      <c r="B468" s="312" t="inlineStr">
        <is>
          <t>Ядрена копоть</t>
        </is>
      </c>
      <c r="C468" s="312" t="inlineStr">
        <is>
          <t>Столичная</t>
        </is>
      </c>
      <c r="D468" s="312" t="inlineStr">
        <is>
          <t>Классическая</t>
        </is>
      </c>
      <c r="E468" s="312" t="inlineStr">
        <is>
          <t>Вязанка</t>
        </is>
      </c>
      <c r="F468" s="312" t="inlineStr">
        <is>
          <t>Сливушки</t>
        </is>
      </c>
      <c r="G468" s="312" t="inlineStr">
        <is>
          <t>Золоченная в печи</t>
        </is>
      </c>
      <c r="H468" s="312" t="inlineStr">
        <is>
          <t>Мясорубская</t>
        </is>
      </c>
      <c r="I468" s="312" t="inlineStr">
        <is>
          <t>Сочинка</t>
        </is>
      </c>
      <c r="J468" s="312" t="inlineStr">
        <is>
          <t>Бордо</t>
        </is>
      </c>
      <c r="K468" s="312" t="inlineStr">
        <is>
          <t>Фирменная</t>
        </is>
      </c>
      <c r="L468" s="312" t="inlineStr">
        <is>
          <t>Бавария</t>
        </is>
      </c>
      <c r="M468" s="312" t="inlineStr">
        <is>
          <t>Особая</t>
        </is>
      </c>
      <c r="N468" s="312" t="inlineStr">
        <is>
          <t>Особая Без свинины</t>
        </is>
      </c>
      <c r="O468" s="312" t="inlineStr">
        <is>
          <t>Филейбургская</t>
        </is>
      </c>
      <c r="P468" s="312" t="inlineStr">
        <is>
          <t>Балыкбургская</t>
        </is>
      </c>
      <c r="Q468" s="312" t="inlineStr">
        <is>
          <t>Дугушка</t>
        </is>
      </c>
      <c r="R468" s="312" t="inlineStr">
        <is>
          <t>Зареченские продукты</t>
        </is>
      </c>
      <c r="S468" s="312" t="inlineStr">
        <is>
          <t>Выгодная цена</t>
        </is>
      </c>
      <c r="T468" s="1" t="n"/>
      <c r="Y468" s="61" t="n"/>
      <c r="AB468" s="1" t="n"/>
    </row>
    <row r="469" ht="13.5" customHeight="1" thickBot="1">
      <c r="A469" s="918" t="n"/>
      <c r="B469" s="919" t="n"/>
      <c r="C469" s="919" t="n"/>
      <c r="D469" s="919" t="n"/>
      <c r="E469" s="919" t="n"/>
      <c r="F469" s="919" t="n"/>
      <c r="G469" s="919" t="n"/>
      <c r="H469" s="919" t="n"/>
      <c r="I469" s="919" t="n"/>
      <c r="J469" s="919" t="n"/>
      <c r="K469" s="919" t="n"/>
      <c r="L469" s="919" t="n"/>
      <c r="M469" s="919" t="n"/>
      <c r="N469" s="919" t="n"/>
      <c r="O469" s="919" t="n"/>
      <c r="P469" s="919" t="n"/>
      <c r="Q469" s="919" t="n"/>
      <c r="R469" s="919" t="n"/>
      <c r="S469" s="919" t="n"/>
      <c r="T469" s="1" t="n"/>
      <c r="Y469" s="61" t="n"/>
      <c r="AB469" s="1" t="n"/>
    </row>
    <row r="470" ht="18" customHeight="1" thickBot="1" thickTop="1">
      <c r="A470" s="47" t="inlineStr">
        <is>
          <t>ИТОГО, кг</t>
        </is>
      </c>
      <c r="B470" s="53">
        <f>IFERROR(V22*1,"0")+IFERROR(V26*1,"0")+IFERROR(V27*1,"0")+IFERROR(V28*1,"0")+IFERROR(V29*1,"0")+IFERROR(V30*1,"0")+IFERROR(V31*1,"0")+IFERROR(V35*1,"0")+IFERROR(V36*1,"0")+IFERROR(V40*1,"0")</f>
        <v/>
      </c>
      <c r="C470" s="53">
        <f>IFERROR(V46*1,"0")+IFERROR(V47*1,"0")</f>
        <v/>
      </c>
      <c r="D470" s="53">
        <f>IFERROR(V52*1,"0")+IFERROR(V53*1,"0")+IFERROR(V54*1,"0")</f>
        <v/>
      </c>
      <c r="E470" s="53">
        <f>IFERROR(V59*1,"0")+IFERROR(V60*1,"0")+IFERROR(V61*1,"0")+IFERROR(V62*1,"0")+IFERROR(V63*1,"0")+IFERROR(V64*1,"0")+IFERROR(V65*1,"0")+IFERROR(V66*1,"0")+IFERROR(V67*1,"0")+IFERROR(V68*1,"0")+IFERROR(V69*1,"0")+IFERROR(V70*1,"0")+IFERROR(V71*1,"0")+IFERROR(V72*1,"0")+IFERROR(V73*1,"0")+IFERROR(V74*1,"0")+IFERROR(V78*1,"0")+IFERROR(V79*1,"0")+IFERROR(V80*1,"0")+IFERROR(V81*1,"0")+IFERROR(V82*1,"0")+IFERROR(V83*1,"0")+IFERROR(V87*1,"0")+IFERROR(V88*1,"0")+IFERROR(V89*1,"0")+IFERROR(V90*1,"0")+IFERROR(V91*1,"0")+IFERROR(V92*1,"0")+IFERROR(V93*1,"0")+IFERROR(V94*1,"0")+IFERROR(V95*1,"0")+IFERROR(V99*1,"0")+IFERROR(V100*1,"0")+IFERROR(V101*1,"0")+IFERROR(V102*1,"0")+IFERROR(V103*1,"0")+IFERROR(V104*1,"0")+IFERROR(V105*1,"0")+IFERROR(V106*1,"0")+IFERROR(V110*1,"0")+IFERROR(V111*1,"0")+IFERROR(V112*1,"0")+IFERROR(V113*1,"0")+IFERROR(V114*1,"0")</f>
        <v/>
      </c>
      <c r="F470" s="53">
        <f>IFERROR(V119*1,"0")+IFERROR(V120*1,"0")+IFERROR(V121*1,"0")+IFERROR(V122*1,"0")</f>
        <v/>
      </c>
      <c r="G470" s="53">
        <f>IFERROR(V128*1,"0")+IFERROR(V129*1,"0")+IFERROR(V130*1,"0")</f>
        <v/>
      </c>
      <c r="H470" s="53">
        <f>IFERROR(V135*1,"0")+IFERROR(V136*1,"0")+IFERROR(V137*1,"0")+IFERROR(V138*1,"0")+IFERROR(V139*1,"0")+IFERROR(V140*1,"0")+IFERROR(V141*1,"0")+IFERROR(V142*1,"0")</f>
        <v/>
      </c>
      <c r="I470" s="53">
        <f>IFERROR(V147*1,"0")+IFERROR(V148*1,"0")+IFERROR(V152*1,"0")+IFERROR(V153*1,"0")+IFERROR(V157*1,"0")+IFERROR(V158*1,"0")+IFERROR(V159*1,"0")+IFERROR(V160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180*1,"0")+IFERROR(V184*1,"0")+IFERROR(V185*1,"0")</f>
        <v/>
      </c>
      <c r="J470" s="53">
        <f>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204*1,"0")+IFERROR(V208*1,"0")+IFERROR(V212*1,"0")+IFERROR(V213*1,"0")+IFERROR(V214*1,"0")+IFERROR(V215*1,"0")+IFERROR(V219*1,"0")+IFERROR(V220*1,"0")+IFERROR(V221*1,"0")+IFERROR(V222*1,"0")+IFERROR(V223*1,"0")+IFERROR(V224*1,"0")+IFERROR(V228*1,"0")+IFERROR(V229*1,"0")+IFERROR(V230*1,"0")+IFERROR(V231*1,"0")+IFERROR(V235*1,"0")+IFERROR(V236*1,"0")+IFERROR(V237*1,"0")+IFERROR(V241*1,"0")+IFERROR(V242*1,"0")+IFERROR(V243*1,"0")</f>
        <v/>
      </c>
      <c r="K470" s="53">
        <f>IFERROR(V248*1,"0")+IFERROR(V249*1,"0")+IFERROR(V250*1,"0")+IFERROR(V251*1,"0")+IFERROR(V252*1,"0")+IFERROR(V253*1,"0")+IFERROR(V254*1,"0")+IFERROR(V258*1,"0")+IFERROR(V259*1,"0")</f>
        <v/>
      </c>
      <c r="L470" s="53">
        <f>IFERROR(V264*1,"0")+IFERROR(V265*1,"0")+IFERROR(V269*1,"0")+IFERROR(V270*1,"0")+IFERROR(V271*1,"0")+IFERROR(V275*1,"0")+IFERROR(V279*1,"0")</f>
        <v/>
      </c>
      <c r="M470" s="53">
        <f>IFERROR(V285*1,"0")+IFERROR(V286*1,"0")+IFERROR(V287*1,"0")+IFERROR(V288*1,"0")+IFERROR(V289*1,"0")+IFERROR(V290*1,"0")+IFERROR(V291*1,"0")+IFERROR(V292*1,"0")+IFERROR(V296*1,"0")+IFERROR(V297*1,"0")+IFERROR(V301*1,"0")+IFERROR(V305*1,"0")</f>
        <v/>
      </c>
      <c r="N470" s="53">
        <f>IFERROR(V310*1,"0")+IFERROR(V311*1,"0")+IFERROR(V312*1,"0")+IFERROR(V313*1,"0")+IFERROR(V317*1,"0")+IFERROR(V318*1,"0")+IFERROR(V322*1,"0")+IFERROR(V323*1,"0")+IFERROR(V324*1,"0")+IFERROR(V325*1,"0")+IFERROR(V329*1,"0")</f>
        <v/>
      </c>
      <c r="O470" s="53">
        <f>IFERROR(V335*1,"0")+IFERROR(V336*1,"0")+IFERROR(V340*1,"0")+IFERROR(V341*1,"0")+IFERROR(V342*1,"0")+IFERROR(V343*1,"0")+IFERROR(V344*1,"0")+IFERROR(V345*1,"0")+IFERROR(V346*1,"0")+IFERROR(V347*1,"0")+IFERROR(V348*1,"0")+IFERROR(V349*1,"0")+IFERROR(V350*1,"0")+IFERROR(V351*1,"0")+IFERROR(V352*1,"0")+IFERROR(V356*1,"0")+IFERROR(V357*1,"0")+IFERROR(V358*1,"0")+IFERROR(V359*1,"0")+IFERROR(V363*1,"0")+IFERROR(V367*1,"0")+IFERROR(V368*1,"0")+IFERROR(V369*1,"0")+IFERROR(V373*1,"0")</f>
        <v/>
      </c>
      <c r="P470" s="53">
        <f>IFERROR(V378*1,"0")+IFERROR(V379*1,"0")+IFERROR(V383*1,"0")+IFERROR(V384*1,"0")+IFERROR(V385*1,"0")+IFERROR(V386*1,"0")+IFERROR(V387*1,"0")+IFERROR(V388*1,"0")+IFERROR(V389*1,"0")+IFERROR(V393*1,"0")+IFERROR(V397*1,"0")</f>
        <v/>
      </c>
      <c r="Q470" s="53">
        <f>IFERROR(V403*1,"0")+IFERROR(V404*1,"0")+IFERROR(V405*1,"0")+IFERROR(V406*1,"0")+IFERROR(V407*1,"0")+IFERROR(V408*1,"0")+IFERROR(V409*1,"0")+IFERROR(V410*1,"0")+IFERROR(V411*1,"0")+IFERROR(V415*1,"0")+IFERROR(V416*1,"0")+IFERROR(V420*1,"0")+IFERROR(V421*1,"0")+IFERROR(V422*1,"0")+IFERROR(V423*1,"0")+IFERROR(V424*1,"0")+IFERROR(V425*1,"0")+IFERROR(V429*1,"0")+IFERROR(V430*1,"0")</f>
        <v/>
      </c>
      <c r="R470" s="53">
        <f>IFERROR(V436*1,"0")+IFERROR(V437*1,"0")+IFERROR(V441*1,"0")+IFERROR(V442*1,"0")+IFERROR(V446*1,"0")+IFERROR(V447*1,"0")+IFERROR(V451*1,"0")+IFERROR(V452*1,"0")</f>
        <v/>
      </c>
      <c r="S470" s="53">
        <f>IFERROR(V457*1,"0")</f>
        <v/>
      </c>
      <c r="T470" s="1" t="n"/>
      <c r="Y470" s="61" t="n"/>
      <c r="AB470" s="1" t="n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TmxtMoId7g1MRN9MPRLmxQ==" formatRows="1" sort="0" spinCount="100000" hashValue="VDgeViEU+4yR7A+RFWl0lXwcR4YGg2PnnKMHR5PgVzu/soOqP2ky5875EKBbG5755mtHLktdqb3J/mkz7YfyYQ==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834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A44:W44"/>
    <mergeCell ref="A45:W45"/>
    <mergeCell ref="D46:E46"/>
    <mergeCell ref="M46:Q46"/>
    <mergeCell ref="D47:E47"/>
    <mergeCell ref="M47:Q47"/>
    <mergeCell ref="M48:S48"/>
    <mergeCell ref="A48:L49"/>
    <mergeCell ref="M49:S49"/>
    <mergeCell ref="A50:W50"/>
    <mergeCell ref="A51:W51"/>
    <mergeCell ref="D52:E52"/>
    <mergeCell ref="M52:Q52"/>
    <mergeCell ref="D53:E53"/>
    <mergeCell ref="M53:Q53"/>
    <mergeCell ref="D54:E54"/>
    <mergeCell ref="M54:Q54"/>
    <mergeCell ref="M55:S55"/>
    <mergeCell ref="A55:L56"/>
    <mergeCell ref="M56:S56"/>
    <mergeCell ref="A57:W57"/>
    <mergeCell ref="A58:W58"/>
    <mergeCell ref="D59:E59"/>
    <mergeCell ref="M59:Q59"/>
    <mergeCell ref="D60:E60"/>
    <mergeCell ref="M60:Q60"/>
    <mergeCell ref="D61:E61"/>
    <mergeCell ref="M61:Q61"/>
    <mergeCell ref="D62:E62"/>
    <mergeCell ref="M62:Q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M75:S75"/>
    <mergeCell ref="A75:L76"/>
    <mergeCell ref="M76:S76"/>
    <mergeCell ref="A77:W77"/>
    <mergeCell ref="D78:E78"/>
    <mergeCell ref="M78:Q78"/>
    <mergeCell ref="D79:E79"/>
    <mergeCell ref="M79:Q79"/>
    <mergeCell ref="D80:E80"/>
    <mergeCell ref="M80:Q80"/>
    <mergeCell ref="D81:E81"/>
    <mergeCell ref="M81:Q81"/>
    <mergeCell ref="D82:E82"/>
    <mergeCell ref="M82:Q82"/>
    <mergeCell ref="D83:E83"/>
    <mergeCell ref="M83:Q83"/>
    <mergeCell ref="M84:S84"/>
    <mergeCell ref="A84:L85"/>
    <mergeCell ref="M85:S85"/>
    <mergeCell ref="A86:W86"/>
    <mergeCell ref="D87:E87"/>
    <mergeCell ref="M87:Q87"/>
    <mergeCell ref="D88:E88"/>
    <mergeCell ref="M88:Q88"/>
    <mergeCell ref="D89:E89"/>
    <mergeCell ref="M89:Q89"/>
    <mergeCell ref="D90:E90"/>
    <mergeCell ref="M90:Q90"/>
    <mergeCell ref="D91:E91"/>
    <mergeCell ref="M91:Q91"/>
    <mergeCell ref="D92:E92"/>
    <mergeCell ref="M92:Q92"/>
    <mergeCell ref="D93:E93"/>
    <mergeCell ref="M93:Q93"/>
    <mergeCell ref="D94:E94"/>
    <mergeCell ref="M94:Q94"/>
    <mergeCell ref="D95:E95"/>
    <mergeCell ref="M95:Q95"/>
    <mergeCell ref="M96:S96"/>
    <mergeCell ref="A96:L97"/>
    <mergeCell ref="M97:S97"/>
    <mergeCell ref="A98:W98"/>
    <mergeCell ref="D99:E99"/>
    <mergeCell ref="M99:Q99"/>
    <mergeCell ref="D100:E100"/>
    <mergeCell ref="M100:Q100"/>
    <mergeCell ref="D101:E101"/>
    <mergeCell ref="M101:Q101"/>
    <mergeCell ref="D102:E102"/>
    <mergeCell ref="M102:Q102"/>
    <mergeCell ref="D103:E103"/>
    <mergeCell ref="M103:Q103"/>
    <mergeCell ref="D104:E104"/>
    <mergeCell ref="M104:Q104"/>
    <mergeCell ref="D105:E105"/>
    <mergeCell ref="M105:Q105"/>
    <mergeCell ref="D106:E106"/>
    <mergeCell ref="M106:Q106"/>
    <mergeCell ref="M107:S107"/>
    <mergeCell ref="A107:L108"/>
    <mergeCell ref="M108:S108"/>
    <mergeCell ref="A109:W109"/>
    <mergeCell ref="D110:E110"/>
    <mergeCell ref="M110:Q110"/>
    <mergeCell ref="D111:E111"/>
    <mergeCell ref="M111:Q111"/>
    <mergeCell ref="D112:E112"/>
    <mergeCell ref="M112:Q112"/>
    <mergeCell ref="D113:E113"/>
    <mergeCell ref="M113:Q113"/>
    <mergeCell ref="D114:E114"/>
    <mergeCell ref="M114:Q114"/>
    <mergeCell ref="M115:S115"/>
    <mergeCell ref="A115:L116"/>
    <mergeCell ref="M116:S116"/>
    <mergeCell ref="A117:W117"/>
    <mergeCell ref="A118:W118"/>
    <mergeCell ref="D119:E119"/>
    <mergeCell ref="M119:Q119"/>
    <mergeCell ref="D120:E120"/>
    <mergeCell ref="M120:Q120"/>
    <mergeCell ref="D121:E121"/>
    <mergeCell ref="M121:Q121"/>
    <mergeCell ref="D122:E122"/>
    <mergeCell ref="M122:Q122"/>
    <mergeCell ref="M123:S123"/>
    <mergeCell ref="A123:L124"/>
    <mergeCell ref="M124:S124"/>
    <mergeCell ref="A125:W125"/>
    <mergeCell ref="A126:W126"/>
    <mergeCell ref="A127:W127"/>
    <mergeCell ref="D128:E128"/>
    <mergeCell ref="M128:Q128"/>
    <mergeCell ref="D129:E129"/>
    <mergeCell ref="M129:Q129"/>
    <mergeCell ref="D130:E130"/>
    <mergeCell ref="M130:Q130"/>
    <mergeCell ref="M131:S131"/>
    <mergeCell ref="A131:L132"/>
    <mergeCell ref="M132:S132"/>
    <mergeCell ref="A133:W133"/>
    <mergeCell ref="A134:W134"/>
    <mergeCell ref="D135:E135"/>
    <mergeCell ref="M135:Q135"/>
    <mergeCell ref="D136:E136"/>
    <mergeCell ref="M136:Q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42:E142"/>
    <mergeCell ref="M142:Q142"/>
    <mergeCell ref="M143:S143"/>
    <mergeCell ref="A143:L144"/>
    <mergeCell ref="M144:S144"/>
    <mergeCell ref="A145:W145"/>
    <mergeCell ref="A146:W146"/>
    <mergeCell ref="D147:E147"/>
    <mergeCell ref="M147:Q147"/>
    <mergeCell ref="D148:E148"/>
    <mergeCell ref="M148:Q148"/>
    <mergeCell ref="M149:S149"/>
    <mergeCell ref="A149:L150"/>
    <mergeCell ref="M150:S150"/>
    <mergeCell ref="A151:W151"/>
    <mergeCell ref="D152:E152"/>
    <mergeCell ref="M152:Q152"/>
    <mergeCell ref="D153:E153"/>
    <mergeCell ref="M153:Q153"/>
    <mergeCell ref="M154:S154"/>
    <mergeCell ref="A154:L155"/>
    <mergeCell ref="M155:S155"/>
    <mergeCell ref="A156:W156"/>
    <mergeCell ref="D157:E157"/>
    <mergeCell ref="M157:Q157"/>
    <mergeCell ref="D158:E158"/>
    <mergeCell ref="M158:Q158"/>
    <mergeCell ref="D159:E159"/>
    <mergeCell ref="M159:Q159"/>
    <mergeCell ref="D160:E160"/>
    <mergeCell ref="M160:Q160"/>
    <mergeCell ref="M161:S161"/>
    <mergeCell ref="A161:L162"/>
    <mergeCell ref="M162:S162"/>
    <mergeCell ref="A163:W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80:E180"/>
    <mergeCell ref="M180:Q180"/>
    <mergeCell ref="M181:S181"/>
    <mergeCell ref="A181:L182"/>
    <mergeCell ref="M182:S182"/>
    <mergeCell ref="A183:W183"/>
    <mergeCell ref="D184:E184"/>
    <mergeCell ref="M184:Q184"/>
    <mergeCell ref="D185:E185"/>
    <mergeCell ref="M185:Q185"/>
    <mergeCell ref="M186:S186"/>
    <mergeCell ref="A186:L187"/>
    <mergeCell ref="M187:S187"/>
    <mergeCell ref="A188:W188"/>
    <mergeCell ref="A189:W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D204:E204"/>
    <mergeCell ref="M204:Q204"/>
    <mergeCell ref="M205:S205"/>
    <mergeCell ref="A205:L206"/>
    <mergeCell ref="M206:S206"/>
    <mergeCell ref="A207:W207"/>
    <mergeCell ref="D208:E208"/>
    <mergeCell ref="M208:Q208"/>
    <mergeCell ref="M209:S209"/>
    <mergeCell ref="A209:L210"/>
    <mergeCell ref="M210:S210"/>
    <mergeCell ref="A211:W211"/>
    <mergeCell ref="D212:E212"/>
    <mergeCell ref="M212:Q212"/>
    <mergeCell ref="D213:E213"/>
    <mergeCell ref="M213:Q213"/>
    <mergeCell ref="D214:E214"/>
    <mergeCell ref="M214:Q214"/>
    <mergeCell ref="D215:E215"/>
    <mergeCell ref="M215:Q215"/>
    <mergeCell ref="M216:S216"/>
    <mergeCell ref="A216:L217"/>
    <mergeCell ref="M217:S217"/>
    <mergeCell ref="A218:W218"/>
    <mergeCell ref="D219:E219"/>
    <mergeCell ref="M219:Q219"/>
    <mergeCell ref="D220:E220"/>
    <mergeCell ref="M220:Q220"/>
    <mergeCell ref="D221:E221"/>
    <mergeCell ref="M221:Q221"/>
    <mergeCell ref="D222:E222"/>
    <mergeCell ref="M222:Q222"/>
    <mergeCell ref="D223:E223"/>
    <mergeCell ref="M223:Q223"/>
    <mergeCell ref="D224:E224"/>
    <mergeCell ref="M224:Q224"/>
    <mergeCell ref="M225:S225"/>
    <mergeCell ref="A225:L226"/>
    <mergeCell ref="M226:S226"/>
    <mergeCell ref="A227:W227"/>
    <mergeCell ref="D228:E228"/>
    <mergeCell ref="M228:Q228"/>
    <mergeCell ref="D229:E229"/>
    <mergeCell ref="M229:Q229"/>
    <mergeCell ref="D230:E230"/>
    <mergeCell ref="M230:Q230"/>
    <mergeCell ref="D231:E231"/>
    <mergeCell ref="M231:Q231"/>
    <mergeCell ref="M232:S232"/>
    <mergeCell ref="A232:L233"/>
    <mergeCell ref="M233:S233"/>
    <mergeCell ref="A234:W234"/>
    <mergeCell ref="D235:E235"/>
    <mergeCell ref="M235:Q235"/>
    <mergeCell ref="D236:E236"/>
    <mergeCell ref="M236:Q236"/>
    <mergeCell ref="D237:E237"/>
    <mergeCell ref="M237:Q237"/>
    <mergeCell ref="M238:S238"/>
    <mergeCell ref="A238:L239"/>
    <mergeCell ref="M239:S239"/>
    <mergeCell ref="A240:W240"/>
    <mergeCell ref="D241:E241"/>
    <mergeCell ref="M241:Q241"/>
    <mergeCell ref="D242:E242"/>
    <mergeCell ref="M242:Q242"/>
    <mergeCell ref="D243:E243"/>
    <mergeCell ref="M243:Q243"/>
    <mergeCell ref="M244:S244"/>
    <mergeCell ref="A244:L245"/>
    <mergeCell ref="M245:S245"/>
    <mergeCell ref="A246:W246"/>
    <mergeCell ref="A247:W247"/>
    <mergeCell ref="D248:E248"/>
    <mergeCell ref="M248:Q248"/>
    <mergeCell ref="D249:E249"/>
    <mergeCell ref="M249:Q249"/>
    <mergeCell ref="D250:E250"/>
    <mergeCell ref="M250:Q250"/>
    <mergeCell ref="D251:E251"/>
    <mergeCell ref="M251:Q251"/>
    <mergeCell ref="D252:E252"/>
    <mergeCell ref="M252:Q252"/>
    <mergeCell ref="D253:E253"/>
    <mergeCell ref="M253:Q253"/>
    <mergeCell ref="D254:E254"/>
    <mergeCell ref="M254:Q254"/>
    <mergeCell ref="M255:S255"/>
    <mergeCell ref="A255:L256"/>
    <mergeCell ref="M256:S256"/>
    <mergeCell ref="A257:W257"/>
    <mergeCell ref="D258:E258"/>
    <mergeCell ref="M258:Q258"/>
    <mergeCell ref="D259:E259"/>
    <mergeCell ref="M259:Q259"/>
    <mergeCell ref="M260:S260"/>
    <mergeCell ref="A260:L261"/>
    <mergeCell ref="M261:S261"/>
    <mergeCell ref="A262:W262"/>
    <mergeCell ref="A263:W263"/>
    <mergeCell ref="D264:E264"/>
    <mergeCell ref="M264:Q264"/>
    <mergeCell ref="D265:E265"/>
    <mergeCell ref="M265:Q265"/>
    <mergeCell ref="M266:S266"/>
    <mergeCell ref="A266:L267"/>
    <mergeCell ref="M267:S267"/>
    <mergeCell ref="A268:W268"/>
    <mergeCell ref="D269:E269"/>
    <mergeCell ref="M269:Q269"/>
    <mergeCell ref="D270:E270"/>
    <mergeCell ref="M270:Q270"/>
    <mergeCell ref="D271:E271"/>
    <mergeCell ref="M271:Q271"/>
    <mergeCell ref="M272:S272"/>
    <mergeCell ref="A272:L273"/>
    <mergeCell ref="M273:S273"/>
    <mergeCell ref="A274:W274"/>
    <mergeCell ref="D275:E275"/>
    <mergeCell ref="M275:Q275"/>
    <mergeCell ref="M276:S276"/>
    <mergeCell ref="A276:L277"/>
    <mergeCell ref="M277:S277"/>
    <mergeCell ref="A278:W278"/>
    <mergeCell ref="D279:E279"/>
    <mergeCell ref="M279:Q279"/>
    <mergeCell ref="M280:S280"/>
    <mergeCell ref="A280:L281"/>
    <mergeCell ref="M281:S281"/>
    <mergeCell ref="A282:W282"/>
    <mergeCell ref="A283:W283"/>
    <mergeCell ref="A284:W284"/>
    <mergeCell ref="D285:E285"/>
    <mergeCell ref="M285:Q285"/>
    <mergeCell ref="D286:E286"/>
    <mergeCell ref="M286:Q286"/>
    <mergeCell ref="D287:E287"/>
    <mergeCell ref="M287:Q287"/>
    <mergeCell ref="D288:E288"/>
    <mergeCell ref="M288:Q288"/>
    <mergeCell ref="D289:E289"/>
    <mergeCell ref="M289:Q289"/>
    <mergeCell ref="D290:E290"/>
    <mergeCell ref="M290:Q290"/>
    <mergeCell ref="D291:E291"/>
    <mergeCell ref="M291:Q291"/>
    <mergeCell ref="D292:E292"/>
    <mergeCell ref="M292:Q292"/>
    <mergeCell ref="M293:S293"/>
    <mergeCell ref="A293:L294"/>
    <mergeCell ref="M294:S294"/>
    <mergeCell ref="A295:W295"/>
    <mergeCell ref="D296:E296"/>
    <mergeCell ref="M296:Q296"/>
    <mergeCell ref="D297:E297"/>
    <mergeCell ref="M297:Q297"/>
    <mergeCell ref="M298:S298"/>
    <mergeCell ref="A298:L299"/>
    <mergeCell ref="M299:S299"/>
    <mergeCell ref="A300:W300"/>
    <mergeCell ref="D301:E301"/>
    <mergeCell ref="M301:Q301"/>
    <mergeCell ref="M302:S302"/>
    <mergeCell ref="A302:L303"/>
    <mergeCell ref="M303:S303"/>
    <mergeCell ref="A304:W304"/>
    <mergeCell ref="D305:E305"/>
    <mergeCell ref="M305:Q305"/>
    <mergeCell ref="M306:S306"/>
    <mergeCell ref="A306:L307"/>
    <mergeCell ref="M307:S307"/>
    <mergeCell ref="A308:W308"/>
    <mergeCell ref="A309:W309"/>
    <mergeCell ref="D310:E310"/>
    <mergeCell ref="M310:Q310"/>
    <mergeCell ref="D311:E311"/>
    <mergeCell ref="M311:Q311"/>
    <mergeCell ref="D312:E312"/>
    <mergeCell ref="M312:Q312"/>
    <mergeCell ref="D313:E313"/>
    <mergeCell ref="M313:Q313"/>
    <mergeCell ref="M314:S314"/>
    <mergeCell ref="A314:L315"/>
    <mergeCell ref="M315:S315"/>
    <mergeCell ref="A316:W316"/>
    <mergeCell ref="D317:E317"/>
    <mergeCell ref="M317:Q317"/>
    <mergeCell ref="D318:E318"/>
    <mergeCell ref="M318:Q318"/>
    <mergeCell ref="M319:S319"/>
    <mergeCell ref="A319:L320"/>
    <mergeCell ref="M320:S320"/>
    <mergeCell ref="A321:W321"/>
    <mergeCell ref="D322:E322"/>
    <mergeCell ref="M322:Q322"/>
    <mergeCell ref="D323:E323"/>
    <mergeCell ref="M323:Q323"/>
    <mergeCell ref="D324:E324"/>
    <mergeCell ref="M324:Q324"/>
    <mergeCell ref="D325:E325"/>
    <mergeCell ref="M325:Q325"/>
    <mergeCell ref="M326:S326"/>
    <mergeCell ref="A326:L327"/>
    <mergeCell ref="M327:S327"/>
    <mergeCell ref="A328:W328"/>
    <mergeCell ref="D329:E329"/>
    <mergeCell ref="M329:Q329"/>
    <mergeCell ref="M330:S330"/>
    <mergeCell ref="A330:L331"/>
    <mergeCell ref="M331:S331"/>
    <mergeCell ref="A332:W332"/>
    <mergeCell ref="A333:W333"/>
    <mergeCell ref="A334:W334"/>
    <mergeCell ref="D335:E335"/>
    <mergeCell ref="M335:Q335"/>
    <mergeCell ref="D336:E336"/>
    <mergeCell ref="M336:Q336"/>
    <mergeCell ref="M337:S337"/>
    <mergeCell ref="A337:L338"/>
    <mergeCell ref="M338:S338"/>
    <mergeCell ref="A339:W339"/>
    <mergeCell ref="D340:E340"/>
    <mergeCell ref="M340:Q340"/>
    <mergeCell ref="D341:E341"/>
    <mergeCell ref="M341:Q341"/>
    <mergeCell ref="D342:E342"/>
    <mergeCell ref="M342:Q342"/>
    <mergeCell ref="D343:E343"/>
    <mergeCell ref="M343:Q343"/>
    <mergeCell ref="D344:E344"/>
    <mergeCell ref="M344:Q344"/>
    <mergeCell ref="D345:E345"/>
    <mergeCell ref="M345:Q345"/>
    <mergeCell ref="D346:E346"/>
    <mergeCell ref="M346:Q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D351:E351"/>
    <mergeCell ref="M351:Q351"/>
    <mergeCell ref="D352:E352"/>
    <mergeCell ref="M352:Q352"/>
    <mergeCell ref="M353:S353"/>
    <mergeCell ref="A353:L354"/>
    <mergeCell ref="M354:S354"/>
    <mergeCell ref="A355:W355"/>
    <mergeCell ref="D356:E356"/>
    <mergeCell ref="M356:Q356"/>
    <mergeCell ref="D357:E357"/>
    <mergeCell ref="M357:Q357"/>
    <mergeCell ref="D358:E358"/>
    <mergeCell ref="M358:Q358"/>
    <mergeCell ref="D359:E359"/>
    <mergeCell ref="M359:Q359"/>
    <mergeCell ref="M360:S360"/>
    <mergeCell ref="A360:L361"/>
    <mergeCell ref="M361:S361"/>
    <mergeCell ref="A362:W362"/>
    <mergeCell ref="D363:E363"/>
    <mergeCell ref="M363:Q363"/>
    <mergeCell ref="M364:S364"/>
    <mergeCell ref="A364:L365"/>
    <mergeCell ref="M365:S365"/>
    <mergeCell ref="A366:W366"/>
    <mergeCell ref="D367:E367"/>
    <mergeCell ref="M367:Q367"/>
    <mergeCell ref="D368:E368"/>
    <mergeCell ref="M368:Q368"/>
    <mergeCell ref="D369:E369"/>
    <mergeCell ref="M369:Q369"/>
    <mergeCell ref="M370:S370"/>
    <mergeCell ref="A370:L371"/>
    <mergeCell ref="M371:S371"/>
    <mergeCell ref="A372:W372"/>
    <mergeCell ref="D373:E373"/>
    <mergeCell ref="M373:Q373"/>
    <mergeCell ref="M374:S374"/>
    <mergeCell ref="A374:L375"/>
    <mergeCell ref="M375:S375"/>
    <mergeCell ref="A376:W376"/>
    <mergeCell ref="A377:W377"/>
    <mergeCell ref="D378:E378"/>
    <mergeCell ref="M378:Q378"/>
    <mergeCell ref="D379:E379"/>
    <mergeCell ref="M379:Q379"/>
    <mergeCell ref="M380:S380"/>
    <mergeCell ref="A380:L381"/>
    <mergeCell ref="M381:S381"/>
    <mergeCell ref="A382:W382"/>
    <mergeCell ref="D383:E383"/>
    <mergeCell ref="M383:Q383"/>
    <mergeCell ref="D384:E384"/>
    <mergeCell ref="M384:Q384"/>
    <mergeCell ref="D385:E385"/>
    <mergeCell ref="M385:Q385"/>
    <mergeCell ref="D386:E386"/>
    <mergeCell ref="M386:Q386"/>
    <mergeCell ref="D387:E387"/>
    <mergeCell ref="M387:Q387"/>
    <mergeCell ref="D388:E388"/>
    <mergeCell ref="M388:Q388"/>
    <mergeCell ref="D389:E389"/>
    <mergeCell ref="M389:Q389"/>
    <mergeCell ref="M390:S390"/>
    <mergeCell ref="A390:L391"/>
    <mergeCell ref="M391:S391"/>
    <mergeCell ref="A392:W392"/>
    <mergeCell ref="D393:E393"/>
    <mergeCell ref="M393:Q393"/>
    <mergeCell ref="M394:S394"/>
    <mergeCell ref="A394:L395"/>
    <mergeCell ref="M395:S395"/>
    <mergeCell ref="A396:W396"/>
    <mergeCell ref="D397:E397"/>
    <mergeCell ref="M397:Q397"/>
    <mergeCell ref="M398:S398"/>
    <mergeCell ref="A398:L399"/>
    <mergeCell ref="M399:S399"/>
    <mergeCell ref="A400:W400"/>
    <mergeCell ref="A401:W401"/>
    <mergeCell ref="A402:W402"/>
    <mergeCell ref="D403:E403"/>
    <mergeCell ref="M403:Q403"/>
    <mergeCell ref="D404:E404"/>
    <mergeCell ref="M404:Q404"/>
    <mergeCell ref="D405:E405"/>
    <mergeCell ref="M405:Q405"/>
    <mergeCell ref="D406:E406"/>
    <mergeCell ref="M406:Q406"/>
    <mergeCell ref="D407:E407"/>
    <mergeCell ref="M407:Q407"/>
    <mergeCell ref="D408:E408"/>
    <mergeCell ref="M408:Q408"/>
    <mergeCell ref="D409:E409"/>
    <mergeCell ref="M409:Q409"/>
    <mergeCell ref="D410:E410"/>
    <mergeCell ref="M410:Q410"/>
    <mergeCell ref="D411:E411"/>
    <mergeCell ref="M411:Q411"/>
    <mergeCell ref="M412:S412"/>
    <mergeCell ref="A412:L413"/>
    <mergeCell ref="M413:S413"/>
    <mergeCell ref="A414:W414"/>
    <mergeCell ref="D415:E415"/>
    <mergeCell ref="M415:Q415"/>
    <mergeCell ref="D416:E416"/>
    <mergeCell ref="M416:Q416"/>
    <mergeCell ref="M417:S417"/>
    <mergeCell ref="A417:L418"/>
    <mergeCell ref="M418:S418"/>
    <mergeCell ref="A419:W419"/>
    <mergeCell ref="D420:E420"/>
    <mergeCell ref="M420:Q420"/>
    <mergeCell ref="D421:E421"/>
    <mergeCell ref="M421:Q421"/>
    <mergeCell ref="D422:E422"/>
    <mergeCell ref="M422:Q422"/>
    <mergeCell ref="D423:E423"/>
    <mergeCell ref="M423:Q423"/>
    <mergeCell ref="D424:E424"/>
    <mergeCell ref="M424:Q424"/>
    <mergeCell ref="D425:E425"/>
    <mergeCell ref="M425:Q425"/>
    <mergeCell ref="M426:S426"/>
    <mergeCell ref="A426:L427"/>
    <mergeCell ref="M427:S427"/>
    <mergeCell ref="A428:W428"/>
    <mergeCell ref="D429:E429"/>
    <mergeCell ref="M429:Q429"/>
    <mergeCell ref="D430:E430"/>
    <mergeCell ref="M430:Q430"/>
    <mergeCell ref="M431:S431"/>
    <mergeCell ref="A431:L432"/>
    <mergeCell ref="M432:S432"/>
    <mergeCell ref="A433:W433"/>
    <mergeCell ref="A434:W434"/>
    <mergeCell ref="A435:W435"/>
    <mergeCell ref="D436:E436"/>
    <mergeCell ref="M436:Q436"/>
    <mergeCell ref="D437:E437"/>
    <mergeCell ref="M437:Q437"/>
    <mergeCell ref="M438:S438"/>
    <mergeCell ref="A438:L439"/>
    <mergeCell ref="M439:S439"/>
    <mergeCell ref="A440:W440"/>
    <mergeCell ref="D441:E441"/>
    <mergeCell ref="M441:Q441"/>
    <mergeCell ref="D442:E442"/>
    <mergeCell ref="M442:Q442"/>
    <mergeCell ref="M443:S443"/>
    <mergeCell ref="A443:L444"/>
    <mergeCell ref="M444:S444"/>
    <mergeCell ref="A445:W445"/>
    <mergeCell ref="D446:E446"/>
    <mergeCell ref="M446:Q446"/>
    <mergeCell ref="D447:E447"/>
    <mergeCell ref="M447:Q447"/>
    <mergeCell ref="M448:S448"/>
    <mergeCell ref="A448:L449"/>
    <mergeCell ref="M449:S449"/>
    <mergeCell ref="A450:W450"/>
    <mergeCell ref="D451:E451"/>
    <mergeCell ref="M451:Q451"/>
    <mergeCell ref="D452:E452"/>
    <mergeCell ref="M452:Q452"/>
    <mergeCell ref="M453:S453"/>
    <mergeCell ref="A453:L454"/>
    <mergeCell ref="M454:S454"/>
    <mergeCell ref="A455:W455"/>
    <mergeCell ref="A456:W456"/>
    <mergeCell ref="D457:E457"/>
    <mergeCell ref="M457:Q457"/>
    <mergeCell ref="M458:S458"/>
    <mergeCell ref="A458:L459"/>
    <mergeCell ref="M459:S459"/>
    <mergeCell ref="M460:S460"/>
    <mergeCell ref="A460:L465"/>
    <mergeCell ref="M461:S461"/>
    <mergeCell ref="M462:S462"/>
    <mergeCell ref="M463:S463"/>
    <mergeCell ref="M464:S464"/>
    <mergeCell ref="M465:S465"/>
    <mergeCell ref="C467:F467"/>
    <mergeCell ref="G467:L467"/>
    <mergeCell ref="M467:N467"/>
    <mergeCell ref="O467:P467"/>
    <mergeCell ref="R467:S467"/>
    <mergeCell ref="A468:A469"/>
    <mergeCell ref="B468:B469"/>
    <mergeCell ref="C468:C469"/>
    <mergeCell ref="D468:D469"/>
    <mergeCell ref="E468:E469"/>
    <mergeCell ref="F468:F469"/>
    <mergeCell ref="G468:G469"/>
    <mergeCell ref="H468:H469"/>
    <mergeCell ref="I468:I469"/>
    <mergeCell ref="J468:J469"/>
    <mergeCell ref="K468:K469"/>
    <mergeCell ref="L468:L469"/>
    <mergeCell ref="M468:M469"/>
    <mergeCell ref="N468:N469"/>
    <mergeCell ref="O468:O469"/>
    <mergeCell ref="P468:P469"/>
    <mergeCell ref="Q468:Q469"/>
    <mergeCell ref="R468:R469"/>
    <mergeCell ref="S468:S469"/>
  </mergeCells>
  <conditionalFormatting sqref="A8:K8 M9:O13 A9:C10">
    <cfRule type="expression" priority="12" dxfId="0" stopIfTrue="1">
      <formula>IF($S$5="самовывоз",1,0)</formula>
    </cfRule>
  </conditionalFormatting>
  <conditionalFormatting sqref="H10:K10">
    <cfRule type="expression" priority="7" dxfId="0" stopIfTrue="1">
      <formula>IF($S$5="самовывоз",1,0)</formula>
    </cfRule>
  </conditionalFormatting>
  <conditionalFormatting sqref="J9:K9">
    <cfRule type="expression" priority="6" dxfId="0" stopIfTrue="1">
      <formula>IF($S$5="самовывоз",1,0)</formula>
    </cfRule>
  </conditionalFormatting>
  <conditionalFormatting sqref="H9:I9">
    <cfRule type="expression" priority="5" dxfId="0" stopIfTrue="1">
      <formula>IF($S$5="самовывоз",1,0)</formula>
    </cfRule>
  </conditionalFormatting>
  <conditionalFormatting sqref="F9:G9">
    <cfRule type="expression" priority="4" dxfId="0" stopIfTrue="1">
      <formula>IF($S$5="самовывоз",1,0)</formula>
    </cfRule>
  </conditionalFormatting>
  <conditionalFormatting sqref="F10:G10">
    <cfRule type="expression" priority="3" dxfId="0" stopIfTrue="1">
      <formula>IF($S$5="самовывоз",1,0)</formula>
    </cfRule>
  </conditionalFormatting>
  <conditionalFormatting sqref="D9:E9">
    <cfRule type="expression" priority="2" dxfId="0" stopIfTrue="1">
      <formula>IF($S$5="самовывоз",1,0)</formula>
    </cfRule>
  </conditionalFormatting>
  <conditionalFormatting sqref="D10:E10">
    <cfRule type="expression" priority="1" dxfId="0" stopIfTrue="1">
      <formula>IF($S$5="самовывоз",1,0)</formula>
    </cfRule>
  </conditionalFormatting>
  <dataValidations xWindow="697" yWindow="616" count="16">
    <dataValidation sqref="N6:N7" showErrorMessage="1" showInputMessage="1" allowBlank="1" prompt="День недели загрузки. Считается сам."/>
    <dataValidation sqref="U16:Y16" showErrorMessage="1" showInputMessage="1" allowBlank="1" type="list">
      <formula1>"80-60,60-40,40-10,70-10"</formula1>
    </dataValidation>
    <dataValidation sqref="N5:O5" showErrorMessage="1" showInputMessage="1" allowBlank="1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S6:S7" showErrorMessage="1" showInputMessage="1" allowBlank="1" prompt="Введите название вашей фирмы."/>
    <dataValidation sqref="S10" showErrorMessage="1" showInputMessage="1" allowBlank="1" prompt="Введите код клиента в системе Axapta"/>
    <dataValidation sqref="S11:T11" showErrorMessage="1" showInputMessage="1" allowBlank="1" prompt="Определите тип Вашего заказа" type="list">
      <formula1>"Основной заказ, Дозаказ, Замена"</formula1>
    </dataValidation>
    <dataValidation sqref="D6:K6" showErrorMessage="1" showInputMessage="1" allowBlank="1" type="list">
      <formula1>DeliveryAdressList</formula1>
    </dataValidation>
    <dataValidation sqref="S5:T5" showErrorMessage="1" showInputMessage="1" allowBlank="1" errorTitle="Внимание!" error="Выберите значение из списка_x000a_" prompt="Выберите значение из списка" type="list">
      <formula1>DeliveryMethodList</formula1>
    </dataValidation>
    <dataValidation sqref="D8:K8" showErrorMessage="1" showInputMessage="1" allowBlank="1" type="list">
      <formula1>CHOOSE($D$7,UnloadAdressList0001,UnloadAdressList0002,UnloadAdressList0003,UnloadAdressList0004,UnloadAdressList0005,UnloadAdressList0006,UnloadAdressList0007,UnloadAdressList0008)</formula1>
    </dataValidation>
    <dataValidation sqref="N8:O8" showErrorMessage="1" showInput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N10:O13" showErrorMessage="1" showInputMessage="1" allowBlank="1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N9:O9" showErrorMessage="1" showInputMessage="1" allowBlank="1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ErrorMessage="1" showInputMessage="1" allowBlank="1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ErrorMessage="1" showInputMessage="1" allowBlank="1" type="list">
      <formula1>IF(TypeProxy="Уполномоченное лицо",NumProxySet,null)</formula1>
    </dataValidation>
    <dataValidation sqref="W22:Y22" showErrorMessage="1" showInputMessage="1" allowBlank="1" error="укажите вес, кратный весу коробки" operator="equal"/>
    <dataValidation sqref="S12" showErrorMessage="1" showInputMessage="1" allowBlank="1" type="list">
      <formula1>DeliveryConditionsList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41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Крым Респ, Симферополь г, Данилова ул, 43В, лит В, офис 4,</t>
        </is>
      </c>
      <c r="C6" s="54" t="inlineStr">
        <is>
          <t>590704_1</t>
        </is>
      </c>
      <c r="D6" s="54" t="inlineStr">
        <is>
          <t>1</t>
        </is>
      </c>
      <c r="E6" s="54" t="inlineStr"/>
    </row>
    <row r="7">
      <c r="B7" s="54" t="inlineStr">
        <is>
          <t>ЛП, ООО, Орловская обл, Орёл г, Ливенская ул, д.78,</t>
        </is>
      </c>
      <c r="C7" s="54" t="inlineStr">
        <is>
          <t>590704_2</t>
        </is>
      </c>
      <c r="D7" s="54" t="inlineStr">
        <is>
          <t>2</t>
        </is>
      </c>
      <c r="E7" s="54" t="inlineStr"/>
    </row>
    <row r="8">
      <c r="B8" s="54" t="inlineStr">
        <is>
          <t>ЛП, ООО, (сеть) Крым Респ, Симферополь г, Данилова ул, д. 43В, лит В, офис 4,</t>
        </is>
      </c>
      <c r="C8" s="54" t="inlineStr">
        <is>
          <t>590704_3</t>
        </is>
      </c>
      <c r="D8" s="54" t="inlineStr">
        <is>
          <t>3</t>
        </is>
      </c>
      <c r="E8" s="54" t="inlineStr"/>
    </row>
    <row r="9">
      <c r="B9" s="54" t="inlineStr">
        <is>
          <t>ЛП, ООО, Крым Респ, Симферополь г, Данилова ул, д. 43В, лит В, офис 4</t>
        </is>
      </c>
      <c r="C9" s="54" t="inlineStr">
        <is>
          <t>590704_5</t>
        </is>
      </c>
      <c r="D9" s="54" t="inlineStr">
        <is>
          <t>4</t>
        </is>
      </c>
      <c r="E9" s="54" t="inlineStr"/>
    </row>
    <row r="10">
      <c r="B10" s="54" t="inlineStr">
        <is>
          <t>ЛП, ООО, 73009, Херсон г, Некрасова ул, 2,</t>
        </is>
      </c>
      <c r="C10" s="54" t="inlineStr">
        <is>
          <t>590704_4</t>
        </is>
      </c>
      <c r="D10" s="54" t="inlineStr">
        <is>
          <t>5</t>
        </is>
      </c>
      <c r="E10" s="54" t="inlineStr"/>
    </row>
    <row r="11">
      <c r="B11" s="54" t="inlineStr">
        <is>
          <t>ЛП, ООО, Краснодарский край, Сочи г, Строительный пер, д. 10А,</t>
        </is>
      </c>
      <c r="C11" s="54" t="inlineStr">
        <is>
          <t>590704_7</t>
        </is>
      </c>
      <c r="D11" s="54" t="inlineStr">
        <is>
          <t>6</t>
        </is>
      </c>
      <c r="E11" s="54" t="inlineStr"/>
    </row>
    <row r="12">
      <c r="B12" s="54" t="inlineStr">
        <is>
          <t>ЛП, ООО, Краснодарский край, Краснодар г, им Вишняковой проезд, д. 1/5,</t>
        </is>
      </c>
      <c r="C12" s="54" t="inlineStr">
        <is>
          <t>590704_8</t>
        </is>
      </c>
      <c r="D12" s="54" t="inlineStr">
        <is>
          <t>7</t>
        </is>
      </c>
      <c r="E12" s="54" t="inlineStr"/>
    </row>
    <row r="13">
      <c r="B13" s="54" t="inlineStr">
        <is>
          <t>ЛП, ООО, Ростовская обл, Ростов-на-Дону г, Фермерский пер, д. 66, литер Д,</t>
        </is>
      </c>
      <c r="C13" s="54" t="inlineStr">
        <is>
          <t>590704_9</t>
        </is>
      </c>
      <c r="D13" s="54" t="inlineStr">
        <is>
          <t>8</t>
        </is>
      </c>
      <c r="E13" s="54" t="inlineStr"/>
    </row>
    <row r="15">
      <c r="B15" s="54" t="inlineStr">
        <is>
          <t>295021Российская Федерация, Крым Респ, Симферополь г, Данилова ул, 43В, лит В, офис 4,</t>
        </is>
      </c>
      <c r="C15" s="54" t="inlineStr">
        <is>
          <t>590704_1</t>
        </is>
      </c>
      <c r="D15" s="54" t="inlineStr"/>
      <c r="E15" s="54" t="inlineStr"/>
    </row>
    <row r="17">
      <c r="B17" s="54" t="inlineStr">
        <is>
          <t>302004Российская Федерация, Орловская обл, Орёл г, Ливенская ул, д.78,</t>
        </is>
      </c>
      <c r="C17" s="54" t="inlineStr">
        <is>
          <t>590704_2</t>
        </is>
      </c>
      <c r="D17" s="54" t="inlineStr"/>
      <c r="E17" s="54" t="inlineStr"/>
    </row>
    <row r="19">
      <c r="B19" s="54" t="inlineStr">
        <is>
          <t>295021Российская Федерация, Крым Респ, Симферополь г, Данилова ул, д. 43В, лит В, офис 4,</t>
        </is>
      </c>
      <c r="C19" s="54" t="inlineStr">
        <is>
          <t>590704_3</t>
        </is>
      </c>
      <c r="D19" s="54" t="inlineStr"/>
      <c r="E19" s="54" t="inlineStr"/>
    </row>
    <row r="21">
      <c r="B21" s="54" t="inlineStr">
        <is>
          <t>295021Российская Федерация, Крым Респ, Симферополь г, Данилова ул, д. 43В, лит В, офис 4</t>
        </is>
      </c>
      <c r="C21" s="54" t="inlineStr">
        <is>
          <t>590704_5</t>
        </is>
      </c>
      <c r="D21" s="54" t="inlineStr"/>
      <c r="E21" s="54" t="inlineStr"/>
    </row>
    <row r="23">
      <c r="B23" s="54" t="inlineStr">
        <is>
          <t>Российская Федерация, Херсонская обл, Херсон г, Некрасова ул, д. 2,</t>
        </is>
      </c>
      <c r="C23" s="54" t="inlineStr">
        <is>
          <t>590704_4</t>
        </is>
      </c>
      <c r="D23" s="54" t="inlineStr"/>
      <c r="E23" s="54" t="inlineStr"/>
    </row>
    <row r="25">
      <c r="B25" s="54" t="inlineStr">
        <is>
          <t>354068Российская Федерация, Краснодарский край, Сочи г, Строительный пер, д. 10А,</t>
        </is>
      </c>
      <c r="C25" s="54" t="inlineStr">
        <is>
          <t>590704_7</t>
        </is>
      </c>
      <c r="D25" s="54" t="inlineStr"/>
      <c r="E25" s="54" t="inlineStr"/>
    </row>
    <row r="27">
      <c r="B27" s="54" t="inlineStr">
        <is>
          <t>350001Российская Федерация, Краснодарский край, Краснодар г, им Вишняковой проезд, д. 1/5,</t>
        </is>
      </c>
      <c r="C27" s="54" t="inlineStr">
        <is>
          <t>590704_8</t>
        </is>
      </c>
      <c r="D27" s="54" t="inlineStr"/>
      <c r="E27" s="54" t="inlineStr"/>
    </row>
    <row r="29">
      <c r="B29" s="54" t="inlineStr">
        <is>
          <t>344055Российская Федерация, Ростовская обл, Ростов-на-Дону г, Фермерский пер, д. 66, литер Д,</t>
        </is>
      </c>
      <c r="C29" s="54" t="inlineStr">
        <is>
          <t>590704_9</t>
        </is>
      </c>
      <c r="D29" s="54" t="inlineStr"/>
      <c r="E29" s="54" t="inlineStr"/>
    </row>
    <row r="31">
      <c r="B31" s="54" t="inlineStr">
        <is>
          <t>CFR</t>
        </is>
      </c>
      <c r="C31" s="54" t="inlineStr"/>
      <c r="D31" s="54" t="inlineStr"/>
      <c r="E31" s="54" t="inlineStr"/>
    </row>
    <row r="32">
      <c r="B32" s="54" t="inlineStr">
        <is>
          <t>CIF</t>
        </is>
      </c>
      <c r="C32" s="54" t="inlineStr"/>
      <c r="D32" s="54" t="inlineStr"/>
      <c r="E32" s="54" t="inlineStr"/>
    </row>
    <row r="33">
      <c r="B33" s="54" t="inlineStr">
        <is>
          <t>CIP</t>
        </is>
      </c>
      <c r="C33" s="54" t="inlineStr"/>
      <c r="D33" s="54" t="inlineStr"/>
      <c r="E33" s="54" t="inlineStr"/>
    </row>
    <row r="34">
      <c r="B34" s="54" t="inlineStr">
        <is>
          <t>CPT</t>
        </is>
      </c>
      <c r="C34" s="54" t="inlineStr"/>
      <c r="D34" s="54" t="inlineStr"/>
      <c r="E34" s="54" t="inlineStr"/>
    </row>
    <row r="35">
      <c r="B35" s="54" t="inlineStr">
        <is>
          <t>DAP</t>
        </is>
      </c>
      <c r="C35" s="54" t="inlineStr"/>
      <c r="D35" s="54" t="inlineStr"/>
      <c r="E35" s="54" t="inlineStr"/>
    </row>
    <row r="36">
      <c r="B36" s="54" t="inlineStr">
        <is>
          <t>DAT</t>
        </is>
      </c>
      <c r="C36" s="54" t="inlineStr"/>
      <c r="D36" s="54" t="inlineStr"/>
      <c r="E36" s="54" t="inlineStr"/>
    </row>
    <row r="37">
      <c r="B37" s="54" t="inlineStr">
        <is>
          <t>DDP</t>
        </is>
      </c>
      <c r="C37" s="54" t="inlineStr"/>
      <c r="D37" s="54" t="inlineStr"/>
      <c r="E37" s="54" t="inlineStr"/>
    </row>
    <row r="38">
      <c r="B38" s="54" t="inlineStr">
        <is>
          <t>EXW</t>
        </is>
      </c>
      <c r="C38" s="54" t="inlineStr"/>
      <c r="D38" s="54" t="inlineStr"/>
      <c r="E38" s="54" t="inlineStr"/>
    </row>
    <row r="39">
      <c r="B39" s="54" t="inlineStr">
        <is>
          <t>FAS</t>
        </is>
      </c>
      <c r="C39" s="54" t="inlineStr"/>
      <c r="D39" s="54" t="inlineStr"/>
      <c r="E39" s="54" t="inlineStr"/>
    </row>
    <row r="40">
      <c r="B40" s="54" t="inlineStr">
        <is>
          <t>FCA</t>
        </is>
      </c>
      <c r="C40" s="54" t="inlineStr"/>
      <c r="D40" s="54" t="inlineStr"/>
      <c r="E40" s="54" t="inlineStr"/>
    </row>
    <row r="41">
      <c r="B41" s="54" t="inlineStr">
        <is>
          <t>FOB</t>
        </is>
      </c>
      <c r="C41" s="54" t="inlineStr"/>
      <c r="D41" s="54" t="inlineStr"/>
      <c r="E41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4V6o9BEJHdd5XEPAhGgZog==" formatRows="1" sort="0" spinCount="100000" hashValue="18ArfzdgVvIjshgkCe4KKfMpGQp5f2JVfEevNyvFUbMIRW+cd5BuJXiFtfHy17DuVq+G0YfYoemxpNSy/wJ7Pg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2021-11-12T12:13:19Z</dcterms:created>
  <dcterms:modified xmlns:dcterms="http://purl.org/dc/terms/" xmlns:xsi="http://www.w3.org/2001/XMLSchema-instance" xsi:type="dcterms:W3CDTF">2023-09-08T06:12:42Z</dcterms:modified>
  <cp:lastModifiedBy>Admin</cp:lastModifiedBy>
</cp:coreProperties>
</file>