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9,23 Кр_Сч_РнД\"/>
    </mc:Choice>
  </mc:AlternateContent>
  <xr:revisionPtr revIDLastSave="0" documentId="13_ncr:1_{2AE01455-8615-496C-8F63-DB3DBCE847B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6" i="1" l="1"/>
  <c r="J12" i="1"/>
  <c r="U7" i="1" l="1"/>
  <c r="U8" i="1"/>
  <c r="U9" i="1"/>
  <c r="U10" i="1"/>
  <c r="U11" i="1"/>
  <c r="U12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5" i="1"/>
  <c r="U56" i="1"/>
  <c r="U57" i="1"/>
  <c r="U58" i="1"/>
  <c r="U59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6" i="1"/>
  <c r="O18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5" i="1"/>
  <c r="P15" i="1"/>
  <c r="O16" i="1"/>
  <c r="P16" i="1"/>
  <c r="O17" i="1"/>
  <c r="P17" i="1"/>
  <c r="P18" i="1"/>
  <c r="O19" i="1"/>
  <c r="P19" i="1"/>
  <c r="O20" i="1"/>
  <c r="P20" i="1"/>
  <c r="O21" i="1"/>
  <c r="P21" i="1"/>
  <c r="O22" i="1"/>
  <c r="P22" i="1"/>
  <c r="O24" i="1"/>
  <c r="P24" i="1"/>
  <c r="O25" i="1"/>
  <c r="P25" i="1"/>
  <c r="O26" i="1"/>
  <c r="P26" i="1"/>
  <c r="O27" i="1"/>
  <c r="P27" i="1"/>
  <c r="O28" i="1"/>
  <c r="P28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7" i="1"/>
  <c r="P77" i="1"/>
  <c r="O78" i="1"/>
  <c r="P78" i="1"/>
  <c r="O79" i="1"/>
  <c r="P79" i="1"/>
  <c r="O80" i="1"/>
  <c r="P80" i="1"/>
  <c r="O81" i="1"/>
  <c r="P81" i="1"/>
  <c r="P6" i="1"/>
  <c r="O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6" i="1"/>
  <c r="J50" i="1"/>
  <c r="O76" i="1"/>
  <c r="P12" i="1"/>
  <c r="J67" i="1"/>
  <c r="F51" i="1"/>
  <c r="F28" i="1"/>
  <c r="F50" i="1"/>
  <c r="F20" i="1"/>
  <c r="F71" i="1"/>
  <c r="E5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3" i="1"/>
  <c r="R64" i="1"/>
  <c r="R65" i="1"/>
  <c r="R66" i="1"/>
  <c r="R67" i="1"/>
  <c r="R68" i="1"/>
  <c r="R69" i="1"/>
  <c r="R70" i="1"/>
  <c r="R71" i="1"/>
  <c r="R73" i="1"/>
  <c r="R77" i="1"/>
  <c r="R78" i="1"/>
  <c r="R79" i="1"/>
  <c r="R80" i="1"/>
  <c r="R81" i="1"/>
  <c r="R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3" i="1"/>
  <c r="Q64" i="1"/>
  <c r="Q65" i="1"/>
  <c r="Q66" i="1"/>
  <c r="Q67" i="1"/>
  <c r="Q68" i="1"/>
  <c r="Q69" i="1"/>
  <c r="Q70" i="1"/>
  <c r="Q71" i="1"/>
  <c r="Q73" i="1"/>
  <c r="Q77" i="1"/>
  <c r="Q78" i="1"/>
  <c r="Q79" i="1"/>
  <c r="Q80" i="1"/>
  <c r="Q81" i="1"/>
  <c r="Q6" i="1"/>
  <c r="P76" i="1" l="1"/>
  <c r="O12" i="1"/>
  <c r="F5" i="1"/>
  <c r="T36" i="1"/>
  <c r="T40" i="1"/>
  <c r="T41" i="1"/>
  <c r="T43" i="1"/>
  <c r="T50" i="1"/>
  <c r="T73" i="1"/>
  <c r="G7" i="1"/>
  <c r="G8" i="1"/>
  <c r="G9" i="1"/>
  <c r="G10" i="1"/>
  <c r="G11" i="1"/>
  <c r="J11" i="1" s="1"/>
  <c r="G13" i="1"/>
  <c r="U13" i="1" s="1"/>
  <c r="G14" i="1"/>
  <c r="U14" i="1" s="1"/>
  <c r="G15" i="1"/>
  <c r="J15" i="1" s="1"/>
  <c r="G16" i="1"/>
  <c r="J16" i="1" s="1"/>
  <c r="G17" i="1"/>
  <c r="J17" i="1" s="1"/>
  <c r="G18" i="1"/>
  <c r="G19" i="1"/>
  <c r="G20" i="1"/>
  <c r="J20" i="1" s="1"/>
  <c r="G21" i="1"/>
  <c r="J21" i="1" s="1"/>
  <c r="G22" i="1"/>
  <c r="J22" i="1" s="1"/>
  <c r="G23" i="1"/>
  <c r="G24" i="1"/>
  <c r="J24" i="1" s="1"/>
  <c r="G25" i="1"/>
  <c r="J25" i="1" s="1"/>
  <c r="G26" i="1"/>
  <c r="J26" i="1" s="1"/>
  <c r="G27" i="1"/>
  <c r="J27" i="1" s="1"/>
  <c r="G28" i="1"/>
  <c r="J28" i="1" s="1"/>
  <c r="G29" i="1"/>
  <c r="G30" i="1"/>
  <c r="J30" i="1" s="1"/>
  <c r="G31" i="1"/>
  <c r="J31" i="1" s="1"/>
  <c r="G32" i="1"/>
  <c r="J32" i="1" s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J51" i="1" s="1"/>
  <c r="G52" i="1"/>
  <c r="G53" i="1"/>
  <c r="U53" i="1" s="1"/>
  <c r="G54" i="1"/>
  <c r="G55" i="1"/>
  <c r="J55" i="1" s="1"/>
  <c r="G56" i="1"/>
  <c r="G57" i="1"/>
  <c r="J57" i="1" s="1"/>
  <c r="G58" i="1"/>
  <c r="J58" i="1" s="1"/>
  <c r="G59" i="1"/>
  <c r="G60" i="1"/>
  <c r="U60" i="1" s="1"/>
  <c r="G61" i="1"/>
  <c r="U61" i="1" s="1"/>
  <c r="G63" i="1"/>
  <c r="G64" i="1"/>
  <c r="G65" i="1"/>
  <c r="G66" i="1"/>
  <c r="G67" i="1"/>
  <c r="G68" i="1"/>
  <c r="J68" i="1" s="1"/>
  <c r="G69" i="1"/>
  <c r="G70" i="1"/>
  <c r="G71" i="1"/>
  <c r="G73" i="1"/>
  <c r="G77" i="1"/>
  <c r="G78" i="1"/>
  <c r="G79" i="1"/>
  <c r="G80" i="1"/>
  <c r="G81" i="1"/>
  <c r="G6" i="1"/>
  <c r="V5" i="1"/>
  <c r="S5" i="1"/>
  <c r="R5" i="1"/>
  <c r="Q5" i="1"/>
  <c r="N5" i="1"/>
  <c r="M5" i="1"/>
  <c r="L5" i="1"/>
  <c r="K5" i="1"/>
  <c r="I5" i="1"/>
  <c r="H5" i="1"/>
  <c r="J52" i="1" l="1"/>
  <c r="U52" i="1"/>
  <c r="J29" i="1"/>
  <c r="U29" i="1"/>
  <c r="J23" i="1"/>
  <c r="U23" i="1"/>
  <c r="U5" i="1" s="1"/>
  <c r="J5" i="1"/>
  <c r="O52" i="1" l="1"/>
  <c r="P52" i="1"/>
  <c r="P29" i="1"/>
  <c r="O29" i="1"/>
  <c r="O23" i="1"/>
  <c r="P23" i="1"/>
</calcChain>
</file>

<file path=xl/sharedStrings.xml><?xml version="1.0" encoding="utf-8"?>
<sst xmlns="http://schemas.openxmlformats.org/spreadsheetml/2006/main" count="190" uniqueCount="103">
  <si>
    <t>Период: 11.09.2023 - 18.09.2023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</si>
  <si>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</si>
  <si>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</si>
  <si>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</si>
  <si>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</si>
  <si>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</si>
  <si>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</si>
  <si>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</si>
  <si>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</si>
  <si>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</si>
  <si>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</si>
  <si>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</si>
  <si>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</si>
  <si>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</si>
  <si>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</si>
  <si>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</si>
  <si>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</si>
  <si>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</si>
  <si>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</si>
  <si>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</si>
  <si>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</si>
  <si>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</si>
  <si>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</si>
  <si>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</si>
  <si>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</si>
  <si>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</si>
  <si>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</si>
  <si>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</si>
  <si>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</si>
  <si>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</si>
  <si>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</si>
  <si>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</si>
  <si>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</si>
  <si>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</si>
  <si>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</si>
  <si>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</si>
  <si>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</si>
  <si>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</si>
  <si>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</si>
  <si>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120  Паштет печеночный Копченый бекон со вкусом копченого бекона 0,1 кг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</si>
  <si>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</si>
  <si>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</si>
  <si>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</si>
  <si>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</si>
  <si>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</si>
  <si>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</si>
  <si>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</si>
  <si>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</si>
  <si>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</si>
  <si>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</si>
  <si>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</si>
  <si>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</si>
  <si>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</si>
  <si>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</si>
  <si>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</si>
  <si>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</si>
  <si>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</si>
  <si>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</si>
  <si>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</si>
  <si>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</si>
  <si>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</si>
  <si>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</si>
  <si>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</si>
  <si>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</si>
  <si>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</si>
  <si>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</si>
  <si>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</si>
  <si>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</si>
  <si>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</si>
  <si>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</si>
  <si>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</si>
  <si>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</si>
  <si>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</si>
  <si>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</si>
  <si>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</si>
  <si>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</si>
  <si>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</si>
  <si>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</si>
  <si>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</si>
  <si>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</si>
  <si>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</si>
  <si>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</si>
  <si>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358  Колбаса Молочная стародворская, амифлекс, 0,5кг, ТМ Стародворье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</si>
  <si>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</si>
  <si>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</si>
  <si>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</si>
  <si>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Баварские,  0.42кг,ПОКОМ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</si>
  <si>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</si>
  <si>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</si>
  <si>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</si>
  <si>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</si>
  <si>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 в дороге</t>
  </si>
  <si>
    <t>заказ</t>
  </si>
  <si>
    <t>ср</t>
  </si>
  <si>
    <t>кон ост</t>
  </si>
  <si>
    <t>ост без заказа</t>
  </si>
  <si>
    <t>ср 07,09</t>
  </si>
  <si>
    <t>коментарий</t>
  </si>
  <si>
    <t>вес</t>
  </si>
  <si>
    <t>ср 11,09</t>
  </si>
  <si>
    <t>заказ в шт</t>
  </si>
  <si>
    <t>необходимо увеличить продажи</t>
  </si>
  <si>
    <t>не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</si>
</sst>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u/>
      <sz val="1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0" borderId="0" xfId="0" applyNumberFormat="1" applyFont="1"/>
    <xf numFmtId="164" fontId="5" fillId="5" borderId="3" xfId="0" applyNumberFormat="1" applyFont="1" applyFill="1" applyBorder="1" applyAlignment="1">
      <alignment horizontal="right" vertical="top"/>
    </xf>
    <xf numFmtId="164" fontId="6" fillId="5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7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164" fontId="0" fillId="0" borderId="4" xfId="0" applyNumberFormat="1" applyBorder="1" applyAlignment="1"/>
    <xf numFmtId="164" fontId="3" fillId="0" borderId="1" xfId="0" applyNumberFormat="1" applyFont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7" fillId="6" borderId="1" xfId="0" applyNumberFormat="1" applyFont="1" applyFill="1" applyBorder="1" applyAlignment="1">
      <alignment horizontal="right" vertical="top"/>
    </xf>
    <xf numFmtId="164" fontId="0" fillId="0" borderId="0" xfId="0" applyNumberFormat="1" applyFill="1" applyAlignment="1"/>
    <xf numFmtId="164" fontId="4" fillId="0" borderId="0" xfId="0" applyNumberFormat="1" applyFont="1" applyAlignment="1"/>
    <xf numFmtId="164" fontId="4" fillId="0" borderId="4" xfId="0" applyNumberFormat="1" applyFont="1" applyBorder="1" applyAlignment="1"/>
    <xf numFmtId="164" fontId="4" fillId="6" borderId="4" xfId="0" applyNumberFormat="1" applyFont="1" applyFill="1" applyBorder="1" applyAlignment="1"/>
    <xf numFmtId="164" fontId="3" fillId="7" borderId="0" xfId="0" applyNumberFormat="1" applyFont="1" applyFill="1" applyAlignment="1"/>
    <xf numFmtId="164" fontId="0" fillId="6" borderId="0" xfId="0" applyNumberFormat="1" applyFill="1" applyAlignment="1"/>
    <xf numFmtId="164" fontId="0" fillId="7" borderId="2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86;&#1087;&#1090;%20&#1080;%20&#1050;&#1088;&#1072;&#1089;&#1085;&#1086;&#1076;&#1072;&#1088;/2023/09,23/11,09,23%20&#1050;&#1056;_&#1057;&#1063;/&#1076;&#1074;%2011,09,23%20&#1089;&#109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04.09.2023 - 11.09.2023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07,09</v>
          </cell>
          <cell r="R3" t="str">
            <v>ср</v>
          </cell>
          <cell r="S3" t="str">
            <v>ср</v>
          </cell>
          <cell r="T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6650.3940000000002</v>
          </cell>
          <cell r="F5">
            <v>7900.2879999999996</v>
          </cell>
          <cell r="H5">
            <v>0</v>
          </cell>
          <cell r="I5">
            <v>0</v>
          </cell>
          <cell r="J5">
            <v>10171</v>
          </cell>
          <cell r="K5">
            <v>0</v>
          </cell>
          <cell r="L5">
            <v>1330.0787999999998</v>
          </cell>
          <cell r="M5">
            <v>1729.1829999999993</v>
          </cell>
          <cell r="N5">
            <v>0</v>
          </cell>
          <cell r="Q5">
            <v>1483.9527999999998</v>
          </cell>
          <cell r="R5">
            <v>0</v>
          </cell>
          <cell r="S5">
            <v>0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8.1150000000000002</v>
          </cell>
          <cell r="D6">
            <v>10.65</v>
          </cell>
          <cell r="E6">
            <v>5.4</v>
          </cell>
          <cell r="F6">
            <v>12.065</v>
          </cell>
          <cell r="G6">
            <v>1</v>
          </cell>
          <cell r="J6">
            <v>10</v>
          </cell>
          <cell r="L6">
            <v>1.08</v>
          </cell>
          <cell r="O6">
            <v>20.430555555555554</v>
          </cell>
          <cell r="P6">
            <v>20.430555555555554</v>
          </cell>
          <cell r="Q6">
            <v>1.3519999999999999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52.363</v>
          </cell>
          <cell r="D7">
            <v>166.63</v>
          </cell>
          <cell r="E7">
            <v>84.405000000000001</v>
          </cell>
          <cell r="F7">
            <v>131.00399999999999</v>
          </cell>
          <cell r="G7">
            <v>1</v>
          </cell>
          <cell r="J7">
            <v>150</v>
          </cell>
          <cell r="L7">
            <v>16.881</v>
          </cell>
          <cell r="O7">
            <v>16.646170250577573</v>
          </cell>
          <cell r="P7">
            <v>16.646170250577573</v>
          </cell>
          <cell r="Q7">
            <v>24.5944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6.7910000000000004</v>
          </cell>
          <cell r="D8">
            <v>31.602</v>
          </cell>
          <cell r="E8">
            <v>20.553999999999998</v>
          </cell>
          <cell r="F8">
            <v>13.763</v>
          </cell>
          <cell r="G8">
            <v>1</v>
          </cell>
          <cell r="J8">
            <v>24</v>
          </cell>
          <cell r="L8">
            <v>4.1107999999999993</v>
          </cell>
          <cell r="M8">
            <v>11.566599999999994</v>
          </cell>
          <cell r="O8">
            <v>12</v>
          </cell>
          <cell r="P8">
            <v>9.1862897732801407</v>
          </cell>
          <cell r="Q8">
            <v>3.2734000000000001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8.1</v>
          </cell>
          <cell r="D9">
            <v>34.792000000000002</v>
          </cell>
          <cell r="E9">
            <v>12.037000000000001</v>
          </cell>
          <cell r="F9">
            <v>27.978000000000002</v>
          </cell>
          <cell r="G9">
            <v>1</v>
          </cell>
          <cell r="J9">
            <v>24</v>
          </cell>
          <cell r="L9">
            <v>2.4074</v>
          </cell>
          <cell r="O9">
            <v>21.590927972086067</v>
          </cell>
          <cell r="P9">
            <v>21.590927972086067</v>
          </cell>
          <cell r="Q9">
            <v>2.9584000000000001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29</v>
          </cell>
          <cell r="D10">
            <v>255</v>
          </cell>
          <cell r="E10">
            <v>66</v>
          </cell>
          <cell r="F10">
            <v>211</v>
          </cell>
          <cell r="G10">
            <v>0.5</v>
          </cell>
          <cell r="J10">
            <v>300</v>
          </cell>
          <cell r="L10">
            <v>13.2</v>
          </cell>
          <cell r="O10">
            <v>38.712121212121211</v>
          </cell>
          <cell r="P10">
            <v>38.712121212121211</v>
          </cell>
          <cell r="Q10">
            <v>19.2</v>
          </cell>
          <cell r="T10" t="str">
            <v>необходимо увеличить продажи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272</v>
          </cell>
          <cell r="D11">
            <v>944</v>
          </cell>
          <cell r="E11">
            <v>409</v>
          </cell>
          <cell r="F11">
            <v>661</v>
          </cell>
          <cell r="G11">
            <v>0.4</v>
          </cell>
          <cell r="J11">
            <v>800</v>
          </cell>
          <cell r="L11">
            <v>81.8</v>
          </cell>
          <cell r="O11">
            <v>17.860635696821518</v>
          </cell>
          <cell r="P11">
            <v>17.860635696821518</v>
          </cell>
          <cell r="Q11">
            <v>89.4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265</v>
          </cell>
          <cell r="D12">
            <v>732</v>
          </cell>
          <cell r="E12">
            <v>304</v>
          </cell>
          <cell r="F12">
            <v>684</v>
          </cell>
          <cell r="G12">
            <v>0.45</v>
          </cell>
          <cell r="J12">
            <v>500</v>
          </cell>
          <cell r="L12">
            <v>60.8</v>
          </cell>
          <cell r="O12">
            <v>19.473684210526315</v>
          </cell>
          <cell r="P12">
            <v>19.473684210526315</v>
          </cell>
          <cell r="Q12">
            <v>72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233</v>
          </cell>
          <cell r="D13">
            <v>733</v>
          </cell>
          <cell r="E13">
            <v>291</v>
          </cell>
          <cell r="F13">
            <v>661</v>
          </cell>
          <cell r="G13">
            <v>0.45</v>
          </cell>
          <cell r="J13">
            <v>500</v>
          </cell>
          <cell r="L13">
            <v>58.2</v>
          </cell>
          <cell r="O13">
            <v>19.948453608247423</v>
          </cell>
          <cell r="P13">
            <v>19.948453608247423</v>
          </cell>
          <cell r="Q13">
            <v>72.599999999999994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2</v>
          </cell>
          <cell r="D14">
            <v>2</v>
          </cell>
          <cell r="E14">
            <v>2</v>
          </cell>
          <cell r="F14">
            <v>1</v>
          </cell>
          <cell r="G14">
            <v>0.5</v>
          </cell>
          <cell r="J14">
            <v>21</v>
          </cell>
          <cell r="L14">
            <v>0.4</v>
          </cell>
          <cell r="O14">
            <v>55</v>
          </cell>
          <cell r="P14">
            <v>55</v>
          </cell>
          <cell r="Q14">
            <v>3.8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27</v>
          </cell>
          <cell r="D15">
            <v>111</v>
          </cell>
          <cell r="E15">
            <v>40</v>
          </cell>
          <cell r="F15">
            <v>89</v>
          </cell>
          <cell r="G15">
            <v>0.4</v>
          </cell>
          <cell r="L15">
            <v>8</v>
          </cell>
          <cell r="M15">
            <v>7</v>
          </cell>
          <cell r="O15">
            <v>12</v>
          </cell>
          <cell r="P15">
            <v>11.125</v>
          </cell>
          <cell r="Q15">
            <v>7.6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D16">
            <v>90</v>
          </cell>
          <cell r="E16">
            <v>57</v>
          </cell>
          <cell r="F16">
            <v>33</v>
          </cell>
          <cell r="G16">
            <v>0.17</v>
          </cell>
          <cell r="L16">
            <v>11.4</v>
          </cell>
          <cell r="M16">
            <v>103.80000000000001</v>
          </cell>
          <cell r="O16">
            <v>12</v>
          </cell>
          <cell r="P16">
            <v>2.8947368421052633</v>
          </cell>
          <cell r="Q16">
            <v>6.4</v>
          </cell>
        </row>
        <row r="17">
          <cell r="A17" t="str">
            <v xml:space="preserve"> 055  Колбаса вареная Филейбургская, 0,45 кг, БАВАРУШКА ПОКОМ</v>
          </cell>
          <cell r="B17" t="str">
            <v>шт</v>
          </cell>
          <cell r="C17">
            <v>15</v>
          </cell>
          <cell r="D17">
            <v>2</v>
          </cell>
          <cell r="E17">
            <v>2</v>
          </cell>
          <cell r="F17">
            <v>11</v>
          </cell>
          <cell r="G17">
            <v>0.45</v>
          </cell>
          <cell r="J17">
            <v>41.999999999999993</v>
          </cell>
          <cell r="L17">
            <v>0.4</v>
          </cell>
          <cell r="O17">
            <v>132.49999999999997</v>
          </cell>
          <cell r="P17">
            <v>132.49999999999997</v>
          </cell>
          <cell r="Q17">
            <v>3</v>
          </cell>
          <cell r="T17" t="str">
            <v>необходимо увеличить продажи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B18" t="str">
            <v>шт</v>
          </cell>
          <cell r="C18">
            <v>-3</v>
          </cell>
          <cell r="E18">
            <v>-2</v>
          </cell>
          <cell r="F18">
            <v>-3</v>
          </cell>
          <cell r="G18">
            <v>0.4</v>
          </cell>
          <cell r="L18">
            <v>-0.4</v>
          </cell>
          <cell r="O18">
            <v>7.5</v>
          </cell>
          <cell r="P18">
            <v>7.5</v>
          </cell>
          <cell r="Q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24</v>
          </cell>
          <cell r="D19">
            <v>175</v>
          </cell>
          <cell r="E19">
            <v>47</v>
          </cell>
          <cell r="F19">
            <v>-2</v>
          </cell>
          <cell r="G19">
            <v>0.5</v>
          </cell>
          <cell r="J19">
            <v>150</v>
          </cell>
          <cell r="L19">
            <v>9.4</v>
          </cell>
          <cell r="O19">
            <v>15.74468085106383</v>
          </cell>
          <cell r="P19">
            <v>15.74468085106383</v>
          </cell>
          <cell r="Q19">
            <v>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24</v>
          </cell>
          <cell r="D20">
            <v>83</v>
          </cell>
          <cell r="E20">
            <v>52</v>
          </cell>
          <cell r="F20">
            <v>36</v>
          </cell>
          <cell r="G20">
            <v>0.3</v>
          </cell>
          <cell r="J20">
            <v>60</v>
          </cell>
          <cell r="L20">
            <v>10.4</v>
          </cell>
          <cell r="M20">
            <v>28.800000000000011</v>
          </cell>
          <cell r="O20">
            <v>12</v>
          </cell>
          <cell r="P20">
            <v>9.2307692307692299</v>
          </cell>
          <cell r="Q20">
            <v>10.8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D21">
            <v>101</v>
          </cell>
          <cell r="E21">
            <v>15</v>
          </cell>
          <cell r="F21">
            <v>20</v>
          </cell>
          <cell r="G21">
            <v>0.5</v>
          </cell>
          <cell r="J21">
            <v>100</v>
          </cell>
          <cell r="L21">
            <v>3</v>
          </cell>
          <cell r="O21">
            <v>40</v>
          </cell>
          <cell r="P21">
            <v>40</v>
          </cell>
          <cell r="Q21">
            <v>1.4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36</v>
          </cell>
          <cell r="D22">
            <v>28</v>
          </cell>
          <cell r="E22">
            <v>36</v>
          </cell>
          <cell r="G22">
            <v>0.35</v>
          </cell>
          <cell r="J22">
            <v>200</v>
          </cell>
          <cell r="L22">
            <v>7.2</v>
          </cell>
          <cell r="O22">
            <v>27.777777777777779</v>
          </cell>
          <cell r="P22">
            <v>27.777777777777779</v>
          </cell>
          <cell r="Q22">
            <v>20.2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30</v>
          </cell>
          <cell r="D23">
            <v>101</v>
          </cell>
          <cell r="E23">
            <v>78</v>
          </cell>
          <cell r="F23">
            <v>53</v>
          </cell>
          <cell r="G23">
            <v>0.17</v>
          </cell>
          <cell r="L23">
            <v>15.6</v>
          </cell>
          <cell r="M23">
            <v>134.19999999999999</v>
          </cell>
          <cell r="O23">
            <v>12</v>
          </cell>
          <cell r="P23">
            <v>3.3974358974358974</v>
          </cell>
          <cell r="Q23">
            <v>15</v>
          </cell>
        </row>
        <row r="24">
          <cell r="A24" t="str">
            <v xml:space="preserve"> 084  Колбаски Баварские копченые, NDX в МГС 0,28 кг, ТМ Стародворье  ПОКОМ</v>
          </cell>
          <cell r="B24" t="str">
            <v>шт</v>
          </cell>
          <cell r="C24">
            <v>66</v>
          </cell>
          <cell r="D24">
            <v>125</v>
          </cell>
          <cell r="E24">
            <v>67</v>
          </cell>
          <cell r="F24">
            <v>108</v>
          </cell>
          <cell r="G24">
            <v>0.28000000000000003</v>
          </cell>
          <cell r="J24">
            <v>120</v>
          </cell>
          <cell r="L24">
            <v>13.4</v>
          </cell>
          <cell r="O24">
            <v>17.014925373134329</v>
          </cell>
          <cell r="P24">
            <v>17.014925373134329</v>
          </cell>
          <cell r="Q24">
            <v>18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</v>
          </cell>
          <cell r="D25">
            <v>6</v>
          </cell>
          <cell r="E25">
            <v>6</v>
          </cell>
          <cell r="F25">
            <v>-4</v>
          </cell>
          <cell r="G25">
            <v>0.38</v>
          </cell>
          <cell r="J25">
            <v>42</v>
          </cell>
          <cell r="L25">
            <v>1.2</v>
          </cell>
          <cell r="O25">
            <v>31.666666666666668</v>
          </cell>
          <cell r="P25">
            <v>31.666666666666668</v>
          </cell>
          <cell r="Q25">
            <v>5.8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21</v>
          </cell>
          <cell r="D26">
            <v>133</v>
          </cell>
          <cell r="E26">
            <v>109</v>
          </cell>
          <cell r="F26">
            <v>36</v>
          </cell>
          <cell r="G26">
            <v>0.42</v>
          </cell>
          <cell r="J26">
            <v>120</v>
          </cell>
          <cell r="L26">
            <v>21.8</v>
          </cell>
          <cell r="M26">
            <v>105.60000000000002</v>
          </cell>
          <cell r="O26">
            <v>12</v>
          </cell>
          <cell r="P26">
            <v>7.1559633027522933</v>
          </cell>
          <cell r="Q26">
            <v>22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633</v>
          </cell>
          <cell r="D27">
            <v>784</v>
          </cell>
          <cell r="E27">
            <v>361</v>
          </cell>
          <cell r="F27">
            <v>305</v>
          </cell>
          <cell r="G27">
            <v>0.42</v>
          </cell>
          <cell r="J27">
            <v>600</v>
          </cell>
          <cell r="L27">
            <v>72.2</v>
          </cell>
          <cell r="O27">
            <v>12.534626038781163</v>
          </cell>
          <cell r="P27">
            <v>12.534626038781163</v>
          </cell>
          <cell r="Q27">
            <v>76</v>
          </cell>
        </row>
        <row r="28">
          <cell r="A28" t="str">
            <v xml:space="preserve"> 102  Сосиски Ганноверские, амилюкс МГС, 0.6кг, ТМ Стародворье    ПОКОМ</v>
          </cell>
          <cell r="B28" t="str">
            <v>шт</v>
          </cell>
          <cell r="C28">
            <v>40</v>
          </cell>
          <cell r="D28">
            <v>252</v>
          </cell>
          <cell r="E28">
            <v>92</v>
          </cell>
          <cell r="F28">
            <v>194</v>
          </cell>
          <cell r="G28">
            <v>0.6</v>
          </cell>
          <cell r="J28">
            <v>240</v>
          </cell>
          <cell r="L28">
            <v>18.399999999999999</v>
          </cell>
          <cell r="O28">
            <v>23.586956521739133</v>
          </cell>
          <cell r="P28">
            <v>23.586956521739133</v>
          </cell>
          <cell r="Q28">
            <v>22</v>
          </cell>
          <cell r="T28" t="str">
            <v>необходимо увеличить продажи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C29">
            <v>34</v>
          </cell>
          <cell r="D29">
            <v>1</v>
          </cell>
          <cell r="E29">
            <v>4</v>
          </cell>
          <cell r="F29">
            <v>4</v>
          </cell>
          <cell r="G29">
            <v>0.35</v>
          </cell>
          <cell r="J29">
            <v>120.00000000000001</v>
          </cell>
          <cell r="L29">
            <v>0.8</v>
          </cell>
          <cell r="O29">
            <v>155</v>
          </cell>
          <cell r="P29">
            <v>155</v>
          </cell>
          <cell r="Q29">
            <v>5.4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35</v>
          </cell>
          <cell r="E30">
            <v>14</v>
          </cell>
          <cell r="F30">
            <v>5</v>
          </cell>
          <cell r="G30">
            <v>0.35</v>
          </cell>
          <cell r="J30">
            <v>120.00000000000001</v>
          </cell>
          <cell r="L30">
            <v>2.8</v>
          </cell>
          <cell r="O30">
            <v>44.642857142857153</v>
          </cell>
          <cell r="P30">
            <v>44.642857142857153</v>
          </cell>
          <cell r="Q30">
            <v>6.6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26</v>
          </cell>
          <cell r="D31">
            <v>4</v>
          </cell>
          <cell r="E31">
            <v>18</v>
          </cell>
          <cell r="G31">
            <v>0.35</v>
          </cell>
          <cell r="J31">
            <v>120.00000000000001</v>
          </cell>
          <cell r="L31">
            <v>3.6</v>
          </cell>
          <cell r="O31">
            <v>33.333333333333336</v>
          </cell>
          <cell r="P31">
            <v>33.333333333333336</v>
          </cell>
          <cell r="Q31">
            <v>10.199999999999999</v>
          </cell>
        </row>
        <row r="32">
          <cell r="A32" t="str">
            <v xml:space="preserve"> 120  Паштет печеночный Копченый бекон со вкусом копченого бекона 0,1 кг ПОКОМ</v>
          </cell>
          <cell r="B32" t="str">
            <v>шт</v>
          </cell>
          <cell r="C32">
            <v>17</v>
          </cell>
          <cell r="F32">
            <v>17</v>
          </cell>
          <cell r="G32">
            <v>0.1</v>
          </cell>
          <cell r="L32">
            <v>0</v>
          </cell>
          <cell r="O32" t="e">
            <v>#DIV/0!</v>
          </cell>
          <cell r="P32" t="e">
            <v>#DIV/0!</v>
          </cell>
          <cell r="Q32">
            <v>0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443.24700000000001</v>
          </cell>
          <cell r="D33">
            <v>312.72000000000003</v>
          </cell>
          <cell r="E33">
            <v>304.72500000000002</v>
          </cell>
          <cell r="F33">
            <v>441.262</v>
          </cell>
          <cell r="G33">
            <v>1</v>
          </cell>
          <cell r="J33">
            <v>300</v>
          </cell>
          <cell r="L33">
            <v>60.945000000000007</v>
          </cell>
          <cell r="O33">
            <v>12.162802526868486</v>
          </cell>
          <cell r="P33">
            <v>12.162802526868486</v>
          </cell>
          <cell r="Q33">
            <v>41.594799999999999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423.4</v>
          </cell>
          <cell r="D34">
            <v>564.375</v>
          </cell>
          <cell r="E34">
            <v>452.90499999999997</v>
          </cell>
          <cell r="F34">
            <v>422.77499999999998</v>
          </cell>
          <cell r="G34">
            <v>1</v>
          </cell>
          <cell r="J34">
            <v>500</v>
          </cell>
          <cell r="L34">
            <v>90.580999999999989</v>
          </cell>
          <cell r="M34">
            <v>164.19699999999978</v>
          </cell>
          <cell r="O34">
            <v>11.999999999999998</v>
          </cell>
          <cell r="P34">
            <v>10.187290932977115</v>
          </cell>
          <cell r="Q34">
            <v>131.22499999999999</v>
          </cell>
        </row>
        <row r="35">
          <cell r="A35" t="str">
            <v xml:space="preserve"> 222  Колбаса Докторская стародворская, ВЕС, ВсхЗв   ПОКОМ</v>
          </cell>
          <cell r="B35" t="str">
            <v>кг</v>
          </cell>
          <cell r="C35">
            <v>-5.56</v>
          </cell>
          <cell r="F35">
            <v>-5.56</v>
          </cell>
          <cell r="G35">
            <v>0</v>
          </cell>
          <cell r="L35">
            <v>0</v>
          </cell>
          <cell r="M35">
            <v>5.56</v>
          </cell>
          <cell r="O35" t="e">
            <v>#DIV/0!</v>
          </cell>
          <cell r="P35" t="e">
            <v>#DIV/0!</v>
          </cell>
          <cell r="Q35">
            <v>0</v>
          </cell>
          <cell r="T35" t="str">
            <v>не в матрице</v>
          </cell>
        </row>
        <row r="36">
          <cell r="A36" t="str">
            <v xml:space="preserve"> 226  Колбаса Княжеская, с/к белков.обол в термоусад. пакете, ВЕС, ТМ Стародворье ПОКОМ</v>
          </cell>
          <cell r="B36" t="str">
            <v>кг</v>
          </cell>
          <cell r="C36">
            <v>6.4269999999999996</v>
          </cell>
          <cell r="E36">
            <v>1.1299999999999999</v>
          </cell>
          <cell r="F36">
            <v>5.2969999999999997</v>
          </cell>
          <cell r="G36">
            <v>1</v>
          </cell>
          <cell r="L36">
            <v>0.22599999999999998</v>
          </cell>
          <cell r="O36">
            <v>23.438053097345133</v>
          </cell>
          <cell r="P36">
            <v>23.438053097345133</v>
          </cell>
          <cell r="Q36">
            <v>0.15140000000000001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D37">
            <v>75.325000000000003</v>
          </cell>
          <cell r="E37">
            <v>60.411999999999999</v>
          </cell>
          <cell r="F37">
            <v>10.42</v>
          </cell>
          <cell r="G37">
            <v>1</v>
          </cell>
          <cell r="J37">
            <v>45</v>
          </cell>
          <cell r="L37">
            <v>12.0824</v>
          </cell>
          <cell r="M37">
            <v>89.56880000000001</v>
          </cell>
          <cell r="O37">
            <v>12.000000000000002</v>
          </cell>
          <cell r="P37">
            <v>4.5868370522412771</v>
          </cell>
          <cell r="Q37">
            <v>8.4304000000000006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5.35</v>
          </cell>
          <cell r="D38">
            <v>51.28</v>
          </cell>
          <cell r="E38">
            <v>48.68</v>
          </cell>
          <cell r="F38">
            <v>5.39</v>
          </cell>
          <cell r="G38">
            <v>1</v>
          </cell>
          <cell r="J38">
            <v>60</v>
          </cell>
          <cell r="L38">
            <v>9.7360000000000007</v>
          </cell>
          <cell r="M38">
            <v>51.442000000000007</v>
          </cell>
          <cell r="O38">
            <v>12</v>
          </cell>
          <cell r="P38">
            <v>6.7163105998356611</v>
          </cell>
          <cell r="Q38">
            <v>18.056000000000001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5.2690000000000001</v>
          </cell>
          <cell r="E39">
            <v>5.2590000000000003</v>
          </cell>
          <cell r="F39">
            <v>0.01</v>
          </cell>
          <cell r="G39">
            <v>0</v>
          </cell>
          <cell r="L39">
            <v>1.0518000000000001</v>
          </cell>
          <cell r="M39">
            <v>8.4044000000000008</v>
          </cell>
          <cell r="O39">
            <v>8</v>
          </cell>
          <cell r="P39">
            <v>9.5075109336375738E-3</v>
          </cell>
          <cell r="Q39">
            <v>0.52739999999999998</v>
          </cell>
          <cell r="T39" t="str">
            <v>не в матрице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0.88200000000000001</v>
          </cell>
          <cell r="F40">
            <v>0.88200000000000001</v>
          </cell>
          <cell r="G40">
            <v>0</v>
          </cell>
          <cell r="L40">
            <v>0</v>
          </cell>
          <cell r="O40" t="e">
            <v>#DIV/0!</v>
          </cell>
          <cell r="P40" t="e">
            <v>#DIV/0!</v>
          </cell>
          <cell r="Q40">
            <v>0</v>
          </cell>
          <cell r="T40" t="str">
            <v>не в матрице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12.195</v>
          </cell>
          <cell r="E41">
            <v>2.9260000000000002</v>
          </cell>
          <cell r="F41">
            <v>9.2690000000000001</v>
          </cell>
          <cell r="G41">
            <v>1</v>
          </cell>
          <cell r="L41">
            <v>0.58520000000000005</v>
          </cell>
          <cell r="O41">
            <v>15.839029391660969</v>
          </cell>
          <cell r="P41">
            <v>15.839029391660969</v>
          </cell>
          <cell r="Q41">
            <v>0.2064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4.5419999999999998</v>
          </cell>
          <cell r="E42">
            <v>4.3769999999999998</v>
          </cell>
          <cell r="F42">
            <v>0.16500000000000001</v>
          </cell>
          <cell r="G42">
            <v>0</v>
          </cell>
          <cell r="L42">
            <v>0.87539999999999996</v>
          </cell>
          <cell r="M42">
            <v>6.8381999999999996</v>
          </cell>
          <cell r="O42">
            <v>8</v>
          </cell>
          <cell r="P42">
            <v>0.18848526387936945</v>
          </cell>
          <cell r="Q42">
            <v>0.63600000000000001</v>
          </cell>
          <cell r="T42" t="str">
            <v>не в матрице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6.2569999999999997</v>
          </cell>
          <cell r="E43">
            <v>5.5510000000000002</v>
          </cell>
          <cell r="G43">
            <v>1</v>
          </cell>
          <cell r="L43">
            <v>1.1102000000000001</v>
          </cell>
          <cell r="M43">
            <v>8.8816000000000006</v>
          </cell>
          <cell r="O43">
            <v>8</v>
          </cell>
          <cell r="P43">
            <v>0</v>
          </cell>
          <cell r="Q43">
            <v>2.9148000000000001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305.49099999999999</v>
          </cell>
          <cell r="D44">
            <v>0.58699999999999997</v>
          </cell>
          <cell r="E44">
            <v>178.73699999999999</v>
          </cell>
          <cell r="F44">
            <v>79.286000000000001</v>
          </cell>
          <cell r="G44">
            <v>1</v>
          </cell>
          <cell r="L44">
            <v>35.747399999999999</v>
          </cell>
          <cell r="M44">
            <v>349.68279999999999</v>
          </cell>
          <cell r="O44">
            <v>12</v>
          </cell>
          <cell r="P44">
            <v>2.2179515153549629</v>
          </cell>
          <cell r="Q44">
            <v>50.455399999999997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45.316000000000003</v>
          </cell>
          <cell r="D45">
            <v>3.8439999999999999</v>
          </cell>
          <cell r="E45">
            <v>20.77</v>
          </cell>
          <cell r="G45">
            <v>1</v>
          </cell>
          <cell r="L45">
            <v>4.1539999999999999</v>
          </cell>
          <cell r="M45">
            <v>33.231999999999999</v>
          </cell>
          <cell r="O45">
            <v>8</v>
          </cell>
          <cell r="P45">
            <v>0</v>
          </cell>
          <cell r="Q45">
            <v>3.3968000000000003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-15.958</v>
          </cell>
          <cell r="D46">
            <v>15.958</v>
          </cell>
          <cell r="G46">
            <v>1</v>
          </cell>
          <cell r="L46">
            <v>0</v>
          </cell>
          <cell r="M46">
            <v>0</v>
          </cell>
          <cell r="O46" t="e">
            <v>#DIV/0!</v>
          </cell>
          <cell r="P46" t="e">
            <v>#DIV/0!</v>
          </cell>
          <cell r="Q46">
            <v>0</v>
          </cell>
        </row>
        <row r="47">
          <cell r="A47" t="str">
            <v xml:space="preserve"> 249  Сардельки Сочные, ПОКОМ</v>
          </cell>
          <cell r="B47" t="str">
            <v>кг</v>
          </cell>
          <cell r="C47">
            <v>15.907999999999999</v>
          </cell>
          <cell r="G47">
            <v>0</v>
          </cell>
          <cell r="L47">
            <v>0</v>
          </cell>
          <cell r="M47">
            <v>0</v>
          </cell>
          <cell r="O47" t="e">
            <v>#DIV/0!</v>
          </cell>
          <cell r="P47" t="e">
            <v>#DIV/0!</v>
          </cell>
          <cell r="Q47">
            <v>0</v>
          </cell>
          <cell r="T47" t="str">
            <v>не в матрице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6.1890000000000001</v>
          </cell>
          <cell r="D48">
            <v>33.584000000000003</v>
          </cell>
          <cell r="E48">
            <v>7.593</v>
          </cell>
          <cell r="F48">
            <v>29.015000000000001</v>
          </cell>
          <cell r="G48">
            <v>1</v>
          </cell>
          <cell r="L48">
            <v>1.5185999999999999</v>
          </cell>
          <cell r="O48">
            <v>19.106413802186225</v>
          </cell>
          <cell r="P48">
            <v>19.106413802186225</v>
          </cell>
          <cell r="Q48">
            <v>1.4704000000000002</v>
          </cell>
        </row>
        <row r="49">
          <cell r="A49" t="str">
            <v xml:space="preserve"> 251  Сосиски Баварские, ВЕС.  ПОКОМ</v>
          </cell>
          <cell r="B49" t="str">
            <v>кг</v>
          </cell>
          <cell r="C49">
            <v>17.207999999999998</v>
          </cell>
          <cell r="E49">
            <v>7.0410000000000004</v>
          </cell>
          <cell r="F49">
            <v>9.1669999999999998</v>
          </cell>
          <cell r="G49">
            <v>1</v>
          </cell>
          <cell r="L49">
            <v>1.4082000000000001</v>
          </cell>
          <cell r="M49">
            <v>7.7314000000000025</v>
          </cell>
          <cell r="O49">
            <v>12</v>
          </cell>
          <cell r="P49">
            <v>6.5097287317142447</v>
          </cell>
          <cell r="Q49">
            <v>1.6705999999999999</v>
          </cell>
        </row>
        <row r="50">
          <cell r="A50" t="str">
            <v xml:space="preserve"> 253  Сосиски Ганноверские   ПОКОМ</v>
          </cell>
          <cell r="B50" t="str">
            <v>кг</v>
          </cell>
          <cell r="C50">
            <v>77.206000000000003</v>
          </cell>
          <cell r="D50">
            <v>313.18799999999999</v>
          </cell>
          <cell r="E50">
            <v>147.839</v>
          </cell>
          <cell r="F50">
            <v>199.69499999999999</v>
          </cell>
          <cell r="G50">
            <v>1</v>
          </cell>
          <cell r="J50">
            <v>200</v>
          </cell>
          <cell r="L50">
            <v>29.567799999999998</v>
          </cell>
          <cell r="O50">
            <v>13.517914758622556</v>
          </cell>
          <cell r="P50">
            <v>13.517914758622556</v>
          </cell>
          <cell r="Q50">
            <v>50.252800000000001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-4.0000000000000001E-3</v>
          </cell>
          <cell r="D51">
            <v>30.981000000000002</v>
          </cell>
          <cell r="E51">
            <v>21.541</v>
          </cell>
          <cell r="F51">
            <v>9.2759999999999998</v>
          </cell>
          <cell r="G51">
            <v>1</v>
          </cell>
          <cell r="J51">
            <v>24</v>
          </cell>
          <cell r="L51">
            <v>4.3082000000000003</v>
          </cell>
          <cell r="M51">
            <v>18.42240000000001</v>
          </cell>
          <cell r="O51">
            <v>12</v>
          </cell>
          <cell r="P51">
            <v>7.7238754003992369</v>
          </cell>
          <cell r="Q51">
            <v>2.0314000000000001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0.72099999999999997</v>
          </cell>
          <cell r="G52">
            <v>0</v>
          </cell>
          <cell r="L52">
            <v>0</v>
          </cell>
          <cell r="M52">
            <v>0</v>
          </cell>
          <cell r="O52" t="e">
            <v>#DIV/0!</v>
          </cell>
          <cell r="P52" t="e">
            <v>#DIV/0!</v>
          </cell>
          <cell r="Q52">
            <v>0</v>
          </cell>
          <cell r="T52" t="str">
            <v>не в матрице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-4.0000000000000001E-3</v>
          </cell>
          <cell r="D53">
            <v>4.0000000000000001E-3</v>
          </cell>
          <cell r="G53">
            <v>0</v>
          </cell>
          <cell r="L53">
            <v>0</v>
          </cell>
          <cell r="M53">
            <v>0</v>
          </cell>
          <cell r="O53" t="e">
            <v>#DIV/0!</v>
          </cell>
          <cell r="P53" t="e">
            <v>#DIV/0!</v>
          </cell>
          <cell r="Q53">
            <v>0</v>
          </cell>
          <cell r="T53" t="str">
            <v>не в матрице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68</v>
          </cell>
          <cell r="D54">
            <v>5</v>
          </cell>
          <cell r="E54">
            <v>53</v>
          </cell>
          <cell r="F54">
            <v>1</v>
          </cell>
          <cell r="G54">
            <v>0</v>
          </cell>
          <cell r="L54">
            <v>10.6</v>
          </cell>
          <cell r="O54">
            <v>9.4339622641509441E-2</v>
          </cell>
          <cell r="P54">
            <v>9.4339622641509441E-2</v>
          </cell>
          <cell r="Q54">
            <v>15</v>
          </cell>
          <cell r="T54" t="str">
            <v>не в матрице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41</v>
          </cell>
          <cell r="D55">
            <v>334</v>
          </cell>
          <cell r="E55">
            <v>209</v>
          </cell>
          <cell r="F55">
            <v>88</v>
          </cell>
          <cell r="G55">
            <v>0.4</v>
          </cell>
          <cell r="J55">
            <v>250</v>
          </cell>
          <cell r="L55">
            <v>41.8</v>
          </cell>
          <cell r="M55">
            <v>163.59999999999997</v>
          </cell>
          <cell r="O55">
            <v>12</v>
          </cell>
          <cell r="P55">
            <v>8.0861244019138763</v>
          </cell>
          <cell r="Q55">
            <v>40.6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-32</v>
          </cell>
          <cell r="D56">
            <v>535</v>
          </cell>
          <cell r="E56">
            <v>268</v>
          </cell>
          <cell r="F56">
            <v>226</v>
          </cell>
          <cell r="G56">
            <v>0.45</v>
          </cell>
          <cell r="J56">
            <v>500</v>
          </cell>
          <cell r="L56">
            <v>53.6</v>
          </cell>
          <cell r="O56">
            <v>13.544776119402984</v>
          </cell>
          <cell r="P56">
            <v>13.544776119402984</v>
          </cell>
          <cell r="Q56">
            <v>65</v>
          </cell>
        </row>
        <row r="57">
          <cell r="A57" t="str">
            <v xml:space="preserve"> 277  Колбаса Мясорубская ТМ Стародворье с сочной грудинкой , 0,35 кг срез  ПОКОМ</v>
          </cell>
          <cell r="B57" t="str">
            <v>шт</v>
          </cell>
          <cell r="C57">
            <v>-6</v>
          </cell>
          <cell r="D57">
            <v>6</v>
          </cell>
          <cell r="G57">
            <v>0.35</v>
          </cell>
          <cell r="L57">
            <v>0</v>
          </cell>
          <cell r="M57">
            <v>0</v>
          </cell>
          <cell r="O57" t="e">
            <v>#DIV/0!</v>
          </cell>
          <cell r="P57" t="e">
            <v>#DIV/0!</v>
          </cell>
          <cell r="Q57">
            <v>0.4</v>
          </cell>
        </row>
        <row r="58">
          <cell r="A58" t="str">
            <v xml:space="preserve"> 278  Сосиски Сочинки с сочным окороком, МГС 0.4кг,   ПОКОМ</v>
          </cell>
          <cell r="B58" t="str">
            <v>шт</v>
          </cell>
          <cell r="C58">
            <v>-42</v>
          </cell>
          <cell r="D58">
            <v>416</v>
          </cell>
          <cell r="E58">
            <v>140</v>
          </cell>
          <cell r="F58">
            <v>221</v>
          </cell>
          <cell r="G58">
            <v>0.4</v>
          </cell>
          <cell r="J58">
            <v>250</v>
          </cell>
          <cell r="L58">
            <v>28</v>
          </cell>
          <cell r="O58">
            <v>16.821428571428573</v>
          </cell>
          <cell r="P58">
            <v>16.821428571428573</v>
          </cell>
          <cell r="Q58">
            <v>14.2</v>
          </cell>
        </row>
        <row r="59">
          <cell r="A59" t="str">
            <v xml:space="preserve"> 279  Колбаса Докторский гарант, Вязанка вектор, 0,4 кг.  ПОКОМ</v>
          </cell>
          <cell r="B59" t="str">
            <v>шт</v>
          </cell>
          <cell r="C59">
            <v>56</v>
          </cell>
          <cell r="D59">
            <v>603</v>
          </cell>
          <cell r="E59">
            <v>190</v>
          </cell>
          <cell r="F59">
            <v>339</v>
          </cell>
          <cell r="G59">
            <v>0.4</v>
          </cell>
          <cell r="J59">
            <v>600</v>
          </cell>
          <cell r="L59">
            <v>38</v>
          </cell>
          <cell r="O59">
            <v>24.710526315789473</v>
          </cell>
          <cell r="P59">
            <v>24.710526315789473</v>
          </cell>
          <cell r="Q59">
            <v>48.6</v>
          </cell>
          <cell r="T59" t="str">
            <v>необходимо увеличить продажи</v>
          </cell>
        </row>
        <row r="60">
          <cell r="A60" t="str">
            <v xml:space="preserve"> 281  Сосиски Молочные для завтрака ТМ Особый рецепт, 0,4кг  ПОКОМ</v>
          </cell>
          <cell r="B60" t="str">
            <v>шт</v>
          </cell>
          <cell r="C60">
            <v>38</v>
          </cell>
          <cell r="D60">
            <v>8</v>
          </cell>
          <cell r="E60">
            <v>53</v>
          </cell>
          <cell r="F60">
            <v>-12</v>
          </cell>
          <cell r="G60">
            <v>0.4</v>
          </cell>
          <cell r="L60">
            <v>10.6</v>
          </cell>
          <cell r="M60">
            <v>96.8</v>
          </cell>
          <cell r="O60">
            <v>8</v>
          </cell>
          <cell r="P60">
            <v>-1.1320754716981132</v>
          </cell>
          <cell r="Q60">
            <v>11.8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25</v>
          </cell>
          <cell r="D61">
            <v>5</v>
          </cell>
          <cell r="F61">
            <v>30</v>
          </cell>
          <cell r="G61">
            <v>0.1</v>
          </cell>
          <cell r="L61">
            <v>0</v>
          </cell>
          <cell r="O61" t="e">
            <v>#DIV/0!</v>
          </cell>
          <cell r="P61" t="e">
            <v>#DIV/0!</v>
          </cell>
          <cell r="Q61">
            <v>0</v>
          </cell>
        </row>
        <row r="62">
          <cell r="A62" t="str">
            <v xml:space="preserve"> 286  Колбаса Сервелат Левантский ТМ Особый Рецепт, 0,35 кг.  ПОКОМ</v>
          </cell>
          <cell r="B62" t="str">
            <v>шт</v>
          </cell>
          <cell r="C62">
            <v>5</v>
          </cell>
          <cell r="D62">
            <v>30</v>
          </cell>
          <cell r="E62">
            <v>-12</v>
          </cell>
          <cell r="G62">
            <v>0.35</v>
          </cell>
          <cell r="L62">
            <v>-2.4</v>
          </cell>
          <cell r="M62">
            <v>40</v>
          </cell>
          <cell r="O62">
            <v>-16.666666666666668</v>
          </cell>
          <cell r="P62">
            <v>0</v>
          </cell>
          <cell r="Q62">
            <v>-1.4</v>
          </cell>
        </row>
        <row r="63">
          <cell r="A63" t="str">
            <v xml:space="preserve"> 288  Колбаса Докторская оригинальная Особая ТМ Особый рецепт,  0,4кг, ПОКОМ</v>
          </cell>
          <cell r="B63" t="str">
            <v>шт</v>
          </cell>
          <cell r="C63">
            <v>1</v>
          </cell>
          <cell r="D63">
            <v>51</v>
          </cell>
          <cell r="E63">
            <v>36</v>
          </cell>
          <cell r="F63">
            <v>15</v>
          </cell>
          <cell r="G63">
            <v>0.4</v>
          </cell>
          <cell r="L63">
            <v>7.2</v>
          </cell>
          <cell r="M63">
            <v>71.400000000000006</v>
          </cell>
          <cell r="O63">
            <v>12</v>
          </cell>
          <cell r="P63">
            <v>2.0833333333333335</v>
          </cell>
          <cell r="Q63">
            <v>3.8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B64" t="str">
            <v>шт</v>
          </cell>
          <cell r="C64">
            <v>304</v>
          </cell>
          <cell r="D64">
            <v>109</v>
          </cell>
          <cell r="E64">
            <v>79</v>
          </cell>
          <cell r="F64">
            <v>13</v>
          </cell>
          <cell r="G64">
            <v>0.35</v>
          </cell>
          <cell r="J64">
            <v>200</v>
          </cell>
          <cell r="L64">
            <v>15.8</v>
          </cell>
          <cell r="O64">
            <v>13.481012658227847</v>
          </cell>
          <cell r="P64">
            <v>13.481012658227847</v>
          </cell>
          <cell r="Q64">
            <v>15.4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B65" t="str">
            <v>кг</v>
          </cell>
          <cell r="C65">
            <v>14.664999999999999</v>
          </cell>
          <cell r="D65">
            <v>17.468</v>
          </cell>
          <cell r="G65">
            <v>1</v>
          </cell>
          <cell r="J65">
            <v>24</v>
          </cell>
          <cell r="L65">
            <v>0</v>
          </cell>
          <cell r="O65" t="e">
            <v>#DIV/0!</v>
          </cell>
          <cell r="P65" t="e">
            <v>#DIV/0!</v>
          </cell>
          <cell r="Q65">
            <v>2.8754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B66" t="str">
            <v>шт</v>
          </cell>
          <cell r="C66">
            <v>100</v>
          </cell>
          <cell r="D66">
            <v>307</v>
          </cell>
          <cell r="E66">
            <v>110</v>
          </cell>
          <cell r="F66">
            <v>295</v>
          </cell>
          <cell r="G66">
            <v>0.4</v>
          </cell>
          <cell r="J66">
            <v>150</v>
          </cell>
          <cell r="L66">
            <v>22</v>
          </cell>
          <cell r="O66">
            <v>20.227272727272727</v>
          </cell>
          <cell r="P66">
            <v>20.227272727272727</v>
          </cell>
          <cell r="Q66">
            <v>30</v>
          </cell>
        </row>
        <row r="67">
          <cell r="A67" t="str">
            <v xml:space="preserve"> 302  Сосиски Сочинки по-баварски,  0.4кг, ТМ Стародворье  ПОКОМ</v>
          </cell>
          <cell r="B67" t="str">
            <v>шт</v>
          </cell>
          <cell r="C67">
            <v>65</v>
          </cell>
          <cell r="D67">
            <v>409</v>
          </cell>
          <cell r="E67">
            <v>109</v>
          </cell>
          <cell r="F67">
            <v>363</v>
          </cell>
          <cell r="G67">
            <v>0.4</v>
          </cell>
          <cell r="J67">
            <v>90</v>
          </cell>
          <cell r="L67">
            <v>21.8</v>
          </cell>
          <cell r="O67">
            <v>20.779816513761467</v>
          </cell>
          <cell r="P67">
            <v>20.779816513761467</v>
          </cell>
          <cell r="Q67">
            <v>32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6.5759999999999996</v>
          </cell>
          <cell r="D68">
            <v>371.96</v>
          </cell>
          <cell r="E68">
            <v>280.37</v>
          </cell>
          <cell r="F68">
            <v>208.66899999999998</v>
          </cell>
          <cell r="G68">
            <v>1</v>
          </cell>
          <cell r="J68">
            <v>350</v>
          </cell>
          <cell r="L68">
            <v>56.073999999999998</v>
          </cell>
          <cell r="M68">
            <v>114.21899999999994</v>
          </cell>
          <cell r="O68">
            <v>11.999999999999998</v>
          </cell>
          <cell r="P68">
            <v>9.9630666619110464</v>
          </cell>
          <cell r="Q68">
            <v>31.223599999999998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-1.5329999999999999</v>
          </cell>
          <cell r="D69">
            <v>55.69</v>
          </cell>
          <cell r="E69">
            <v>17.64</v>
          </cell>
          <cell r="F69">
            <v>35.156999999999996</v>
          </cell>
          <cell r="G69">
            <v>1</v>
          </cell>
          <cell r="J69">
            <v>40</v>
          </cell>
          <cell r="L69">
            <v>3.528</v>
          </cell>
          <cell r="O69">
            <v>21.303004535147391</v>
          </cell>
          <cell r="P69">
            <v>21.303004535147391</v>
          </cell>
          <cell r="Q69">
            <v>4.0759999999999996</v>
          </cell>
        </row>
        <row r="70">
          <cell r="A70" t="str">
            <v xml:space="preserve"> 317 Колбаса Сервелат Рижский ТМ Зареченские, ВЕС  ПОКОМ</v>
          </cell>
          <cell r="B70" t="str">
            <v>кг</v>
          </cell>
          <cell r="D70">
            <v>48.932000000000002</v>
          </cell>
          <cell r="E70">
            <v>48.932000000000002</v>
          </cell>
          <cell r="G70">
            <v>1</v>
          </cell>
          <cell r="J70">
            <v>45</v>
          </cell>
          <cell r="L70">
            <v>9.7864000000000004</v>
          </cell>
          <cell r="M70">
            <v>72.436800000000005</v>
          </cell>
          <cell r="O70">
            <v>12</v>
          </cell>
          <cell r="P70">
            <v>4.598217935093599</v>
          </cell>
          <cell r="Q70">
            <v>9.7864000000000004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4.6989999999999998</v>
          </cell>
          <cell r="D71">
            <v>1.296</v>
          </cell>
          <cell r="E71">
            <v>0.20300000000000001</v>
          </cell>
          <cell r="G71">
            <v>1</v>
          </cell>
          <cell r="L71">
            <v>4.0600000000000004E-2</v>
          </cell>
          <cell r="M71">
            <v>20</v>
          </cell>
          <cell r="O71">
            <v>492.61083743842357</v>
          </cell>
          <cell r="P71">
            <v>0</v>
          </cell>
          <cell r="Q71">
            <v>3.9400000000000004E-2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309</v>
          </cell>
          <cell r="D72">
            <v>886</v>
          </cell>
          <cell r="E72">
            <v>554</v>
          </cell>
          <cell r="F72">
            <v>625</v>
          </cell>
          <cell r="G72">
            <v>0.45</v>
          </cell>
          <cell r="J72">
            <v>800</v>
          </cell>
          <cell r="L72">
            <v>110.8</v>
          </cell>
          <cell r="O72">
            <v>12.86101083032491</v>
          </cell>
          <cell r="P72">
            <v>12.86101083032491</v>
          </cell>
          <cell r="Q72">
            <v>121.8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316</v>
          </cell>
          <cell r="D73">
            <v>622</v>
          </cell>
          <cell r="E73">
            <v>453</v>
          </cell>
          <cell r="F73">
            <v>474</v>
          </cell>
          <cell r="G73">
            <v>0.45</v>
          </cell>
          <cell r="J73">
            <v>800</v>
          </cell>
          <cell r="L73">
            <v>90.6</v>
          </cell>
          <cell r="O73">
            <v>14.061810154525388</v>
          </cell>
          <cell r="P73">
            <v>14.061810154525388</v>
          </cell>
          <cell r="Q73">
            <v>95.2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21</v>
          </cell>
          <cell r="D74">
            <v>514</v>
          </cell>
          <cell r="E74">
            <v>215</v>
          </cell>
          <cell r="F74">
            <v>304</v>
          </cell>
          <cell r="G74">
            <v>0.45</v>
          </cell>
          <cell r="J74">
            <v>300</v>
          </cell>
          <cell r="L74">
            <v>43</v>
          </cell>
          <cell r="O74">
            <v>14.046511627906977</v>
          </cell>
          <cell r="P74">
            <v>14.046511627906977</v>
          </cell>
          <cell r="Q74">
            <v>51.8</v>
          </cell>
        </row>
        <row r="75">
          <cell r="A75" t="str">
            <v xml:space="preserve"> 329  Сардельки Сочинки с сыром Стародворье ТМ, 0,4 кг. ПОКОМ</v>
          </cell>
          <cell r="B75" t="str">
            <v>шт</v>
          </cell>
          <cell r="C75">
            <v>11</v>
          </cell>
          <cell r="D75">
            <v>37</v>
          </cell>
          <cell r="E75">
            <v>27</v>
          </cell>
          <cell r="F75">
            <v>19</v>
          </cell>
          <cell r="G75">
            <v>0.4</v>
          </cell>
          <cell r="J75">
            <v>30</v>
          </cell>
          <cell r="L75">
            <v>5.4</v>
          </cell>
          <cell r="M75">
            <v>15.800000000000011</v>
          </cell>
          <cell r="O75">
            <v>12.000000000000002</v>
          </cell>
          <cell r="P75">
            <v>9.0740740740740726</v>
          </cell>
          <cell r="Q75">
            <v>6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B76" t="str">
            <v>кг</v>
          </cell>
          <cell r="C76">
            <v>49.3</v>
          </cell>
          <cell r="D76">
            <v>214.47</v>
          </cell>
          <cell r="E76">
            <v>55.96</v>
          </cell>
          <cell r="F76">
            <v>136.65</v>
          </cell>
          <cell r="G76">
            <v>1</v>
          </cell>
          <cell r="J76">
            <v>200</v>
          </cell>
          <cell r="L76">
            <v>11.192</v>
          </cell>
          <cell r="O76">
            <v>30.079521086490349</v>
          </cell>
          <cell r="P76">
            <v>30.079521086490349</v>
          </cell>
          <cell r="Q76">
            <v>7.3360000000000003</v>
          </cell>
        </row>
        <row r="77">
          <cell r="A77" t="str">
            <v xml:space="preserve"> 339  Колбаса вареная Филейская ТМ Вязанка ТС Классическая, 0,40 кг.  ПОКОМ</v>
          </cell>
          <cell r="B77" t="str">
            <v>шт</v>
          </cell>
          <cell r="C77">
            <v>9</v>
          </cell>
          <cell r="F77">
            <v>9</v>
          </cell>
          <cell r="G77">
            <v>0</v>
          </cell>
          <cell r="L77">
            <v>0</v>
          </cell>
          <cell r="O77" t="e">
            <v>#DIV/0!</v>
          </cell>
          <cell r="P77" t="e">
            <v>#DIV/0!</v>
          </cell>
          <cell r="Q77">
            <v>0.2</v>
          </cell>
          <cell r="T77" t="str">
            <v>не в матрице</v>
          </cell>
        </row>
        <row r="78">
          <cell r="A78" t="str">
            <v>БОНУС_Колбаса вареная Филейская ТМ Вязанка ТС Классическая ВЕС  ПОКОМ</v>
          </cell>
          <cell r="B78" t="str">
            <v>кг</v>
          </cell>
          <cell r="C78">
            <v>-49.09</v>
          </cell>
          <cell r="D78">
            <v>65.53</v>
          </cell>
          <cell r="E78">
            <v>23.407</v>
          </cell>
          <cell r="F78">
            <v>-8.3469999999999995</v>
          </cell>
          <cell r="G78">
            <v>0</v>
          </cell>
          <cell r="L78">
            <v>4.6814</v>
          </cell>
          <cell r="O78">
            <v>-1.7830136284017601</v>
          </cell>
          <cell r="P78">
            <v>-1.7830136284017601</v>
          </cell>
          <cell r="Q78">
            <v>3.528</v>
          </cell>
        </row>
        <row r="79">
          <cell r="A79" t="str">
            <v>БОНУС_Колбаса Докторская Особая ТМ Особый рецепт,  0,5кг, ПОКОМ</v>
          </cell>
          <cell r="B79" t="str">
            <v>шт</v>
          </cell>
          <cell r="D79">
            <v>227</v>
          </cell>
          <cell r="E79">
            <v>229</v>
          </cell>
          <cell r="F79">
            <v>-2</v>
          </cell>
          <cell r="G79">
            <v>0</v>
          </cell>
          <cell r="L79">
            <v>45.8</v>
          </cell>
          <cell r="O79">
            <v>-4.3668122270742363E-2</v>
          </cell>
          <cell r="P79">
            <v>-4.3668122270742363E-2</v>
          </cell>
          <cell r="Q79">
            <v>19.399999999999999</v>
          </cell>
        </row>
        <row r="80">
          <cell r="A80" t="str">
            <v>БОНУС_Колбаса Мясорубская с рубленой грудинкой 0,35кг срез ТМ Стародворье  ПОКОМ</v>
          </cell>
          <cell r="B80" t="str">
            <v>шт</v>
          </cell>
          <cell r="C80">
            <v>-198</v>
          </cell>
          <cell r="D80">
            <v>198</v>
          </cell>
          <cell r="G80">
            <v>0</v>
          </cell>
          <cell r="L80">
            <v>0</v>
          </cell>
          <cell r="O80" t="e">
            <v>#DIV/0!</v>
          </cell>
          <cell r="P80" t="e">
            <v>#DIV/0!</v>
          </cell>
          <cell r="Q80">
            <v>2.2000000000000002</v>
          </cell>
        </row>
        <row r="81">
          <cell r="A81" t="str">
            <v>БОНУС_Колбаса Мясорубская с рубленой грудинкой ВЕС ТМ Стародворье  ПОКОМ</v>
          </cell>
          <cell r="B81" t="str">
            <v>кг</v>
          </cell>
          <cell r="C81">
            <v>-15.146000000000001</v>
          </cell>
          <cell r="D81">
            <v>15.146000000000001</v>
          </cell>
          <cell r="G81">
            <v>0</v>
          </cell>
          <cell r="L81">
            <v>0</v>
          </cell>
          <cell r="O81" t="e">
            <v>#DIV/0!</v>
          </cell>
          <cell r="P81" t="e">
            <v>#DIV/0!</v>
          </cell>
          <cell r="Q81">
            <v>0.29020000000000001</v>
          </cell>
        </row>
        <row r="82">
          <cell r="A82" t="str">
            <v>БОНУС_Колбаса Сервелат Филедворский, фиброуз, в/у 0,35 кг срез,  ПОКОМ</v>
          </cell>
          <cell r="B82" t="str">
            <v>шт</v>
          </cell>
          <cell r="E82">
            <v>1</v>
          </cell>
          <cell r="F82">
            <v>-1</v>
          </cell>
          <cell r="G82">
            <v>0</v>
          </cell>
          <cell r="L82">
            <v>0.2</v>
          </cell>
          <cell r="O82">
            <v>-5</v>
          </cell>
          <cell r="P82">
            <v>-5</v>
          </cell>
          <cell r="Q82">
            <v>0</v>
          </cell>
        </row>
        <row r="83">
          <cell r="A83" t="str">
            <v>БОНУС_Сосиски Баварские,  0.42кг,ПОКОМ</v>
          </cell>
          <cell r="B83" t="str">
            <v>шт</v>
          </cell>
          <cell r="C83">
            <v>-583.33299999999997</v>
          </cell>
          <cell r="D83">
            <v>583.33299999999997</v>
          </cell>
          <cell r="G83">
            <v>0</v>
          </cell>
          <cell r="L83">
            <v>0</v>
          </cell>
          <cell r="O83" t="e">
            <v>#DIV/0!</v>
          </cell>
          <cell r="P83" t="e">
            <v>#DIV/0!</v>
          </cell>
          <cell r="Q83">
            <v>8.8000000000000007</v>
          </cell>
        </row>
        <row r="84">
          <cell r="A84" t="str">
            <v>БОНУС_Сосиски Сочинки с сочной грудинкой, МГС 0.4кг,   ПОКОМ</v>
          </cell>
          <cell r="B84" t="str">
            <v>шт</v>
          </cell>
          <cell r="D84">
            <v>51</v>
          </cell>
          <cell r="E84">
            <v>50</v>
          </cell>
          <cell r="G84">
            <v>0</v>
          </cell>
          <cell r="L84">
            <v>10</v>
          </cell>
          <cell r="O84">
            <v>0</v>
          </cell>
          <cell r="P84">
            <v>0</v>
          </cell>
          <cell r="Q84">
            <v>2.4</v>
          </cell>
        </row>
        <row r="85">
          <cell r="A85" t="str">
            <v>Сосиски Венские Вязанка Фикс.вес 0,5 NDX мгс Вязанка</v>
          </cell>
          <cell r="B85" t="str">
            <v>шт</v>
          </cell>
          <cell r="G85">
            <v>0.5</v>
          </cell>
          <cell r="J85">
            <v>42</v>
          </cell>
          <cell r="L85">
            <v>0</v>
          </cell>
          <cell r="O85" t="e">
            <v>#DIV/0!</v>
          </cell>
          <cell r="P85" t="e">
            <v>#DIV/0!</v>
          </cell>
        </row>
        <row r="86">
          <cell r="A86" t="str">
            <v>В/к колбасы Сервелат Мясорубский с мелкорубленным окороком Бордо Весовой фиброуз Стародворье</v>
          </cell>
          <cell r="B86" t="str">
            <v>кг</v>
          </cell>
          <cell r="G86">
            <v>1</v>
          </cell>
          <cell r="J86">
            <v>8</v>
          </cell>
          <cell r="L86">
            <v>0</v>
          </cell>
          <cell r="O86" t="e">
            <v>#DIV/0!</v>
          </cell>
          <cell r="P86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81"/>
  <sheetViews>
    <sheetView tabSelected="1" workbookViewId="0">
      <pane ySplit="5" topLeftCell="A45" activePane="bottomLeft" state="frozen"/>
      <selection pane="bottomLeft" activeCell="A61" sqref="A61"/>
    </sheetView>
  </sheetViews>
  <sheetFormatPr defaultColWidth="10.5" defaultRowHeight="12.75" outlineLevelRow="1" x14ac:dyDescent="0.2"/>
  <cols>
    <col min="1" max="1" width="83.6640625" style="1" customWidth="1"/>
    <col min="2" max="2" width="4.1640625" style="1" customWidth="1"/>
    <col min="3" max="6" width="7.6640625" style="1" customWidth="1"/>
    <col min="7" max="7" width="4.83203125" style="18" customWidth="1"/>
    <col min="8" max="8" width="2.1640625" style="2" customWidth="1"/>
    <col min="9" max="9" width="2" style="2" customWidth="1"/>
    <col min="10" max="10" width="10.5" style="2"/>
    <col min="11" max="11" width="1.83203125" style="2" customWidth="1"/>
    <col min="12" max="12" width="6.33203125" style="2" customWidth="1"/>
    <col min="13" max="13" width="10.5" style="27"/>
    <col min="14" max="14" width="2" style="2" customWidth="1"/>
    <col min="15" max="16" width="7.1640625" style="2" customWidth="1"/>
    <col min="17" max="18" width="7.83203125" style="2" customWidth="1"/>
    <col min="19" max="19" width="3.33203125" style="2" customWidth="1"/>
    <col min="20" max="20" width="29" style="2" customWidth="1"/>
    <col min="21" max="21" width="10.5" style="2"/>
    <col min="22" max="22" width="2.1640625" style="2" customWidth="1"/>
    <col min="23" max="16384" width="10.5" style="2"/>
  </cols>
  <sheetData>
    <row r="1" spans="1:22" outlineLevel="1" x14ac:dyDescent="0.2">
      <c r="A1" s="3" t="s">
        <v>0</v>
      </c>
      <c r="B1" s="3"/>
      <c r="C1" s="3"/>
    </row>
    <row r="2" spans="1:22" outlineLevel="1" x14ac:dyDescent="0.2">
      <c r="B2" s="3"/>
      <c r="C2" s="3"/>
    </row>
    <row r="3" spans="1:22" x14ac:dyDescent="0.2">
      <c r="A3" s="4" t="s">
        <v>1</v>
      </c>
      <c r="B3" s="4"/>
      <c r="C3" s="4" t="s">
        <v>2</v>
      </c>
      <c r="D3" s="4"/>
      <c r="E3" s="4"/>
      <c r="F3" s="4"/>
      <c r="G3" s="11" t="s">
        <v>88</v>
      </c>
      <c r="H3" s="12" t="s">
        <v>89</v>
      </c>
      <c r="I3" s="12" t="s">
        <v>90</v>
      </c>
      <c r="J3" s="13" t="s">
        <v>91</v>
      </c>
      <c r="K3" s="13" t="s">
        <v>91</v>
      </c>
      <c r="L3" s="12" t="s">
        <v>93</v>
      </c>
      <c r="M3" s="14" t="s">
        <v>100</v>
      </c>
      <c r="N3" s="12" t="s">
        <v>92</v>
      </c>
      <c r="O3" s="12" t="s">
        <v>94</v>
      </c>
      <c r="P3" s="12" t="s">
        <v>95</v>
      </c>
      <c r="Q3" s="13" t="s">
        <v>96</v>
      </c>
      <c r="R3" s="13" t="s">
        <v>99</v>
      </c>
      <c r="S3" s="13" t="s">
        <v>93</v>
      </c>
      <c r="T3" s="12" t="s">
        <v>97</v>
      </c>
      <c r="U3" s="12" t="s">
        <v>98</v>
      </c>
      <c r="V3" s="12" t="s">
        <v>98</v>
      </c>
    </row>
    <row r="4" spans="1:22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2"/>
      <c r="K4" s="12"/>
      <c r="L4" s="12"/>
      <c r="M4" s="15"/>
      <c r="N4" s="12"/>
      <c r="O4" s="12"/>
      <c r="P4" s="12"/>
      <c r="Q4" s="12"/>
      <c r="R4" s="12"/>
      <c r="S4" s="12"/>
      <c r="T4" s="12"/>
      <c r="U4" s="12"/>
      <c r="V4" s="12"/>
    </row>
    <row r="5" spans="1:22" ht="15" x14ac:dyDescent="0.2">
      <c r="A5" s="5" t="s">
        <v>9</v>
      </c>
      <c r="B5" s="5"/>
      <c r="C5" s="6"/>
      <c r="D5" s="7"/>
      <c r="E5" s="16">
        <f>SUM(E6:E88)</f>
        <v>7071.018</v>
      </c>
      <c r="F5" s="16">
        <f>SUM(F6:F88)</f>
        <v>10799.946999999996</v>
      </c>
      <c r="G5" s="11"/>
      <c r="H5" s="16">
        <f t="shared" ref="H5:N5" si="0">SUM(H6:H88)</f>
        <v>0</v>
      </c>
      <c r="I5" s="16">
        <f t="shared" si="0"/>
        <v>0</v>
      </c>
      <c r="J5" s="16">
        <f t="shared" si="0"/>
        <v>6081</v>
      </c>
      <c r="K5" s="16">
        <f t="shared" si="0"/>
        <v>0</v>
      </c>
      <c r="L5" s="16">
        <f t="shared" si="0"/>
        <v>1414.2036000000003</v>
      </c>
      <c r="M5" s="17">
        <f t="shared" si="0"/>
        <v>3010</v>
      </c>
      <c r="N5" s="16">
        <f t="shared" si="0"/>
        <v>0</v>
      </c>
      <c r="O5" s="12"/>
      <c r="P5" s="12"/>
      <c r="Q5" s="16">
        <f>SUM(Q6:Q88)</f>
        <v>1479.5478000000001</v>
      </c>
      <c r="R5" s="16">
        <f>SUM(R6:R88)</f>
        <v>1331.3685999999998</v>
      </c>
      <c r="S5" s="16">
        <f>SUM(S6:S88)</f>
        <v>0</v>
      </c>
      <c r="T5" s="12"/>
      <c r="U5" s="16">
        <f t="shared" ref="U5:V5" si="1">SUM(U6:U88)</f>
        <v>1384.65</v>
      </c>
      <c r="V5" s="16">
        <f t="shared" si="1"/>
        <v>0</v>
      </c>
    </row>
    <row r="6" spans="1:22" outlineLevel="1" x14ac:dyDescent="0.2">
      <c r="A6" s="8" t="s">
        <v>10</v>
      </c>
      <c r="B6" s="8" t="s">
        <v>11</v>
      </c>
      <c r="C6" s="9">
        <v>12.065</v>
      </c>
      <c r="D6" s="9">
        <v>12.04</v>
      </c>
      <c r="E6" s="9">
        <v>9.3000000000000007</v>
      </c>
      <c r="F6" s="9">
        <v>13.45</v>
      </c>
      <c r="G6" s="18">
        <f>VLOOKUP(A6,[1]TDSheet!$A:$G,7,0)</f>
        <v>1</v>
      </c>
      <c r="L6" s="2">
        <f>E6/5</f>
        <v>1.86</v>
      </c>
      <c r="M6" s="28">
        <v>10</v>
      </c>
      <c r="N6" s="22"/>
      <c r="O6" s="2">
        <f>(F6+J6+M6+N6)/L6</f>
        <v>12.607526881720428</v>
      </c>
      <c r="P6" s="2">
        <f>(F6+J6)/L6</f>
        <v>7.2311827956989241</v>
      </c>
      <c r="Q6" s="2">
        <f>VLOOKUP(A6,[1]TDSheet!$A:$Q,17,0)</f>
        <v>1.3519999999999999</v>
      </c>
      <c r="R6" s="2">
        <f>VLOOKUP(A6,[1]TDSheet!$A:$L,12,0)</f>
        <v>1.08</v>
      </c>
      <c r="U6" s="2">
        <f>M6*G6</f>
        <v>10</v>
      </c>
    </row>
    <row r="7" spans="1:22" outlineLevel="1" x14ac:dyDescent="0.2">
      <c r="A7" s="8" t="s">
        <v>12</v>
      </c>
      <c r="B7" s="8" t="s">
        <v>11</v>
      </c>
      <c r="C7" s="9">
        <v>131.00399999999999</v>
      </c>
      <c r="D7" s="9">
        <v>177.23599999999999</v>
      </c>
      <c r="E7" s="9">
        <v>33.770000000000003</v>
      </c>
      <c r="F7" s="9">
        <v>257.45400000000001</v>
      </c>
      <c r="G7" s="18">
        <f>VLOOKUP(A7,[1]TDSheet!$A:$G,7,0)</f>
        <v>1</v>
      </c>
      <c r="L7" s="2">
        <f t="shared" ref="L7:L70" si="2">E7/5</f>
        <v>6.7540000000000004</v>
      </c>
      <c r="M7" s="28"/>
      <c r="N7" s="22"/>
      <c r="O7" s="2">
        <f t="shared" ref="O7:O70" si="3">(F7+J7+M7+N7)/L7</f>
        <v>38.118744447734677</v>
      </c>
      <c r="P7" s="2">
        <f t="shared" ref="P7:P70" si="4">(F7+J7)/L7</f>
        <v>38.118744447734677</v>
      </c>
      <c r="Q7" s="2">
        <f>VLOOKUP(A7,[1]TDSheet!$A:$Q,17,0)</f>
        <v>24.5944</v>
      </c>
      <c r="R7" s="2">
        <f>VLOOKUP(A7,[1]TDSheet!$A:$L,12,0)</f>
        <v>16.881</v>
      </c>
      <c r="T7" s="31" t="s">
        <v>101</v>
      </c>
      <c r="U7" s="2">
        <f t="shared" ref="U7:U70" si="5">M7*G7</f>
        <v>0</v>
      </c>
    </row>
    <row r="8" spans="1:22" outlineLevel="1" x14ac:dyDescent="0.2">
      <c r="A8" s="8" t="s">
        <v>13</v>
      </c>
      <c r="B8" s="8" t="s">
        <v>11</v>
      </c>
      <c r="C8" s="9">
        <v>13.763</v>
      </c>
      <c r="D8" s="9">
        <v>27.341000000000001</v>
      </c>
      <c r="E8" s="9">
        <v>24.094000000000001</v>
      </c>
      <c r="F8" s="9">
        <v>16.349</v>
      </c>
      <c r="G8" s="18">
        <f>VLOOKUP(A8,[1]TDSheet!$A:$G,7,0)</f>
        <v>1</v>
      </c>
      <c r="L8" s="2">
        <f t="shared" si="2"/>
        <v>4.8188000000000004</v>
      </c>
      <c r="M8" s="28">
        <v>40</v>
      </c>
      <c r="N8" s="22"/>
      <c r="O8" s="2">
        <f t="shared" si="3"/>
        <v>11.69357516394123</v>
      </c>
      <c r="P8" s="2">
        <f t="shared" si="4"/>
        <v>3.3927533825848757</v>
      </c>
      <c r="Q8" s="2">
        <f>VLOOKUP(A8,[1]TDSheet!$A:$Q,17,0)</f>
        <v>3.2734000000000001</v>
      </c>
      <c r="R8" s="2">
        <f>VLOOKUP(A8,[1]TDSheet!$A:$L,12,0)</f>
        <v>4.1107999999999993</v>
      </c>
      <c r="U8" s="2">
        <f t="shared" si="5"/>
        <v>40</v>
      </c>
    </row>
    <row r="9" spans="1:22" outlineLevel="1" x14ac:dyDescent="0.2">
      <c r="A9" s="8" t="s">
        <v>14</v>
      </c>
      <c r="B9" s="8" t="s">
        <v>11</v>
      </c>
      <c r="C9" s="9">
        <v>27.978000000000002</v>
      </c>
      <c r="D9" s="9">
        <v>25.733000000000001</v>
      </c>
      <c r="E9" s="9">
        <v>1.333</v>
      </c>
      <c r="F9" s="9">
        <v>51.01</v>
      </c>
      <c r="G9" s="18">
        <f>VLOOKUP(A9,[1]TDSheet!$A:$G,7,0)</f>
        <v>1</v>
      </c>
      <c r="L9" s="2">
        <f t="shared" si="2"/>
        <v>0.2666</v>
      </c>
      <c r="M9" s="28"/>
      <c r="N9" s="22"/>
      <c r="O9" s="2">
        <f t="shared" si="3"/>
        <v>191.33533383345835</v>
      </c>
      <c r="P9" s="2">
        <f t="shared" si="4"/>
        <v>191.33533383345835</v>
      </c>
      <c r="Q9" s="2">
        <f>VLOOKUP(A9,[1]TDSheet!$A:$Q,17,0)</f>
        <v>2.9584000000000001</v>
      </c>
      <c r="R9" s="2">
        <f>VLOOKUP(A9,[1]TDSheet!$A:$L,12,0)</f>
        <v>2.4074</v>
      </c>
      <c r="T9" s="31" t="s">
        <v>101</v>
      </c>
      <c r="U9" s="2">
        <f t="shared" si="5"/>
        <v>0</v>
      </c>
    </row>
    <row r="10" spans="1:22" outlineLevel="1" x14ac:dyDescent="0.2">
      <c r="A10" s="8" t="s">
        <v>15</v>
      </c>
      <c r="B10" s="8" t="s">
        <v>16</v>
      </c>
      <c r="C10" s="9">
        <v>211</v>
      </c>
      <c r="D10" s="9">
        <v>425</v>
      </c>
      <c r="E10" s="9">
        <v>156</v>
      </c>
      <c r="F10" s="9">
        <v>353</v>
      </c>
      <c r="G10" s="18">
        <f>VLOOKUP(A10,[1]TDSheet!$A:$G,7,0)</f>
        <v>0.5</v>
      </c>
      <c r="L10" s="2">
        <f t="shared" si="2"/>
        <v>31.2</v>
      </c>
      <c r="M10" s="28">
        <v>20</v>
      </c>
      <c r="N10" s="22"/>
      <c r="O10" s="2">
        <f t="shared" si="3"/>
        <v>11.955128205128206</v>
      </c>
      <c r="P10" s="2">
        <f t="shared" si="4"/>
        <v>11.314102564102564</v>
      </c>
      <c r="Q10" s="2">
        <f>VLOOKUP(A10,[1]TDSheet!$A:$Q,17,0)</f>
        <v>19.2</v>
      </c>
      <c r="R10" s="2">
        <f>VLOOKUP(A10,[1]TDSheet!$A:$L,12,0)</f>
        <v>13.2</v>
      </c>
      <c r="T10" s="26"/>
      <c r="U10" s="2">
        <f t="shared" si="5"/>
        <v>10</v>
      </c>
    </row>
    <row r="11" spans="1:22" outlineLevel="1" x14ac:dyDescent="0.2">
      <c r="A11" s="8" t="s">
        <v>17</v>
      </c>
      <c r="B11" s="8" t="s">
        <v>16</v>
      </c>
      <c r="C11" s="9">
        <v>663</v>
      </c>
      <c r="D11" s="9">
        <v>903</v>
      </c>
      <c r="E11" s="9">
        <v>470</v>
      </c>
      <c r="F11" s="9">
        <v>989</v>
      </c>
      <c r="G11" s="18">
        <f>VLOOKUP(A11,[1]TDSheet!$A:$G,7,0)</f>
        <v>0.4</v>
      </c>
      <c r="J11" s="2">
        <f>160/G11</f>
        <v>400</v>
      </c>
      <c r="L11" s="2">
        <f t="shared" si="2"/>
        <v>94</v>
      </c>
      <c r="M11" s="28"/>
      <c r="N11" s="22"/>
      <c r="O11" s="2">
        <f t="shared" si="3"/>
        <v>14.776595744680851</v>
      </c>
      <c r="P11" s="2">
        <f t="shared" si="4"/>
        <v>14.776595744680851</v>
      </c>
      <c r="Q11" s="2">
        <f>VLOOKUP(A11,[1]TDSheet!$A:$Q,17,0)</f>
        <v>89.4</v>
      </c>
      <c r="R11" s="2">
        <f>VLOOKUP(A11,[1]TDSheet!$A:$L,12,0)</f>
        <v>81.8</v>
      </c>
      <c r="U11" s="2">
        <f t="shared" si="5"/>
        <v>0</v>
      </c>
    </row>
    <row r="12" spans="1:22" outlineLevel="1" x14ac:dyDescent="0.2">
      <c r="A12" s="20" t="s">
        <v>18</v>
      </c>
      <c r="B12" s="20" t="s">
        <v>16</v>
      </c>
      <c r="C12" s="32"/>
      <c r="D12" s="21">
        <v>42</v>
      </c>
      <c r="E12" s="21">
        <v>29</v>
      </c>
      <c r="F12" s="21">
        <v>13</v>
      </c>
      <c r="G12" s="18">
        <v>0</v>
      </c>
      <c r="J12" s="2">
        <f>21/0.5</f>
        <v>42</v>
      </c>
      <c r="L12" s="2">
        <f t="shared" si="2"/>
        <v>5.8</v>
      </c>
      <c r="M12" s="28"/>
      <c r="N12" s="22"/>
      <c r="O12" s="2">
        <f t="shared" si="3"/>
        <v>9.4827586206896548</v>
      </c>
      <c r="P12" s="2">
        <f t="shared" si="4"/>
        <v>9.4827586206896548</v>
      </c>
      <c r="Q12" s="2">
        <v>0</v>
      </c>
      <c r="R12" s="2">
        <v>0</v>
      </c>
      <c r="T12" s="30" t="s">
        <v>102</v>
      </c>
      <c r="U12" s="2">
        <f t="shared" si="5"/>
        <v>0</v>
      </c>
    </row>
    <row r="13" spans="1:22" outlineLevel="1" x14ac:dyDescent="0.2">
      <c r="A13" s="8" t="s">
        <v>19</v>
      </c>
      <c r="B13" s="8" t="s">
        <v>16</v>
      </c>
      <c r="C13" s="9">
        <v>684</v>
      </c>
      <c r="D13" s="9">
        <v>507</v>
      </c>
      <c r="E13" s="9">
        <v>421</v>
      </c>
      <c r="F13" s="9">
        <v>762</v>
      </c>
      <c r="G13" s="18">
        <f>VLOOKUP(A13,[1]TDSheet!$A:$G,7,0)</f>
        <v>0.45</v>
      </c>
      <c r="L13" s="2">
        <f t="shared" si="2"/>
        <v>84.2</v>
      </c>
      <c r="M13" s="28">
        <v>250</v>
      </c>
      <c r="N13" s="22"/>
      <c r="O13" s="2">
        <f t="shared" si="3"/>
        <v>12.019002375296912</v>
      </c>
      <c r="P13" s="2">
        <f t="shared" si="4"/>
        <v>9.0498812351543947</v>
      </c>
      <c r="Q13" s="2">
        <f>VLOOKUP(A13,[1]TDSheet!$A:$Q,17,0)</f>
        <v>72</v>
      </c>
      <c r="R13" s="2">
        <f>VLOOKUP(A13,[1]TDSheet!$A:$L,12,0)</f>
        <v>60.8</v>
      </c>
      <c r="U13" s="2">
        <f t="shared" si="5"/>
        <v>112.5</v>
      </c>
    </row>
    <row r="14" spans="1:22" outlineLevel="1" x14ac:dyDescent="0.2">
      <c r="A14" s="8" t="s">
        <v>20</v>
      </c>
      <c r="B14" s="8" t="s">
        <v>16</v>
      </c>
      <c r="C14" s="9">
        <v>661</v>
      </c>
      <c r="D14" s="9">
        <v>509</v>
      </c>
      <c r="E14" s="9">
        <v>426</v>
      </c>
      <c r="F14" s="9">
        <v>732</v>
      </c>
      <c r="G14" s="18">
        <f>VLOOKUP(A14,[1]TDSheet!$A:$G,7,0)</f>
        <v>0.45</v>
      </c>
      <c r="L14" s="2">
        <f t="shared" si="2"/>
        <v>85.2</v>
      </c>
      <c r="M14" s="28">
        <v>290</v>
      </c>
      <c r="N14" s="22"/>
      <c r="O14" s="2">
        <f t="shared" si="3"/>
        <v>11.995305164319248</v>
      </c>
      <c r="P14" s="2">
        <f t="shared" si="4"/>
        <v>8.591549295774648</v>
      </c>
      <c r="Q14" s="2">
        <f>VLOOKUP(A14,[1]TDSheet!$A:$Q,17,0)</f>
        <v>72.599999999999994</v>
      </c>
      <c r="R14" s="2">
        <f>VLOOKUP(A14,[1]TDSheet!$A:$L,12,0)</f>
        <v>58.2</v>
      </c>
      <c r="U14" s="2">
        <f t="shared" si="5"/>
        <v>130.5</v>
      </c>
    </row>
    <row r="15" spans="1:22" outlineLevel="1" x14ac:dyDescent="0.2">
      <c r="A15" s="8" t="s">
        <v>21</v>
      </c>
      <c r="B15" s="8" t="s">
        <v>16</v>
      </c>
      <c r="C15" s="9">
        <v>1</v>
      </c>
      <c r="D15" s="9">
        <v>42</v>
      </c>
      <c r="E15" s="9">
        <v>39</v>
      </c>
      <c r="F15" s="9">
        <v>3</v>
      </c>
      <c r="G15" s="18">
        <f>VLOOKUP(A15,[1]TDSheet!$A:$G,7,0)</f>
        <v>0.5</v>
      </c>
      <c r="J15" s="2">
        <f>21/G15</f>
        <v>42</v>
      </c>
      <c r="L15" s="2">
        <f t="shared" si="2"/>
        <v>7.8</v>
      </c>
      <c r="M15" s="28">
        <v>50</v>
      </c>
      <c r="N15" s="22"/>
      <c r="O15" s="2">
        <f t="shared" si="3"/>
        <v>12.179487179487181</v>
      </c>
      <c r="P15" s="2">
        <f t="shared" si="4"/>
        <v>5.7692307692307692</v>
      </c>
      <c r="Q15" s="2">
        <f>VLOOKUP(A15,[1]TDSheet!$A:$Q,17,0)</f>
        <v>3.8</v>
      </c>
      <c r="R15" s="2">
        <f>VLOOKUP(A15,[1]TDSheet!$A:$L,12,0)</f>
        <v>0.4</v>
      </c>
      <c r="U15" s="2">
        <f t="shared" si="5"/>
        <v>25</v>
      </c>
    </row>
    <row r="16" spans="1:22" outlineLevel="1" x14ac:dyDescent="0.2">
      <c r="A16" s="8" t="s">
        <v>22</v>
      </c>
      <c r="B16" s="8" t="s">
        <v>16</v>
      </c>
      <c r="C16" s="9">
        <v>89</v>
      </c>
      <c r="D16" s="9">
        <v>1</v>
      </c>
      <c r="E16" s="9">
        <v>39</v>
      </c>
      <c r="F16" s="9">
        <v>51</v>
      </c>
      <c r="G16" s="18">
        <f>VLOOKUP(A16,[1]TDSheet!$A:$G,7,0)</f>
        <v>0.4</v>
      </c>
      <c r="J16" s="2">
        <f>12/G16</f>
        <v>30</v>
      </c>
      <c r="L16" s="2">
        <f t="shared" si="2"/>
        <v>7.8</v>
      </c>
      <c r="M16" s="28">
        <v>15</v>
      </c>
      <c r="N16" s="22"/>
      <c r="O16" s="2">
        <f t="shared" si="3"/>
        <v>12.307692307692308</v>
      </c>
      <c r="P16" s="2">
        <f t="shared" si="4"/>
        <v>10.384615384615385</v>
      </c>
      <c r="Q16" s="2">
        <f>VLOOKUP(A16,[1]TDSheet!$A:$Q,17,0)</f>
        <v>7.6</v>
      </c>
      <c r="R16" s="2">
        <f>VLOOKUP(A16,[1]TDSheet!$A:$L,12,0)</f>
        <v>8</v>
      </c>
      <c r="U16" s="2">
        <f t="shared" si="5"/>
        <v>6</v>
      </c>
    </row>
    <row r="17" spans="1:21" outlineLevel="1" x14ac:dyDescent="0.2">
      <c r="A17" s="8" t="s">
        <v>23</v>
      </c>
      <c r="B17" s="8" t="s">
        <v>16</v>
      </c>
      <c r="C17" s="9">
        <v>33</v>
      </c>
      <c r="D17" s="9">
        <v>1</v>
      </c>
      <c r="E17" s="9">
        <v>22</v>
      </c>
      <c r="F17" s="9">
        <v>12</v>
      </c>
      <c r="G17" s="18">
        <f>VLOOKUP(A17,[1]TDSheet!$A:$G,7,0)</f>
        <v>0.17</v>
      </c>
      <c r="J17" s="2">
        <f>15.3/G17</f>
        <v>90</v>
      </c>
      <c r="L17" s="2">
        <f t="shared" si="2"/>
        <v>4.4000000000000004</v>
      </c>
      <c r="M17" s="28"/>
      <c r="N17" s="22"/>
      <c r="O17" s="2">
        <f t="shared" si="3"/>
        <v>23.18181818181818</v>
      </c>
      <c r="P17" s="2">
        <f t="shared" si="4"/>
        <v>23.18181818181818</v>
      </c>
      <c r="Q17" s="2">
        <f>VLOOKUP(A17,[1]TDSheet!$A:$Q,17,0)</f>
        <v>6.4</v>
      </c>
      <c r="R17" s="2">
        <f>VLOOKUP(A17,[1]TDSheet!$A:$L,12,0)</f>
        <v>11.4</v>
      </c>
      <c r="U17" s="2">
        <f t="shared" si="5"/>
        <v>0</v>
      </c>
    </row>
    <row r="18" spans="1:21" outlineLevel="1" x14ac:dyDescent="0.2">
      <c r="A18" s="8" t="s">
        <v>24</v>
      </c>
      <c r="B18" s="8" t="s">
        <v>16</v>
      </c>
      <c r="C18" s="9">
        <v>11</v>
      </c>
      <c r="D18" s="9">
        <v>42</v>
      </c>
      <c r="E18" s="9">
        <v>31</v>
      </c>
      <c r="F18" s="9">
        <v>9</v>
      </c>
      <c r="G18" s="18">
        <f>VLOOKUP(A18,[1]TDSheet!$A:$G,7,0)</f>
        <v>0.45</v>
      </c>
      <c r="L18" s="2">
        <f t="shared" si="2"/>
        <v>6.2</v>
      </c>
      <c r="M18" s="28">
        <v>55</v>
      </c>
      <c r="N18" s="22"/>
      <c r="O18" s="2">
        <f t="shared" si="3"/>
        <v>10.32258064516129</v>
      </c>
      <c r="P18" s="2">
        <f t="shared" si="4"/>
        <v>1.4516129032258065</v>
      </c>
      <c r="Q18" s="2">
        <f>VLOOKUP(A18,[1]TDSheet!$A:$Q,17,0)</f>
        <v>3</v>
      </c>
      <c r="R18" s="2">
        <f>VLOOKUP(A18,[1]TDSheet!$A:$L,12,0)</f>
        <v>0.4</v>
      </c>
      <c r="T18" s="26"/>
      <c r="U18" s="2">
        <f t="shared" si="5"/>
        <v>24.75</v>
      </c>
    </row>
    <row r="19" spans="1:21" outlineLevel="1" x14ac:dyDescent="0.2">
      <c r="A19" s="8" t="s">
        <v>25</v>
      </c>
      <c r="B19" s="8" t="s">
        <v>16</v>
      </c>
      <c r="C19" s="9">
        <v>-3</v>
      </c>
      <c r="D19" s="9"/>
      <c r="E19" s="9">
        <v>1</v>
      </c>
      <c r="F19" s="9">
        <v>-4</v>
      </c>
      <c r="G19" s="18">
        <f>VLOOKUP(A19,[1]TDSheet!$A:$G,7,0)</f>
        <v>0.4</v>
      </c>
      <c r="L19" s="2">
        <f t="shared" si="2"/>
        <v>0.2</v>
      </c>
      <c r="M19" s="29">
        <v>20</v>
      </c>
      <c r="N19" s="22"/>
      <c r="O19" s="2">
        <f t="shared" si="3"/>
        <v>80</v>
      </c>
      <c r="P19" s="2">
        <f t="shared" si="4"/>
        <v>-20</v>
      </c>
      <c r="Q19" s="2">
        <f>VLOOKUP(A19,[1]TDSheet!$A:$Q,17,0)</f>
        <v>0</v>
      </c>
      <c r="R19" s="2">
        <f>VLOOKUP(A19,[1]TDSheet!$A:$L,12,0)</f>
        <v>-0.4</v>
      </c>
      <c r="U19" s="2">
        <f t="shared" si="5"/>
        <v>8</v>
      </c>
    </row>
    <row r="20" spans="1:21" outlineLevel="1" x14ac:dyDescent="0.2">
      <c r="A20" s="8" t="s">
        <v>26</v>
      </c>
      <c r="B20" s="8" t="s">
        <v>16</v>
      </c>
      <c r="C20" s="10"/>
      <c r="D20" s="9">
        <v>150</v>
      </c>
      <c r="E20" s="9">
        <v>19</v>
      </c>
      <c r="F20" s="24">
        <f>128+F78</f>
        <v>-80</v>
      </c>
      <c r="G20" s="18">
        <f>VLOOKUP(A20,[1]TDSheet!$A:$G,7,0)</f>
        <v>0.5</v>
      </c>
      <c r="J20" s="2">
        <f>125/G20</f>
        <v>250</v>
      </c>
      <c r="L20" s="2">
        <f t="shared" si="2"/>
        <v>3.8</v>
      </c>
      <c r="M20" s="28"/>
      <c r="N20" s="22"/>
      <c r="O20" s="2">
        <f t="shared" si="3"/>
        <v>44.736842105263158</v>
      </c>
      <c r="P20" s="2">
        <f t="shared" si="4"/>
        <v>44.736842105263158</v>
      </c>
      <c r="Q20" s="2">
        <f>VLOOKUP(A20,[1]TDSheet!$A:$Q,17,0)</f>
        <v>9</v>
      </c>
      <c r="R20" s="2">
        <f>VLOOKUP(A20,[1]TDSheet!$A:$L,12,0)</f>
        <v>9.4</v>
      </c>
      <c r="U20" s="2">
        <f t="shared" si="5"/>
        <v>0</v>
      </c>
    </row>
    <row r="21" spans="1:21" outlineLevel="1" x14ac:dyDescent="0.2">
      <c r="A21" s="8" t="s">
        <v>27</v>
      </c>
      <c r="B21" s="8" t="s">
        <v>16</v>
      </c>
      <c r="C21" s="9">
        <v>36</v>
      </c>
      <c r="D21" s="9">
        <v>65</v>
      </c>
      <c r="E21" s="9">
        <v>33</v>
      </c>
      <c r="F21" s="9">
        <v>55</v>
      </c>
      <c r="G21" s="18">
        <f>VLOOKUP(A21,[1]TDSheet!$A:$G,7,0)</f>
        <v>0.3</v>
      </c>
      <c r="J21" s="2">
        <f>18/G21</f>
        <v>60</v>
      </c>
      <c r="L21" s="2">
        <f t="shared" si="2"/>
        <v>6.6</v>
      </c>
      <c r="M21" s="28"/>
      <c r="N21" s="22"/>
      <c r="O21" s="2">
        <f t="shared" si="3"/>
        <v>17.424242424242426</v>
      </c>
      <c r="P21" s="2">
        <f t="shared" si="4"/>
        <v>17.424242424242426</v>
      </c>
      <c r="Q21" s="2">
        <f>VLOOKUP(A21,[1]TDSheet!$A:$Q,17,0)</f>
        <v>10.8</v>
      </c>
      <c r="R21" s="2">
        <f>VLOOKUP(A21,[1]TDSheet!$A:$L,12,0)</f>
        <v>10.4</v>
      </c>
      <c r="U21" s="2">
        <f t="shared" si="5"/>
        <v>0</v>
      </c>
    </row>
    <row r="22" spans="1:21" outlineLevel="1" x14ac:dyDescent="0.2">
      <c r="A22" s="8" t="s">
        <v>28</v>
      </c>
      <c r="B22" s="8" t="s">
        <v>16</v>
      </c>
      <c r="C22" s="9">
        <v>20</v>
      </c>
      <c r="D22" s="9">
        <v>100</v>
      </c>
      <c r="E22" s="9">
        <v>13</v>
      </c>
      <c r="F22" s="9">
        <v>105</v>
      </c>
      <c r="G22" s="18">
        <f>VLOOKUP(A22,[1]TDSheet!$A:$G,7,0)</f>
        <v>0.5</v>
      </c>
      <c r="J22" s="2">
        <f>25/G22</f>
        <v>50</v>
      </c>
      <c r="L22" s="2">
        <f t="shared" si="2"/>
        <v>2.6</v>
      </c>
      <c r="M22" s="28"/>
      <c r="N22" s="22"/>
      <c r="O22" s="2">
        <f t="shared" si="3"/>
        <v>59.615384615384613</v>
      </c>
      <c r="P22" s="2">
        <f t="shared" si="4"/>
        <v>59.615384615384613</v>
      </c>
      <c r="Q22" s="2">
        <f>VLOOKUP(A22,[1]TDSheet!$A:$Q,17,0)</f>
        <v>1.4</v>
      </c>
      <c r="R22" s="2">
        <f>VLOOKUP(A22,[1]TDSheet!$A:$L,12,0)</f>
        <v>3</v>
      </c>
      <c r="U22" s="2">
        <f t="shared" si="5"/>
        <v>0</v>
      </c>
    </row>
    <row r="23" spans="1:21" outlineLevel="1" x14ac:dyDescent="0.2">
      <c r="A23" s="8" t="s">
        <v>29</v>
      </c>
      <c r="B23" s="8" t="s">
        <v>16</v>
      </c>
      <c r="C23" s="10"/>
      <c r="D23" s="9">
        <v>207</v>
      </c>
      <c r="E23" s="9">
        <v>147</v>
      </c>
      <c r="F23" s="9">
        <v>36</v>
      </c>
      <c r="G23" s="18">
        <f>VLOOKUP(A23,[1]TDSheet!$A:$G,7,0)</f>
        <v>0.35</v>
      </c>
      <c r="J23" s="2">
        <f>70/G23</f>
        <v>200</v>
      </c>
      <c r="L23" s="2">
        <f t="shared" si="2"/>
        <v>29.4</v>
      </c>
      <c r="M23" s="28">
        <v>120</v>
      </c>
      <c r="N23" s="22"/>
      <c r="O23" s="2">
        <f t="shared" si="3"/>
        <v>12.108843537414966</v>
      </c>
      <c r="P23" s="2">
        <f t="shared" si="4"/>
        <v>8.0272108843537424</v>
      </c>
      <c r="Q23" s="2">
        <f>VLOOKUP(A23,[1]TDSheet!$A:$Q,17,0)</f>
        <v>20.2</v>
      </c>
      <c r="R23" s="2">
        <f>VLOOKUP(A23,[1]TDSheet!$A:$L,12,0)</f>
        <v>7.2</v>
      </c>
      <c r="U23" s="2">
        <f t="shared" si="5"/>
        <v>42</v>
      </c>
    </row>
    <row r="24" spans="1:21" outlineLevel="1" x14ac:dyDescent="0.2">
      <c r="A24" s="8" t="s">
        <v>30</v>
      </c>
      <c r="B24" s="8" t="s">
        <v>16</v>
      </c>
      <c r="C24" s="9">
        <v>53</v>
      </c>
      <c r="D24" s="9">
        <v>1</v>
      </c>
      <c r="E24" s="9">
        <v>46</v>
      </c>
      <c r="F24" s="9">
        <v>7</v>
      </c>
      <c r="G24" s="18">
        <f>VLOOKUP(A24,[1]TDSheet!$A:$G,7,0)</f>
        <v>0.17</v>
      </c>
      <c r="J24" s="2">
        <f>25.5/G24</f>
        <v>150</v>
      </c>
      <c r="L24" s="2">
        <f t="shared" si="2"/>
        <v>9.1999999999999993</v>
      </c>
      <c r="M24" s="28"/>
      <c r="N24" s="22"/>
      <c r="O24" s="2">
        <f t="shared" si="3"/>
        <v>17.065217391304348</v>
      </c>
      <c r="P24" s="2">
        <f t="shared" si="4"/>
        <v>17.065217391304348</v>
      </c>
      <c r="Q24" s="2">
        <f>VLOOKUP(A24,[1]TDSheet!$A:$Q,17,0)</f>
        <v>15</v>
      </c>
      <c r="R24" s="2">
        <f>VLOOKUP(A24,[1]TDSheet!$A:$L,12,0)</f>
        <v>15.6</v>
      </c>
      <c r="U24" s="2">
        <f t="shared" si="5"/>
        <v>0</v>
      </c>
    </row>
    <row r="25" spans="1:21" outlineLevel="1" x14ac:dyDescent="0.2">
      <c r="A25" s="8" t="s">
        <v>31</v>
      </c>
      <c r="B25" s="8" t="s">
        <v>16</v>
      </c>
      <c r="C25" s="9">
        <v>108</v>
      </c>
      <c r="D25" s="9">
        <v>120</v>
      </c>
      <c r="E25" s="9">
        <v>33</v>
      </c>
      <c r="F25" s="9">
        <v>182</v>
      </c>
      <c r="G25" s="18">
        <f>VLOOKUP(A25,[1]TDSheet!$A:$G,7,0)</f>
        <v>0.28000000000000003</v>
      </c>
      <c r="J25" s="2">
        <f>16.8/G25</f>
        <v>60</v>
      </c>
      <c r="L25" s="2">
        <f t="shared" si="2"/>
        <v>6.6</v>
      </c>
      <c r="M25" s="28"/>
      <c r="N25" s="22"/>
      <c r="O25" s="2">
        <f t="shared" si="3"/>
        <v>36.666666666666671</v>
      </c>
      <c r="P25" s="2">
        <f t="shared" si="4"/>
        <v>36.666666666666671</v>
      </c>
      <c r="Q25" s="2">
        <f>VLOOKUP(A25,[1]TDSheet!$A:$Q,17,0)</f>
        <v>18</v>
      </c>
      <c r="R25" s="2">
        <f>VLOOKUP(A25,[1]TDSheet!$A:$L,12,0)</f>
        <v>13.4</v>
      </c>
      <c r="U25" s="2">
        <f t="shared" si="5"/>
        <v>0</v>
      </c>
    </row>
    <row r="26" spans="1:21" outlineLevel="1" x14ac:dyDescent="0.2">
      <c r="A26" s="8" t="s">
        <v>32</v>
      </c>
      <c r="B26" s="8" t="s">
        <v>16</v>
      </c>
      <c r="C26" s="9">
        <v>-4</v>
      </c>
      <c r="D26" s="9">
        <v>42</v>
      </c>
      <c r="E26" s="9">
        <v>3</v>
      </c>
      <c r="F26" s="9">
        <v>28</v>
      </c>
      <c r="G26" s="18">
        <f>VLOOKUP(A26,[1]TDSheet!$A:$G,7,0)</f>
        <v>0.38</v>
      </c>
      <c r="J26" s="2">
        <f>15.96/G26</f>
        <v>42</v>
      </c>
      <c r="L26" s="2">
        <f t="shared" si="2"/>
        <v>0.6</v>
      </c>
      <c r="M26" s="28"/>
      <c r="N26" s="22"/>
      <c r="O26" s="2">
        <f t="shared" si="3"/>
        <v>116.66666666666667</v>
      </c>
      <c r="P26" s="2">
        <f t="shared" si="4"/>
        <v>116.66666666666667</v>
      </c>
      <c r="Q26" s="2">
        <f>VLOOKUP(A26,[1]TDSheet!$A:$Q,17,0)</f>
        <v>5.8</v>
      </c>
      <c r="R26" s="2">
        <f>VLOOKUP(A26,[1]TDSheet!$A:$L,12,0)</f>
        <v>1.2</v>
      </c>
      <c r="U26" s="2">
        <f t="shared" si="5"/>
        <v>0</v>
      </c>
    </row>
    <row r="27" spans="1:21" outlineLevel="1" x14ac:dyDescent="0.2">
      <c r="A27" s="8" t="s">
        <v>33</v>
      </c>
      <c r="B27" s="8" t="s">
        <v>16</v>
      </c>
      <c r="C27" s="9">
        <v>36</v>
      </c>
      <c r="D27" s="9">
        <v>120</v>
      </c>
      <c r="E27" s="9">
        <v>92</v>
      </c>
      <c r="F27" s="9">
        <v>60</v>
      </c>
      <c r="G27" s="18">
        <f>VLOOKUP(A27,[1]TDSheet!$A:$G,7,0)</f>
        <v>0.42</v>
      </c>
      <c r="J27" s="2">
        <f>37.8/G27</f>
        <v>90</v>
      </c>
      <c r="L27" s="2">
        <f t="shared" si="2"/>
        <v>18.399999999999999</v>
      </c>
      <c r="M27" s="28">
        <v>70</v>
      </c>
      <c r="N27" s="22"/>
      <c r="O27" s="2">
        <f t="shared" si="3"/>
        <v>11.956521739130435</v>
      </c>
      <c r="P27" s="2">
        <f t="shared" si="4"/>
        <v>8.1521739130434785</v>
      </c>
      <c r="Q27" s="2">
        <f>VLOOKUP(A27,[1]TDSheet!$A:$Q,17,0)</f>
        <v>22</v>
      </c>
      <c r="R27" s="2">
        <f>VLOOKUP(A27,[1]TDSheet!$A:$L,12,0)</f>
        <v>21.8</v>
      </c>
      <c r="U27" s="2">
        <f t="shared" si="5"/>
        <v>29.4</v>
      </c>
    </row>
    <row r="28" spans="1:21" outlineLevel="1" x14ac:dyDescent="0.2">
      <c r="A28" s="8" t="s">
        <v>34</v>
      </c>
      <c r="B28" s="8" t="s">
        <v>16</v>
      </c>
      <c r="C28" s="9">
        <v>305</v>
      </c>
      <c r="D28" s="9">
        <v>638</v>
      </c>
      <c r="E28" s="9">
        <v>242</v>
      </c>
      <c r="F28" s="25">
        <f>661+F80</f>
        <v>660</v>
      </c>
      <c r="G28" s="18">
        <f>VLOOKUP(A28,[1]TDSheet!$A:$G,7,0)</f>
        <v>0.42</v>
      </c>
      <c r="J28" s="2">
        <f>210/G28</f>
        <v>500</v>
      </c>
      <c r="L28" s="2">
        <f t="shared" si="2"/>
        <v>48.4</v>
      </c>
      <c r="M28" s="28"/>
      <c r="N28" s="22"/>
      <c r="O28" s="2">
        <f t="shared" si="3"/>
        <v>23.966942148760332</v>
      </c>
      <c r="P28" s="2">
        <f t="shared" si="4"/>
        <v>23.966942148760332</v>
      </c>
      <c r="Q28" s="2">
        <f>VLOOKUP(A28,[1]TDSheet!$A:$Q,17,0)</f>
        <v>76</v>
      </c>
      <c r="R28" s="2">
        <f>VLOOKUP(A28,[1]TDSheet!$A:$L,12,0)</f>
        <v>72.2</v>
      </c>
      <c r="U28" s="2">
        <f t="shared" si="5"/>
        <v>0</v>
      </c>
    </row>
    <row r="29" spans="1:21" outlineLevel="1" x14ac:dyDescent="0.2">
      <c r="A29" s="8" t="s">
        <v>35</v>
      </c>
      <c r="B29" s="8" t="s">
        <v>16</v>
      </c>
      <c r="C29" s="9">
        <v>194</v>
      </c>
      <c r="D29" s="9">
        <v>264</v>
      </c>
      <c r="E29" s="9">
        <v>210</v>
      </c>
      <c r="F29" s="9">
        <v>210</v>
      </c>
      <c r="G29" s="18">
        <f>VLOOKUP(A29,[1]TDSheet!$A:$G,7,0)</f>
        <v>0.6</v>
      </c>
      <c r="J29" s="2">
        <f>90/G29</f>
        <v>150</v>
      </c>
      <c r="L29" s="2">
        <f t="shared" si="2"/>
        <v>42</v>
      </c>
      <c r="M29" s="28">
        <v>150</v>
      </c>
      <c r="N29" s="22"/>
      <c r="O29" s="2">
        <f t="shared" si="3"/>
        <v>12.142857142857142</v>
      </c>
      <c r="P29" s="2">
        <f t="shared" si="4"/>
        <v>8.5714285714285712</v>
      </c>
      <c r="Q29" s="2">
        <f>VLOOKUP(A29,[1]TDSheet!$A:$Q,17,0)</f>
        <v>22</v>
      </c>
      <c r="R29" s="2">
        <f>VLOOKUP(A29,[1]TDSheet!$A:$L,12,0)</f>
        <v>18.399999999999999</v>
      </c>
      <c r="T29" s="26"/>
      <c r="U29" s="2">
        <f t="shared" si="5"/>
        <v>90</v>
      </c>
    </row>
    <row r="30" spans="1:21" outlineLevel="1" x14ac:dyDescent="0.2">
      <c r="A30" s="8" t="s">
        <v>36</v>
      </c>
      <c r="B30" s="8" t="s">
        <v>16</v>
      </c>
      <c r="C30" s="9">
        <v>4</v>
      </c>
      <c r="D30" s="9">
        <v>175</v>
      </c>
      <c r="E30" s="9">
        <v>70</v>
      </c>
      <c r="F30" s="9">
        <v>32</v>
      </c>
      <c r="G30" s="18">
        <f>VLOOKUP(A30,[1]TDSheet!$A:$G,7,0)</f>
        <v>0.35</v>
      </c>
      <c r="J30" s="2">
        <f>42/G30</f>
        <v>120.00000000000001</v>
      </c>
      <c r="L30" s="2">
        <f t="shared" si="2"/>
        <v>14</v>
      </c>
      <c r="M30" s="28">
        <v>15</v>
      </c>
      <c r="N30" s="22"/>
      <c r="O30" s="2">
        <f t="shared" si="3"/>
        <v>11.928571428571429</v>
      </c>
      <c r="P30" s="2">
        <f t="shared" si="4"/>
        <v>10.857142857142858</v>
      </c>
      <c r="Q30" s="2">
        <f>VLOOKUP(A30,[1]TDSheet!$A:$Q,17,0)</f>
        <v>5.4</v>
      </c>
      <c r="R30" s="2">
        <f>VLOOKUP(A30,[1]TDSheet!$A:$L,12,0)</f>
        <v>0.8</v>
      </c>
      <c r="U30" s="2">
        <f t="shared" si="5"/>
        <v>5.25</v>
      </c>
    </row>
    <row r="31" spans="1:21" outlineLevel="1" x14ac:dyDescent="0.2">
      <c r="A31" s="8" t="s">
        <v>37</v>
      </c>
      <c r="B31" s="8" t="s">
        <v>16</v>
      </c>
      <c r="C31" s="9">
        <v>5</v>
      </c>
      <c r="D31" s="9">
        <v>139</v>
      </c>
      <c r="E31" s="9">
        <v>46</v>
      </c>
      <c r="F31" s="9">
        <v>48</v>
      </c>
      <c r="G31" s="18">
        <f>VLOOKUP(A31,[1]TDSheet!$A:$G,7,0)</f>
        <v>0.35</v>
      </c>
      <c r="J31" s="2">
        <f>42/G31</f>
        <v>120.00000000000001</v>
      </c>
      <c r="L31" s="2">
        <f t="shared" si="2"/>
        <v>9.1999999999999993</v>
      </c>
      <c r="M31" s="28"/>
      <c r="N31" s="22"/>
      <c r="O31" s="2">
        <f t="shared" si="3"/>
        <v>18.260869565217394</v>
      </c>
      <c r="P31" s="2">
        <f t="shared" si="4"/>
        <v>18.260869565217394</v>
      </c>
      <c r="Q31" s="2">
        <f>VLOOKUP(A31,[1]TDSheet!$A:$Q,17,0)</f>
        <v>6.6</v>
      </c>
      <c r="R31" s="2">
        <f>VLOOKUP(A31,[1]TDSheet!$A:$L,12,0)</f>
        <v>2.8</v>
      </c>
      <c r="U31" s="2">
        <f t="shared" si="5"/>
        <v>0</v>
      </c>
    </row>
    <row r="32" spans="1:21" outlineLevel="1" x14ac:dyDescent="0.2">
      <c r="A32" s="8" t="s">
        <v>38</v>
      </c>
      <c r="B32" s="8" t="s">
        <v>16</v>
      </c>
      <c r="C32" s="10"/>
      <c r="D32" s="9">
        <v>120</v>
      </c>
      <c r="E32" s="9">
        <v>77</v>
      </c>
      <c r="F32" s="9">
        <v>12</v>
      </c>
      <c r="G32" s="18">
        <f>VLOOKUP(A32,[1]TDSheet!$A:$G,7,0)</f>
        <v>0.35</v>
      </c>
      <c r="J32" s="2">
        <f>42/G32</f>
        <v>120.00000000000001</v>
      </c>
      <c r="L32" s="2">
        <f t="shared" si="2"/>
        <v>15.4</v>
      </c>
      <c r="M32" s="28">
        <v>55</v>
      </c>
      <c r="N32" s="22"/>
      <c r="O32" s="2">
        <f t="shared" si="3"/>
        <v>12.142857142857142</v>
      </c>
      <c r="P32" s="2">
        <f t="shared" si="4"/>
        <v>8.5714285714285712</v>
      </c>
      <c r="Q32" s="2">
        <f>VLOOKUP(A32,[1]TDSheet!$A:$Q,17,0)</f>
        <v>10.199999999999999</v>
      </c>
      <c r="R32" s="2">
        <f>VLOOKUP(A32,[1]TDSheet!$A:$L,12,0)</f>
        <v>3.6</v>
      </c>
      <c r="U32" s="2">
        <f t="shared" si="5"/>
        <v>19.25</v>
      </c>
    </row>
    <row r="33" spans="1:21" outlineLevel="1" x14ac:dyDescent="0.2">
      <c r="A33" s="8" t="s">
        <v>39</v>
      </c>
      <c r="B33" s="8" t="s">
        <v>16</v>
      </c>
      <c r="C33" s="9">
        <v>17</v>
      </c>
      <c r="D33" s="9">
        <v>1</v>
      </c>
      <c r="E33" s="9"/>
      <c r="F33" s="9">
        <v>17</v>
      </c>
      <c r="G33" s="18">
        <f>VLOOKUP(A33,[1]TDSheet!$A:$G,7,0)</f>
        <v>0.1</v>
      </c>
      <c r="L33" s="2">
        <f t="shared" si="2"/>
        <v>0</v>
      </c>
      <c r="M33" s="28"/>
      <c r="N33" s="22"/>
      <c r="O33" s="2" t="e">
        <f t="shared" si="3"/>
        <v>#DIV/0!</v>
      </c>
      <c r="P33" s="2" t="e">
        <f t="shared" si="4"/>
        <v>#DIV/0!</v>
      </c>
      <c r="Q33" s="2">
        <f>VLOOKUP(A33,[1]TDSheet!$A:$Q,17,0)</f>
        <v>0</v>
      </c>
      <c r="R33" s="2">
        <f>VLOOKUP(A33,[1]TDSheet!$A:$L,12,0)</f>
        <v>0</v>
      </c>
      <c r="U33" s="2">
        <f t="shared" si="5"/>
        <v>0</v>
      </c>
    </row>
    <row r="34" spans="1:21" outlineLevel="1" x14ac:dyDescent="0.2">
      <c r="A34" s="8" t="s">
        <v>40</v>
      </c>
      <c r="B34" s="8" t="s">
        <v>11</v>
      </c>
      <c r="C34" s="9">
        <v>441.262</v>
      </c>
      <c r="D34" s="9">
        <v>335.447</v>
      </c>
      <c r="E34" s="9">
        <v>205.245</v>
      </c>
      <c r="F34" s="9">
        <v>548.34699999999998</v>
      </c>
      <c r="G34" s="18">
        <f>VLOOKUP(A34,[1]TDSheet!$A:$G,7,0)</f>
        <v>1</v>
      </c>
      <c r="J34" s="2">
        <v>150</v>
      </c>
      <c r="L34" s="2">
        <f t="shared" si="2"/>
        <v>41.048999999999999</v>
      </c>
      <c r="M34" s="28"/>
      <c r="N34" s="22"/>
      <c r="O34" s="2">
        <f t="shared" si="3"/>
        <v>17.012521620502326</v>
      </c>
      <c r="P34" s="2">
        <f t="shared" si="4"/>
        <v>17.012521620502326</v>
      </c>
      <c r="Q34" s="2">
        <f>VLOOKUP(A34,[1]TDSheet!$A:$Q,17,0)</f>
        <v>41.594799999999999</v>
      </c>
      <c r="R34" s="2">
        <f>VLOOKUP(A34,[1]TDSheet!$A:$L,12,0)</f>
        <v>60.945000000000007</v>
      </c>
      <c r="U34" s="2">
        <f t="shared" si="5"/>
        <v>0</v>
      </c>
    </row>
    <row r="35" spans="1:21" outlineLevel="1" x14ac:dyDescent="0.2">
      <c r="A35" s="8" t="s">
        <v>41</v>
      </c>
      <c r="B35" s="8" t="s">
        <v>11</v>
      </c>
      <c r="C35" s="9">
        <v>422.77499999999998</v>
      </c>
      <c r="D35" s="9">
        <v>598.95000000000005</v>
      </c>
      <c r="E35" s="9">
        <v>418.23500000000001</v>
      </c>
      <c r="F35" s="9">
        <v>529.06500000000005</v>
      </c>
      <c r="G35" s="18">
        <f>VLOOKUP(A35,[1]TDSheet!$A:$G,7,0)</f>
        <v>1</v>
      </c>
      <c r="J35" s="2">
        <v>500</v>
      </c>
      <c r="L35" s="2">
        <f t="shared" si="2"/>
        <v>83.647000000000006</v>
      </c>
      <c r="M35" s="28"/>
      <c r="N35" s="22"/>
      <c r="O35" s="2">
        <f t="shared" si="3"/>
        <v>12.30247348978445</v>
      </c>
      <c r="P35" s="2">
        <f t="shared" si="4"/>
        <v>12.30247348978445</v>
      </c>
      <c r="Q35" s="2">
        <f>VLOOKUP(A35,[1]TDSheet!$A:$Q,17,0)</f>
        <v>131.22499999999999</v>
      </c>
      <c r="R35" s="2">
        <f>VLOOKUP(A35,[1]TDSheet!$A:$L,12,0)</f>
        <v>90.580999999999989</v>
      </c>
      <c r="U35" s="2">
        <f t="shared" si="5"/>
        <v>0</v>
      </c>
    </row>
    <row r="36" spans="1:21" outlineLevel="1" x14ac:dyDescent="0.2">
      <c r="A36" s="20" t="s">
        <v>42</v>
      </c>
      <c r="B36" s="20" t="s">
        <v>11</v>
      </c>
      <c r="C36" s="21">
        <v>-5.56</v>
      </c>
      <c r="D36" s="21"/>
      <c r="E36" s="21"/>
      <c r="F36" s="21">
        <v>-5.56</v>
      </c>
      <c r="G36" s="18">
        <f>VLOOKUP(A36,[1]TDSheet!$A:$G,7,0)</f>
        <v>0</v>
      </c>
      <c r="L36" s="2">
        <f t="shared" si="2"/>
        <v>0</v>
      </c>
      <c r="M36" s="28"/>
      <c r="N36" s="22"/>
      <c r="O36" s="2" t="e">
        <f t="shared" si="3"/>
        <v>#DIV/0!</v>
      </c>
      <c r="P36" s="2" t="e">
        <f t="shared" si="4"/>
        <v>#DIV/0!</v>
      </c>
      <c r="Q36" s="2">
        <f>VLOOKUP(A36,[1]TDSheet!$A:$Q,17,0)</f>
        <v>0</v>
      </c>
      <c r="R36" s="2">
        <f>VLOOKUP(A36,[1]TDSheet!$A:$L,12,0)</f>
        <v>0</v>
      </c>
      <c r="T36" s="19" t="str">
        <f>VLOOKUP(A36,[1]TDSheet!$A:$T,20,0)</f>
        <v>не в матрице</v>
      </c>
      <c r="U36" s="2">
        <f t="shared" si="5"/>
        <v>0</v>
      </c>
    </row>
    <row r="37" spans="1:21" outlineLevel="1" x14ac:dyDescent="0.2">
      <c r="A37" s="8" t="s">
        <v>43</v>
      </c>
      <c r="B37" s="8" t="s">
        <v>11</v>
      </c>
      <c r="C37" s="9">
        <v>5.2969999999999997</v>
      </c>
      <c r="D37" s="9"/>
      <c r="E37" s="9"/>
      <c r="F37" s="9">
        <v>5.2969999999999997</v>
      </c>
      <c r="G37" s="18">
        <f>VLOOKUP(A37,[1]TDSheet!$A:$G,7,0)</f>
        <v>1</v>
      </c>
      <c r="L37" s="2">
        <f t="shared" si="2"/>
        <v>0</v>
      </c>
      <c r="M37" s="28"/>
      <c r="N37" s="22"/>
      <c r="O37" s="2" t="e">
        <f t="shared" si="3"/>
        <v>#DIV/0!</v>
      </c>
      <c r="P37" s="2" t="e">
        <f t="shared" si="4"/>
        <v>#DIV/0!</v>
      </c>
      <c r="Q37" s="2">
        <f>VLOOKUP(A37,[1]TDSheet!$A:$Q,17,0)</f>
        <v>0.15140000000000001</v>
      </c>
      <c r="R37" s="2">
        <f>VLOOKUP(A37,[1]TDSheet!$A:$L,12,0)</f>
        <v>0.22599999999999998</v>
      </c>
      <c r="U37" s="2">
        <f t="shared" si="5"/>
        <v>0</v>
      </c>
    </row>
    <row r="38" spans="1:21" outlineLevel="1" x14ac:dyDescent="0.2">
      <c r="A38" s="8" t="s">
        <v>44</v>
      </c>
      <c r="B38" s="8" t="s">
        <v>11</v>
      </c>
      <c r="C38" s="9">
        <v>10.42</v>
      </c>
      <c r="D38" s="9">
        <v>48.844999999999999</v>
      </c>
      <c r="E38" s="9">
        <v>36.04</v>
      </c>
      <c r="F38" s="9">
        <v>20.62</v>
      </c>
      <c r="G38" s="18">
        <f>VLOOKUP(A38,[1]TDSheet!$A:$G,7,0)</f>
        <v>1</v>
      </c>
      <c r="J38" s="2">
        <v>45</v>
      </c>
      <c r="L38" s="2">
        <f t="shared" si="2"/>
        <v>7.2080000000000002</v>
      </c>
      <c r="M38" s="28">
        <v>20</v>
      </c>
      <c r="N38" s="22"/>
      <c r="O38" s="2">
        <f t="shared" si="3"/>
        <v>11.878468368479467</v>
      </c>
      <c r="P38" s="2">
        <f t="shared" si="4"/>
        <v>9.1037735849056602</v>
      </c>
      <c r="Q38" s="2">
        <f>VLOOKUP(A38,[1]TDSheet!$A:$Q,17,0)</f>
        <v>8.4304000000000006</v>
      </c>
      <c r="R38" s="2">
        <f>VLOOKUP(A38,[1]TDSheet!$A:$L,12,0)</f>
        <v>12.0824</v>
      </c>
      <c r="U38" s="2">
        <f t="shared" si="5"/>
        <v>20</v>
      </c>
    </row>
    <row r="39" spans="1:21" outlineLevel="1" x14ac:dyDescent="0.2">
      <c r="A39" s="8" t="s">
        <v>45</v>
      </c>
      <c r="B39" s="8" t="s">
        <v>11</v>
      </c>
      <c r="C39" s="9">
        <v>5.39</v>
      </c>
      <c r="D39" s="9">
        <v>76.42</v>
      </c>
      <c r="E39" s="9">
        <v>61.52</v>
      </c>
      <c r="F39" s="9"/>
      <c r="G39" s="18">
        <f>VLOOKUP(A39,[1]TDSheet!$A:$G,7,0)</f>
        <v>1</v>
      </c>
      <c r="J39" s="2">
        <v>120</v>
      </c>
      <c r="L39" s="2">
        <f t="shared" si="2"/>
        <v>12.304</v>
      </c>
      <c r="M39" s="28">
        <v>30</v>
      </c>
      <c r="N39" s="22"/>
      <c r="O39" s="2">
        <f t="shared" si="3"/>
        <v>12.191157347204161</v>
      </c>
      <c r="P39" s="2">
        <f t="shared" si="4"/>
        <v>9.7529258777633281</v>
      </c>
      <c r="Q39" s="2">
        <f>VLOOKUP(A39,[1]TDSheet!$A:$Q,17,0)</f>
        <v>18.056000000000001</v>
      </c>
      <c r="R39" s="2">
        <f>VLOOKUP(A39,[1]TDSheet!$A:$L,12,0)</f>
        <v>9.7360000000000007</v>
      </c>
      <c r="U39" s="2">
        <f t="shared" si="5"/>
        <v>30</v>
      </c>
    </row>
    <row r="40" spans="1:21" outlineLevel="1" x14ac:dyDescent="0.2">
      <c r="A40" s="20" t="s">
        <v>46</v>
      </c>
      <c r="B40" s="20" t="s">
        <v>11</v>
      </c>
      <c r="C40" s="21">
        <v>0.01</v>
      </c>
      <c r="D40" s="21"/>
      <c r="E40" s="21">
        <v>-0.43</v>
      </c>
      <c r="F40" s="21">
        <v>0.01</v>
      </c>
      <c r="G40" s="18">
        <f>VLOOKUP(A40,[1]TDSheet!$A:$G,7,0)</f>
        <v>0</v>
      </c>
      <c r="L40" s="2">
        <f t="shared" si="2"/>
        <v>-8.5999999999999993E-2</v>
      </c>
      <c r="M40" s="28"/>
      <c r="N40" s="22"/>
      <c r="O40" s="2">
        <f t="shared" si="3"/>
        <v>-0.11627906976744187</v>
      </c>
      <c r="P40" s="2">
        <f t="shared" si="4"/>
        <v>-0.11627906976744187</v>
      </c>
      <c r="Q40" s="2">
        <f>VLOOKUP(A40,[1]TDSheet!$A:$Q,17,0)</f>
        <v>0.52739999999999998</v>
      </c>
      <c r="R40" s="2">
        <f>VLOOKUP(A40,[1]TDSheet!$A:$L,12,0)</f>
        <v>1.0518000000000001</v>
      </c>
      <c r="T40" s="19" t="str">
        <f>VLOOKUP(A40,[1]TDSheet!$A:$T,20,0)</f>
        <v>не в матрице</v>
      </c>
      <c r="U40" s="2">
        <f t="shared" si="5"/>
        <v>0</v>
      </c>
    </row>
    <row r="41" spans="1:21" outlineLevel="1" x14ac:dyDescent="0.2">
      <c r="A41" s="20" t="s">
        <v>47</v>
      </c>
      <c r="B41" s="20" t="s">
        <v>11</v>
      </c>
      <c r="C41" s="21">
        <v>0.88200000000000001</v>
      </c>
      <c r="D41" s="21"/>
      <c r="E41" s="21">
        <v>0.88200000000000001</v>
      </c>
      <c r="F41" s="21"/>
      <c r="G41" s="18">
        <f>VLOOKUP(A41,[1]TDSheet!$A:$G,7,0)</f>
        <v>0</v>
      </c>
      <c r="L41" s="2">
        <f t="shared" si="2"/>
        <v>0.1764</v>
      </c>
      <c r="M41" s="28"/>
      <c r="N41" s="22"/>
      <c r="O41" s="2">
        <f t="shared" si="3"/>
        <v>0</v>
      </c>
      <c r="P41" s="2">
        <f t="shared" si="4"/>
        <v>0</v>
      </c>
      <c r="Q41" s="2">
        <f>VLOOKUP(A41,[1]TDSheet!$A:$Q,17,0)</f>
        <v>0</v>
      </c>
      <c r="R41" s="2">
        <f>VLOOKUP(A41,[1]TDSheet!$A:$L,12,0)</f>
        <v>0</v>
      </c>
      <c r="T41" s="19" t="str">
        <f>VLOOKUP(A41,[1]TDSheet!$A:$T,20,0)</f>
        <v>не в матрице</v>
      </c>
      <c r="U41" s="2">
        <f t="shared" si="5"/>
        <v>0</v>
      </c>
    </row>
    <row r="42" spans="1:21" outlineLevel="1" x14ac:dyDescent="0.2">
      <c r="A42" s="8" t="s">
        <v>48</v>
      </c>
      <c r="B42" s="8" t="s">
        <v>11</v>
      </c>
      <c r="C42" s="9">
        <v>9.2690000000000001</v>
      </c>
      <c r="D42" s="9">
        <v>0.39600000000000002</v>
      </c>
      <c r="E42" s="9">
        <v>0.376</v>
      </c>
      <c r="F42" s="9">
        <v>9.2889999999999997</v>
      </c>
      <c r="G42" s="18">
        <f>VLOOKUP(A42,[1]TDSheet!$A:$G,7,0)</f>
        <v>1</v>
      </c>
      <c r="L42" s="2">
        <f t="shared" si="2"/>
        <v>7.5200000000000003E-2</v>
      </c>
      <c r="M42" s="28"/>
      <c r="N42" s="22"/>
      <c r="O42" s="2">
        <f t="shared" si="3"/>
        <v>123.52393617021276</v>
      </c>
      <c r="P42" s="2">
        <f t="shared" si="4"/>
        <v>123.52393617021276</v>
      </c>
      <c r="Q42" s="2">
        <f>VLOOKUP(A42,[1]TDSheet!$A:$Q,17,0)</f>
        <v>0.2064</v>
      </c>
      <c r="R42" s="2">
        <f>VLOOKUP(A42,[1]TDSheet!$A:$L,12,0)</f>
        <v>0.58520000000000005</v>
      </c>
      <c r="T42" s="31" t="s">
        <v>101</v>
      </c>
      <c r="U42" s="2">
        <f t="shared" si="5"/>
        <v>0</v>
      </c>
    </row>
    <row r="43" spans="1:21" outlineLevel="1" x14ac:dyDescent="0.2">
      <c r="A43" s="20" t="s">
        <v>49</v>
      </c>
      <c r="B43" s="20" t="s">
        <v>11</v>
      </c>
      <c r="C43" s="21">
        <v>0.16500000000000001</v>
      </c>
      <c r="D43" s="21"/>
      <c r="E43" s="21">
        <v>-0.86</v>
      </c>
      <c r="F43" s="21">
        <v>0.16500000000000001</v>
      </c>
      <c r="G43" s="18">
        <f>VLOOKUP(A43,[1]TDSheet!$A:$G,7,0)</f>
        <v>0</v>
      </c>
      <c r="L43" s="2">
        <f t="shared" si="2"/>
        <v>-0.17199999999999999</v>
      </c>
      <c r="M43" s="28"/>
      <c r="N43" s="22"/>
      <c r="O43" s="2">
        <f t="shared" si="3"/>
        <v>-0.9593023255813955</v>
      </c>
      <c r="P43" s="2">
        <f t="shared" si="4"/>
        <v>-0.9593023255813955</v>
      </c>
      <c r="Q43" s="2">
        <f>VLOOKUP(A43,[1]TDSheet!$A:$Q,17,0)</f>
        <v>0.63600000000000001</v>
      </c>
      <c r="R43" s="2">
        <f>VLOOKUP(A43,[1]TDSheet!$A:$L,12,0)</f>
        <v>0.87539999999999996</v>
      </c>
      <c r="T43" s="19" t="str">
        <f>VLOOKUP(A43,[1]TDSheet!$A:$T,20,0)</f>
        <v>не в матрице</v>
      </c>
      <c r="U43" s="2">
        <f t="shared" si="5"/>
        <v>0</v>
      </c>
    </row>
    <row r="44" spans="1:21" outlineLevel="1" x14ac:dyDescent="0.2">
      <c r="A44" s="8" t="s">
        <v>50</v>
      </c>
      <c r="B44" s="8" t="s">
        <v>11</v>
      </c>
      <c r="C44" s="9">
        <v>79.286000000000001</v>
      </c>
      <c r="D44" s="9"/>
      <c r="E44" s="9"/>
      <c r="F44" s="9">
        <v>1.4410000000000001</v>
      </c>
      <c r="G44" s="18">
        <f>VLOOKUP(A44,[1]TDSheet!$A:$G,7,0)</f>
        <v>1</v>
      </c>
      <c r="J44" s="2">
        <v>250</v>
      </c>
      <c r="L44" s="2">
        <f t="shared" si="2"/>
        <v>0</v>
      </c>
      <c r="M44" s="28"/>
      <c r="N44" s="22"/>
      <c r="O44" s="2" t="e">
        <f t="shared" si="3"/>
        <v>#DIV/0!</v>
      </c>
      <c r="P44" s="2" t="e">
        <f t="shared" si="4"/>
        <v>#DIV/0!</v>
      </c>
      <c r="Q44" s="2">
        <f>VLOOKUP(A44,[1]TDSheet!$A:$Q,17,0)</f>
        <v>50.455399999999997</v>
      </c>
      <c r="R44" s="2">
        <f>VLOOKUP(A44,[1]TDSheet!$A:$L,12,0)</f>
        <v>35.747399999999999</v>
      </c>
      <c r="U44" s="2">
        <f t="shared" si="5"/>
        <v>0</v>
      </c>
    </row>
    <row r="45" spans="1:21" outlineLevel="1" x14ac:dyDescent="0.2">
      <c r="A45" s="8" t="s">
        <v>51</v>
      </c>
      <c r="B45" s="8" t="s">
        <v>11</v>
      </c>
      <c r="C45" s="10"/>
      <c r="D45" s="9">
        <v>1.375</v>
      </c>
      <c r="E45" s="9"/>
      <c r="F45" s="9"/>
      <c r="G45" s="18">
        <f>VLOOKUP(A45,[1]TDSheet!$A:$G,7,0)</f>
        <v>1</v>
      </c>
      <c r="J45" s="2">
        <v>24</v>
      </c>
      <c r="L45" s="2">
        <f t="shared" si="2"/>
        <v>0</v>
      </c>
      <c r="M45" s="28"/>
      <c r="N45" s="22"/>
      <c r="O45" s="2" t="e">
        <f t="shared" si="3"/>
        <v>#DIV/0!</v>
      </c>
      <c r="P45" s="2" t="e">
        <f t="shared" si="4"/>
        <v>#DIV/0!</v>
      </c>
      <c r="Q45" s="2">
        <f>VLOOKUP(A45,[1]TDSheet!$A:$Q,17,0)</f>
        <v>3.3968000000000003</v>
      </c>
      <c r="R45" s="2">
        <f>VLOOKUP(A45,[1]TDSheet!$A:$L,12,0)</f>
        <v>4.1539999999999999</v>
      </c>
      <c r="U45" s="2">
        <f t="shared" si="5"/>
        <v>0</v>
      </c>
    </row>
    <row r="46" spans="1:21" outlineLevel="1" x14ac:dyDescent="0.2">
      <c r="A46" s="8" t="s">
        <v>52</v>
      </c>
      <c r="B46" s="8" t="s">
        <v>11</v>
      </c>
      <c r="C46" s="9">
        <v>29.015000000000001</v>
      </c>
      <c r="D46" s="9"/>
      <c r="E46" s="9">
        <v>12.571999999999999</v>
      </c>
      <c r="F46" s="9">
        <v>12.901</v>
      </c>
      <c r="G46" s="18">
        <f>VLOOKUP(A46,[1]TDSheet!$A:$G,7,0)</f>
        <v>1</v>
      </c>
      <c r="J46" s="2">
        <v>15</v>
      </c>
      <c r="L46" s="2">
        <f t="shared" si="2"/>
        <v>2.5143999999999997</v>
      </c>
      <c r="M46" s="28">
        <v>5</v>
      </c>
      <c r="N46" s="22"/>
      <c r="O46" s="2">
        <f t="shared" si="3"/>
        <v>13.085030225898823</v>
      </c>
      <c r="P46" s="2">
        <f t="shared" si="4"/>
        <v>11.096484250715877</v>
      </c>
      <c r="Q46" s="2">
        <f>VLOOKUP(A46,[1]TDSheet!$A:$Q,17,0)</f>
        <v>1.4704000000000002</v>
      </c>
      <c r="R46" s="2">
        <f>VLOOKUP(A46,[1]TDSheet!$A:$L,12,0)</f>
        <v>1.5185999999999999</v>
      </c>
      <c r="U46" s="2">
        <f t="shared" si="5"/>
        <v>5</v>
      </c>
    </row>
    <row r="47" spans="1:21" outlineLevel="1" x14ac:dyDescent="0.2">
      <c r="A47" s="8" t="s">
        <v>53</v>
      </c>
      <c r="B47" s="8" t="s">
        <v>11</v>
      </c>
      <c r="C47" s="9">
        <v>9.1669999999999998</v>
      </c>
      <c r="D47" s="9"/>
      <c r="E47" s="9">
        <v>5.33</v>
      </c>
      <c r="F47" s="9">
        <v>3.8159999999999998</v>
      </c>
      <c r="G47" s="18">
        <f>VLOOKUP(A47,[1]TDSheet!$A:$G,7,0)</f>
        <v>1</v>
      </c>
      <c r="J47" s="2">
        <v>16</v>
      </c>
      <c r="L47" s="2">
        <f t="shared" si="2"/>
        <v>1.0660000000000001</v>
      </c>
      <c r="M47" s="28"/>
      <c r="N47" s="22"/>
      <c r="O47" s="2">
        <f t="shared" si="3"/>
        <v>18.589118198874296</v>
      </c>
      <c r="P47" s="2">
        <f t="shared" si="4"/>
        <v>18.589118198874296</v>
      </c>
      <c r="Q47" s="2">
        <f>VLOOKUP(A47,[1]TDSheet!$A:$Q,17,0)</f>
        <v>1.6705999999999999</v>
      </c>
      <c r="R47" s="2">
        <f>VLOOKUP(A47,[1]TDSheet!$A:$L,12,0)</f>
        <v>1.4082000000000001</v>
      </c>
      <c r="U47" s="2">
        <f t="shared" si="5"/>
        <v>0</v>
      </c>
    </row>
    <row r="48" spans="1:21" outlineLevel="1" x14ac:dyDescent="0.2">
      <c r="A48" s="8" t="s">
        <v>54</v>
      </c>
      <c r="B48" s="8" t="s">
        <v>11</v>
      </c>
      <c r="C48" s="9">
        <v>199.69499999999999</v>
      </c>
      <c r="D48" s="9">
        <v>207.37299999999999</v>
      </c>
      <c r="E48" s="9">
        <v>142.471</v>
      </c>
      <c r="F48" s="9">
        <v>260.76799999999997</v>
      </c>
      <c r="G48" s="18">
        <f>VLOOKUP(A48,[1]TDSheet!$A:$G,7,0)</f>
        <v>1</v>
      </c>
      <c r="J48" s="2">
        <v>200</v>
      </c>
      <c r="L48" s="2">
        <f t="shared" si="2"/>
        <v>28.494199999999999</v>
      </c>
      <c r="M48" s="28"/>
      <c r="N48" s="22"/>
      <c r="O48" s="2">
        <f t="shared" si="3"/>
        <v>16.170589102343634</v>
      </c>
      <c r="P48" s="2">
        <f t="shared" si="4"/>
        <v>16.170589102343634</v>
      </c>
      <c r="Q48" s="2">
        <f>VLOOKUP(A48,[1]TDSheet!$A:$Q,17,0)</f>
        <v>50.252800000000001</v>
      </c>
      <c r="R48" s="2">
        <f>VLOOKUP(A48,[1]TDSheet!$A:$L,12,0)</f>
        <v>29.567799999999998</v>
      </c>
      <c r="U48" s="2">
        <f t="shared" si="5"/>
        <v>0</v>
      </c>
    </row>
    <row r="49" spans="1:21" outlineLevel="1" x14ac:dyDescent="0.2">
      <c r="A49" s="8" t="s">
        <v>55</v>
      </c>
      <c r="B49" s="8" t="s">
        <v>11</v>
      </c>
      <c r="C49" s="9">
        <v>9.2759999999999998</v>
      </c>
      <c r="D49" s="9">
        <v>37.478999999999999</v>
      </c>
      <c r="E49" s="9">
        <v>14.62</v>
      </c>
      <c r="F49" s="9">
        <v>32.134999999999998</v>
      </c>
      <c r="G49" s="18">
        <f>VLOOKUP(A49,[1]TDSheet!$A:$G,7,0)</f>
        <v>1</v>
      </c>
      <c r="J49" s="2">
        <v>16</v>
      </c>
      <c r="L49" s="2">
        <f t="shared" si="2"/>
        <v>2.9239999999999999</v>
      </c>
      <c r="M49" s="28"/>
      <c r="N49" s="22"/>
      <c r="O49" s="2">
        <f t="shared" si="3"/>
        <v>16.462038303693571</v>
      </c>
      <c r="P49" s="2">
        <f t="shared" si="4"/>
        <v>16.462038303693571</v>
      </c>
      <c r="Q49" s="2">
        <f>VLOOKUP(A49,[1]TDSheet!$A:$Q,17,0)</f>
        <v>2.0314000000000001</v>
      </c>
      <c r="R49" s="2">
        <f>VLOOKUP(A49,[1]TDSheet!$A:$L,12,0)</f>
        <v>4.3082000000000003</v>
      </c>
      <c r="U49" s="2">
        <f t="shared" si="5"/>
        <v>0</v>
      </c>
    </row>
    <row r="50" spans="1:21" outlineLevel="1" x14ac:dyDescent="0.2">
      <c r="A50" s="20" t="s">
        <v>56</v>
      </c>
      <c r="B50" s="20" t="s">
        <v>16</v>
      </c>
      <c r="C50" s="21">
        <v>2</v>
      </c>
      <c r="D50" s="21">
        <v>220</v>
      </c>
      <c r="E50" s="21">
        <v>54</v>
      </c>
      <c r="F50" s="25">
        <f>144+F79</f>
        <v>133</v>
      </c>
      <c r="G50" s="18">
        <f>VLOOKUP(A50,[1]TDSheet!$A:$G,7,0)</f>
        <v>0</v>
      </c>
      <c r="J50" s="26">
        <f>105/0.35</f>
        <v>300</v>
      </c>
      <c r="L50" s="2">
        <f t="shared" si="2"/>
        <v>10.8</v>
      </c>
      <c r="M50" s="28"/>
      <c r="N50" s="22"/>
      <c r="O50" s="2">
        <f t="shared" si="3"/>
        <v>40.092592592592588</v>
      </c>
      <c r="P50" s="2">
        <f t="shared" si="4"/>
        <v>40.092592592592588</v>
      </c>
      <c r="Q50" s="2">
        <f>VLOOKUP(A50,[1]TDSheet!$A:$Q,17,0)</f>
        <v>15</v>
      </c>
      <c r="R50" s="2">
        <f>VLOOKUP(A50,[1]TDSheet!$A:$L,12,0)</f>
        <v>10.6</v>
      </c>
      <c r="T50" s="19" t="str">
        <f>VLOOKUP(A50,[1]TDSheet!$A:$T,20,0)</f>
        <v>не в матрице</v>
      </c>
      <c r="U50" s="2">
        <f t="shared" si="5"/>
        <v>0</v>
      </c>
    </row>
    <row r="51" spans="1:21" outlineLevel="1" x14ac:dyDescent="0.2">
      <c r="A51" s="8" t="s">
        <v>57</v>
      </c>
      <c r="B51" s="8" t="s">
        <v>16</v>
      </c>
      <c r="C51" s="9">
        <v>91</v>
      </c>
      <c r="D51" s="9">
        <v>252</v>
      </c>
      <c r="E51" s="9">
        <v>83</v>
      </c>
      <c r="F51" s="25">
        <f>257+F81</f>
        <v>180</v>
      </c>
      <c r="G51" s="18">
        <f>VLOOKUP(A51,[1]TDSheet!$A:$G,7,0)</f>
        <v>0.4</v>
      </c>
      <c r="J51" s="2">
        <f>80/G51</f>
        <v>200</v>
      </c>
      <c r="L51" s="2">
        <f t="shared" si="2"/>
        <v>16.600000000000001</v>
      </c>
      <c r="M51" s="28"/>
      <c r="N51" s="22"/>
      <c r="O51" s="2">
        <f t="shared" si="3"/>
        <v>22.891566265060238</v>
      </c>
      <c r="P51" s="2">
        <f t="shared" si="4"/>
        <v>22.891566265060238</v>
      </c>
      <c r="Q51" s="2">
        <f>VLOOKUP(A51,[1]TDSheet!$A:$Q,17,0)</f>
        <v>40.6</v>
      </c>
      <c r="R51" s="2">
        <f>VLOOKUP(A51,[1]TDSheet!$A:$L,12,0)</f>
        <v>41.8</v>
      </c>
      <c r="U51" s="2">
        <f t="shared" si="5"/>
        <v>0</v>
      </c>
    </row>
    <row r="52" spans="1:21" outlineLevel="1" x14ac:dyDescent="0.2">
      <c r="A52" s="8" t="s">
        <v>58</v>
      </c>
      <c r="B52" s="8" t="s">
        <v>16</v>
      </c>
      <c r="C52" s="9">
        <v>228</v>
      </c>
      <c r="D52" s="9">
        <v>789</v>
      </c>
      <c r="E52" s="9">
        <v>369</v>
      </c>
      <c r="F52" s="9">
        <v>356</v>
      </c>
      <c r="G52" s="18">
        <f>VLOOKUP(A52,[1]TDSheet!$A:$G,7,0)</f>
        <v>0.45</v>
      </c>
      <c r="J52" s="2">
        <f>135/G52</f>
        <v>300</v>
      </c>
      <c r="L52" s="2">
        <f t="shared" si="2"/>
        <v>73.8</v>
      </c>
      <c r="M52" s="28">
        <v>230</v>
      </c>
      <c r="N52" s="22"/>
      <c r="O52" s="2">
        <f t="shared" si="3"/>
        <v>12.005420054200542</v>
      </c>
      <c r="P52" s="2">
        <f t="shared" si="4"/>
        <v>8.8888888888888893</v>
      </c>
      <c r="Q52" s="2">
        <f>VLOOKUP(A52,[1]TDSheet!$A:$Q,17,0)</f>
        <v>65</v>
      </c>
      <c r="R52" s="2">
        <f>VLOOKUP(A52,[1]TDSheet!$A:$L,12,0)</f>
        <v>53.6</v>
      </c>
      <c r="U52" s="2">
        <f t="shared" si="5"/>
        <v>103.5</v>
      </c>
    </row>
    <row r="53" spans="1:21" outlineLevel="1" x14ac:dyDescent="0.2">
      <c r="A53" s="8" t="s">
        <v>59</v>
      </c>
      <c r="B53" s="8" t="s">
        <v>16</v>
      </c>
      <c r="C53" s="9">
        <v>223</v>
      </c>
      <c r="D53" s="9">
        <v>252</v>
      </c>
      <c r="E53" s="9">
        <v>205</v>
      </c>
      <c r="F53" s="9">
        <v>259</v>
      </c>
      <c r="G53" s="18">
        <f>VLOOKUP(A53,[1]TDSheet!$A:$G,7,0)</f>
        <v>0.4</v>
      </c>
      <c r="L53" s="2">
        <f t="shared" si="2"/>
        <v>41</v>
      </c>
      <c r="M53" s="28">
        <v>230</v>
      </c>
      <c r="N53" s="22"/>
      <c r="O53" s="2">
        <f t="shared" si="3"/>
        <v>11.926829268292684</v>
      </c>
      <c r="P53" s="2">
        <f t="shared" si="4"/>
        <v>6.3170731707317076</v>
      </c>
      <c r="Q53" s="2">
        <f>VLOOKUP(A53,[1]TDSheet!$A:$Q,17,0)</f>
        <v>14.2</v>
      </c>
      <c r="R53" s="2">
        <f>VLOOKUP(A53,[1]TDSheet!$A:$L,12,0)</f>
        <v>28</v>
      </c>
      <c r="U53" s="2">
        <f t="shared" si="5"/>
        <v>92</v>
      </c>
    </row>
    <row r="54" spans="1:21" outlineLevel="1" x14ac:dyDescent="0.2">
      <c r="A54" s="8" t="s">
        <v>60</v>
      </c>
      <c r="B54" s="8" t="s">
        <v>16</v>
      </c>
      <c r="C54" s="9">
        <v>341</v>
      </c>
      <c r="D54" s="9">
        <v>607</v>
      </c>
      <c r="E54" s="9">
        <v>298</v>
      </c>
      <c r="F54" s="9">
        <v>640</v>
      </c>
      <c r="G54" s="18">
        <f>VLOOKUP(A54,[1]TDSheet!$A:$G,7,0)</f>
        <v>0.4</v>
      </c>
      <c r="L54" s="2">
        <f t="shared" si="2"/>
        <v>59.6</v>
      </c>
      <c r="M54" s="28">
        <v>75</v>
      </c>
      <c r="N54" s="22"/>
      <c r="O54" s="2">
        <f t="shared" si="3"/>
        <v>11.996644295302014</v>
      </c>
      <c r="P54" s="2">
        <f t="shared" si="4"/>
        <v>10.738255033557047</v>
      </c>
      <c r="Q54" s="2">
        <f>VLOOKUP(A54,[1]TDSheet!$A:$Q,17,0)</f>
        <v>48.6</v>
      </c>
      <c r="R54" s="2">
        <f>VLOOKUP(A54,[1]TDSheet!$A:$L,12,0)</f>
        <v>38</v>
      </c>
      <c r="T54" s="26"/>
      <c r="U54" s="2">
        <f t="shared" si="5"/>
        <v>30</v>
      </c>
    </row>
    <row r="55" spans="1:21" outlineLevel="1" x14ac:dyDescent="0.2">
      <c r="A55" s="8" t="s">
        <v>61</v>
      </c>
      <c r="B55" s="8" t="s">
        <v>16</v>
      </c>
      <c r="C55" s="9">
        <v>-12</v>
      </c>
      <c r="D55" s="9"/>
      <c r="E55" s="9">
        <v>2</v>
      </c>
      <c r="F55" s="9">
        <v>-14</v>
      </c>
      <c r="G55" s="18">
        <f>VLOOKUP(A55,[1]TDSheet!$A:$G,7,0)</f>
        <v>0.4</v>
      </c>
      <c r="J55" s="2">
        <f>36/G55</f>
        <v>90</v>
      </c>
      <c r="L55" s="2">
        <f t="shared" si="2"/>
        <v>0.4</v>
      </c>
      <c r="M55" s="28"/>
      <c r="N55" s="22"/>
      <c r="O55" s="2">
        <f t="shared" si="3"/>
        <v>190</v>
      </c>
      <c r="P55" s="2">
        <f t="shared" si="4"/>
        <v>190</v>
      </c>
      <c r="Q55" s="2">
        <f>VLOOKUP(A55,[1]TDSheet!$A:$Q,17,0)</f>
        <v>11.8</v>
      </c>
      <c r="R55" s="2">
        <f>VLOOKUP(A55,[1]TDSheet!$A:$L,12,0)</f>
        <v>10.6</v>
      </c>
      <c r="U55" s="2">
        <f t="shared" si="5"/>
        <v>0</v>
      </c>
    </row>
    <row r="56" spans="1:21" outlineLevel="1" x14ac:dyDescent="0.2">
      <c r="A56" s="8" t="s">
        <v>62</v>
      </c>
      <c r="B56" s="8" t="s">
        <v>16</v>
      </c>
      <c r="C56" s="9">
        <v>30</v>
      </c>
      <c r="D56" s="9">
        <v>200</v>
      </c>
      <c r="E56" s="9">
        <v>67</v>
      </c>
      <c r="F56" s="9">
        <v>163</v>
      </c>
      <c r="G56" s="18">
        <f>VLOOKUP(A56,[1]TDSheet!$A:$G,7,0)</f>
        <v>0.1</v>
      </c>
      <c r="L56" s="2">
        <f t="shared" si="2"/>
        <v>13.4</v>
      </c>
      <c r="M56" s="28"/>
      <c r="N56" s="22"/>
      <c r="O56" s="2">
        <f t="shared" si="3"/>
        <v>12.164179104477611</v>
      </c>
      <c r="P56" s="2">
        <f t="shared" si="4"/>
        <v>12.164179104477611</v>
      </c>
      <c r="Q56" s="2">
        <f>VLOOKUP(A56,[1]TDSheet!$A:$Q,17,0)</f>
        <v>0</v>
      </c>
      <c r="R56" s="2">
        <f>VLOOKUP(A56,[1]TDSheet!$A:$L,12,0)</f>
        <v>0</v>
      </c>
      <c r="U56" s="2">
        <f t="shared" si="5"/>
        <v>0</v>
      </c>
    </row>
    <row r="57" spans="1:21" outlineLevel="1" x14ac:dyDescent="0.2">
      <c r="A57" s="8" t="s">
        <v>63</v>
      </c>
      <c r="B57" s="8" t="s">
        <v>16</v>
      </c>
      <c r="C57" s="9">
        <v>15</v>
      </c>
      <c r="D57" s="9">
        <v>3</v>
      </c>
      <c r="E57" s="9">
        <v>18</v>
      </c>
      <c r="F57" s="9"/>
      <c r="G57" s="18">
        <f>VLOOKUP(A57,[1]TDSheet!$A:$G,7,0)</f>
        <v>0.4</v>
      </c>
      <c r="J57" s="2">
        <f>20/G57</f>
        <v>50</v>
      </c>
      <c r="L57" s="2">
        <f t="shared" si="2"/>
        <v>3.6</v>
      </c>
      <c r="M57" s="28"/>
      <c r="N57" s="22"/>
      <c r="O57" s="2">
        <f t="shared" si="3"/>
        <v>13.888888888888889</v>
      </c>
      <c r="P57" s="2">
        <f t="shared" si="4"/>
        <v>13.888888888888889</v>
      </c>
      <c r="Q57" s="2">
        <f>VLOOKUP(A57,[1]TDSheet!$A:$Q,17,0)</f>
        <v>3.8</v>
      </c>
      <c r="R57" s="2">
        <f>VLOOKUP(A57,[1]TDSheet!$A:$L,12,0)</f>
        <v>7.2</v>
      </c>
      <c r="U57" s="2">
        <f t="shared" si="5"/>
        <v>0</v>
      </c>
    </row>
    <row r="58" spans="1:21" outlineLevel="1" x14ac:dyDescent="0.2">
      <c r="A58" s="8" t="s">
        <v>64</v>
      </c>
      <c r="B58" s="8" t="s">
        <v>16</v>
      </c>
      <c r="C58" s="9">
        <v>13</v>
      </c>
      <c r="D58" s="9">
        <v>204</v>
      </c>
      <c r="E58" s="9">
        <v>66</v>
      </c>
      <c r="F58" s="9">
        <v>144</v>
      </c>
      <c r="G58" s="18">
        <f>VLOOKUP(A58,[1]TDSheet!$A:$G,7,0)</f>
        <v>0.35</v>
      </c>
      <c r="J58" s="2">
        <f>105/G58</f>
        <v>300</v>
      </c>
      <c r="L58" s="2">
        <f t="shared" si="2"/>
        <v>13.2</v>
      </c>
      <c r="M58" s="28"/>
      <c r="N58" s="22"/>
      <c r="O58" s="2">
        <f t="shared" si="3"/>
        <v>33.63636363636364</v>
      </c>
      <c r="P58" s="2">
        <f t="shared" si="4"/>
        <v>33.63636363636364</v>
      </c>
      <c r="Q58" s="2">
        <f>VLOOKUP(A58,[1]TDSheet!$A:$Q,17,0)</f>
        <v>15.4</v>
      </c>
      <c r="R58" s="2">
        <f>VLOOKUP(A58,[1]TDSheet!$A:$L,12,0)</f>
        <v>15.8</v>
      </c>
      <c r="U58" s="2">
        <f t="shared" si="5"/>
        <v>0</v>
      </c>
    </row>
    <row r="59" spans="1:21" outlineLevel="1" x14ac:dyDescent="0.2">
      <c r="A59" s="8" t="s">
        <v>65</v>
      </c>
      <c r="B59" s="8" t="s">
        <v>11</v>
      </c>
      <c r="C59" s="10"/>
      <c r="D59" s="9">
        <v>25.817</v>
      </c>
      <c r="E59" s="9">
        <v>5.0129999999999999</v>
      </c>
      <c r="F59" s="9">
        <v>20.803999999999998</v>
      </c>
      <c r="G59" s="18">
        <f>VLOOKUP(A59,[1]TDSheet!$A:$G,7,0)</f>
        <v>1</v>
      </c>
      <c r="J59" s="2">
        <v>24</v>
      </c>
      <c r="L59" s="2">
        <f t="shared" si="2"/>
        <v>1.0025999999999999</v>
      </c>
      <c r="M59" s="28"/>
      <c r="N59" s="22"/>
      <c r="O59" s="2">
        <f t="shared" si="3"/>
        <v>44.687811689607024</v>
      </c>
      <c r="P59" s="2">
        <f t="shared" si="4"/>
        <v>44.687811689607024</v>
      </c>
      <c r="Q59" s="2">
        <f>VLOOKUP(A59,[1]TDSheet!$A:$Q,17,0)</f>
        <v>2.8754</v>
      </c>
      <c r="R59" s="2">
        <f>VLOOKUP(A59,[1]TDSheet!$A:$L,12,0)</f>
        <v>0</v>
      </c>
      <c r="U59" s="2">
        <f t="shared" si="5"/>
        <v>0</v>
      </c>
    </row>
    <row r="60" spans="1:21" outlineLevel="1" x14ac:dyDescent="0.2">
      <c r="A60" s="8" t="s">
        <v>66</v>
      </c>
      <c r="B60" s="8" t="s">
        <v>16</v>
      </c>
      <c r="C60" s="9">
        <v>295</v>
      </c>
      <c r="D60" s="9">
        <v>156</v>
      </c>
      <c r="E60" s="9">
        <v>202</v>
      </c>
      <c r="F60" s="9">
        <v>246</v>
      </c>
      <c r="G60" s="18">
        <f>VLOOKUP(A60,[1]TDSheet!$A:$G,7,0)</f>
        <v>0.4</v>
      </c>
      <c r="L60" s="2">
        <f t="shared" si="2"/>
        <v>40.4</v>
      </c>
      <c r="M60" s="28">
        <v>240</v>
      </c>
      <c r="N60" s="22"/>
      <c r="O60" s="2">
        <f t="shared" si="3"/>
        <v>12.029702970297031</v>
      </c>
      <c r="P60" s="2">
        <f t="shared" si="4"/>
        <v>6.0891089108910892</v>
      </c>
      <c r="Q60" s="2">
        <f>VLOOKUP(A60,[1]TDSheet!$A:$Q,17,0)</f>
        <v>30</v>
      </c>
      <c r="R60" s="2">
        <f>VLOOKUP(A60,[1]TDSheet!$A:$L,12,0)</f>
        <v>22</v>
      </c>
      <c r="U60" s="2">
        <f t="shared" si="5"/>
        <v>96</v>
      </c>
    </row>
    <row r="61" spans="1:21" outlineLevel="1" x14ac:dyDescent="0.2">
      <c r="A61" s="8" t="s">
        <v>67</v>
      </c>
      <c r="B61" s="8" t="s">
        <v>16</v>
      </c>
      <c r="C61" s="9">
        <v>363</v>
      </c>
      <c r="D61" s="9">
        <v>92</v>
      </c>
      <c r="E61" s="9">
        <v>216</v>
      </c>
      <c r="F61" s="9">
        <v>227</v>
      </c>
      <c r="G61" s="18">
        <f>VLOOKUP(A61,[1]TDSheet!$A:$G,7,0)</f>
        <v>0.4</v>
      </c>
      <c r="L61" s="2">
        <f t="shared" si="2"/>
        <v>43.2</v>
      </c>
      <c r="M61" s="28">
        <v>290</v>
      </c>
      <c r="N61" s="22"/>
      <c r="O61" s="2">
        <f t="shared" si="3"/>
        <v>11.967592592592592</v>
      </c>
      <c r="P61" s="2">
        <f t="shared" si="4"/>
        <v>5.2546296296296289</v>
      </c>
      <c r="Q61" s="2">
        <f>VLOOKUP(A61,[1]TDSheet!$A:$Q,17,0)</f>
        <v>32</v>
      </c>
      <c r="R61" s="2">
        <f>VLOOKUP(A61,[1]TDSheet!$A:$L,12,0)</f>
        <v>21.8</v>
      </c>
      <c r="U61" s="2">
        <f t="shared" si="5"/>
        <v>116</v>
      </c>
    </row>
    <row r="62" spans="1:21" outlineLevel="1" x14ac:dyDescent="0.2">
      <c r="A62" s="20" t="s">
        <v>68</v>
      </c>
      <c r="B62" s="20" t="s">
        <v>11</v>
      </c>
      <c r="C62" s="32"/>
      <c r="D62" s="21">
        <v>8.5760000000000005</v>
      </c>
      <c r="E62" s="21">
        <v>0.71099999999999997</v>
      </c>
      <c r="F62" s="21">
        <v>7.8650000000000002</v>
      </c>
      <c r="G62" s="18">
        <v>0</v>
      </c>
      <c r="L62" s="2">
        <f t="shared" si="2"/>
        <v>0.14219999999999999</v>
      </c>
      <c r="M62" s="28"/>
      <c r="N62" s="22"/>
      <c r="O62" s="2">
        <f t="shared" si="3"/>
        <v>55.309423347398038</v>
      </c>
      <c r="P62" s="2">
        <f t="shared" si="4"/>
        <v>55.309423347398038</v>
      </c>
      <c r="Q62" s="2">
        <v>0</v>
      </c>
      <c r="R62" s="2">
        <v>0</v>
      </c>
      <c r="T62" s="30" t="s">
        <v>102</v>
      </c>
      <c r="U62" s="2">
        <f t="shared" si="5"/>
        <v>0</v>
      </c>
    </row>
    <row r="63" spans="1:21" outlineLevel="1" x14ac:dyDescent="0.2">
      <c r="A63" s="8" t="s">
        <v>69</v>
      </c>
      <c r="B63" s="8" t="s">
        <v>11</v>
      </c>
      <c r="C63" s="9">
        <v>217.01599999999999</v>
      </c>
      <c r="D63" s="9">
        <v>356.83</v>
      </c>
      <c r="E63" s="9">
        <v>40.61</v>
      </c>
      <c r="F63" s="9">
        <v>285.08600000000001</v>
      </c>
      <c r="G63" s="18">
        <f>VLOOKUP(A63,[1]TDSheet!$A:$G,7,0)</f>
        <v>1</v>
      </c>
      <c r="J63" s="2">
        <v>100</v>
      </c>
      <c r="L63" s="2">
        <f t="shared" si="2"/>
        <v>8.1219999999999999</v>
      </c>
      <c r="M63" s="28"/>
      <c r="N63" s="22"/>
      <c r="O63" s="2">
        <f t="shared" si="3"/>
        <v>47.412706229992615</v>
      </c>
      <c r="P63" s="2">
        <f t="shared" si="4"/>
        <v>47.412706229992615</v>
      </c>
      <c r="Q63" s="2">
        <f>VLOOKUP(A63,[1]TDSheet!$A:$Q,17,0)</f>
        <v>31.223599999999998</v>
      </c>
      <c r="R63" s="2">
        <f>VLOOKUP(A63,[1]TDSheet!$A:$L,12,0)</f>
        <v>56.073999999999998</v>
      </c>
      <c r="T63" s="31" t="s">
        <v>101</v>
      </c>
      <c r="U63" s="2">
        <f t="shared" si="5"/>
        <v>0</v>
      </c>
    </row>
    <row r="64" spans="1:21" outlineLevel="1" x14ac:dyDescent="0.2">
      <c r="A64" s="8" t="s">
        <v>70</v>
      </c>
      <c r="B64" s="8" t="s">
        <v>11</v>
      </c>
      <c r="C64" s="9">
        <v>35.156999999999996</v>
      </c>
      <c r="D64" s="9">
        <v>56.442</v>
      </c>
      <c r="E64" s="9">
        <v>21.577999999999999</v>
      </c>
      <c r="F64" s="9">
        <v>67.299000000000007</v>
      </c>
      <c r="G64" s="18">
        <f>VLOOKUP(A64,[1]TDSheet!$A:$G,7,0)</f>
        <v>1</v>
      </c>
      <c r="L64" s="2">
        <f t="shared" si="2"/>
        <v>4.3155999999999999</v>
      </c>
      <c r="M64" s="28"/>
      <c r="N64" s="22"/>
      <c r="O64" s="2">
        <f t="shared" si="3"/>
        <v>15.594355361942721</v>
      </c>
      <c r="P64" s="2">
        <f t="shared" si="4"/>
        <v>15.594355361942721</v>
      </c>
      <c r="Q64" s="2">
        <f>VLOOKUP(A64,[1]TDSheet!$A:$Q,17,0)</f>
        <v>4.0759999999999996</v>
      </c>
      <c r="R64" s="2">
        <f>VLOOKUP(A64,[1]TDSheet!$A:$L,12,0)</f>
        <v>3.528</v>
      </c>
      <c r="U64" s="2">
        <f t="shared" si="5"/>
        <v>0</v>
      </c>
    </row>
    <row r="65" spans="1:21" outlineLevel="1" x14ac:dyDescent="0.2">
      <c r="A65" s="8" t="s">
        <v>71</v>
      </c>
      <c r="B65" s="8" t="s">
        <v>11</v>
      </c>
      <c r="C65" s="10"/>
      <c r="D65" s="9">
        <v>48.411000000000001</v>
      </c>
      <c r="E65" s="9">
        <v>8.0380000000000003</v>
      </c>
      <c r="F65" s="9">
        <v>40.372999999999998</v>
      </c>
      <c r="G65" s="18">
        <f>VLOOKUP(A65,[1]TDSheet!$A:$G,7,0)</f>
        <v>1</v>
      </c>
      <c r="J65" s="2">
        <v>45</v>
      </c>
      <c r="L65" s="2">
        <f t="shared" si="2"/>
        <v>1.6076000000000001</v>
      </c>
      <c r="M65" s="28"/>
      <c r="N65" s="22"/>
      <c r="O65" s="2">
        <f t="shared" si="3"/>
        <v>53.105872107489418</v>
      </c>
      <c r="P65" s="2">
        <f t="shared" si="4"/>
        <v>53.105872107489418</v>
      </c>
      <c r="Q65" s="2">
        <f>VLOOKUP(A65,[1]TDSheet!$A:$Q,17,0)</f>
        <v>9.7864000000000004</v>
      </c>
      <c r="R65" s="2">
        <f>VLOOKUP(A65,[1]TDSheet!$A:$L,12,0)</f>
        <v>9.7864000000000004</v>
      </c>
      <c r="U65" s="2">
        <f t="shared" si="5"/>
        <v>0</v>
      </c>
    </row>
    <row r="66" spans="1:21" outlineLevel="1" x14ac:dyDescent="0.2">
      <c r="A66" s="8" t="s">
        <v>72</v>
      </c>
      <c r="B66" s="8" t="s">
        <v>11</v>
      </c>
      <c r="C66" s="10"/>
      <c r="D66" s="9">
        <v>3.1230000000000002</v>
      </c>
      <c r="E66" s="9"/>
      <c r="F66" s="9"/>
      <c r="G66" s="18">
        <f>VLOOKUP(A66,[1]TDSheet!$A:$G,7,0)</f>
        <v>1</v>
      </c>
      <c r="L66" s="2">
        <f t="shared" si="2"/>
        <v>0</v>
      </c>
      <c r="M66" s="29">
        <v>20</v>
      </c>
      <c r="N66" s="22"/>
      <c r="O66" s="2" t="e">
        <f t="shared" si="3"/>
        <v>#DIV/0!</v>
      </c>
      <c r="P66" s="2" t="e">
        <f t="shared" si="4"/>
        <v>#DIV/0!</v>
      </c>
      <c r="Q66" s="2">
        <f>VLOOKUP(A66,[1]TDSheet!$A:$Q,17,0)</f>
        <v>3.9400000000000004E-2</v>
      </c>
      <c r="R66" s="2">
        <f>VLOOKUP(A66,[1]TDSheet!$A:$L,12,0)</f>
        <v>4.0600000000000004E-2</v>
      </c>
      <c r="U66" s="2">
        <f t="shared" si="5"/>
        <v>20</v>
      </c>
    </row>
    <row r="67" spans="1:21" outlineLevel="1" x14ac:dyDescent="0.2">
      <c r="A67" s="8" t="s">
        <v>73</v>
      </c>
      <c r="B67" s="8" t="s">
        <v>16</v>
      </c>
      <c r="C67" s="9">
        <v>627</v>
      </c>
      <c r="D67" s="9">
        <v>803</v>
      </c>
      <c r="E67" s="9">
        <v>592</v>
      </c>
      <c r="F67" s="9">
        <v>832</v>
      </c>
      <c r="G67" s="18">
        <f>VLOOKUP(A67,[1]TDSheet!$A:$G,7,0)</f>
        <v>0.45</v>
      </c>
      <c r="J67" s="2">
        <f>90/0.45</f>
        <v>200</v>
      </c>
      <c r="L67" s="2">
        <f t="shared" si="2"/>
        <v>118.4</v>
      </c>
      <c r="M67" s="28">
        <v>390</v>
      </c>
      <c r="N67" s="22"/>
      <c r="O67" s="2">
        <f t="shared" si="3"/>
        <v>12.010135135135135</v>
      </c>
      <c r="P67" s="2">
        <f t="shared" si="4"/>
        <v>8.7162162162162158</v>
      </c>
      <c r="Q67" s="2">
        <f>VLOOKUP(A67,[1]TDSheet!$A:$Q,17,0)</f>
        <v>121.8</v>
      </c>
      <c r="R67" s="2">
        <f>VLOOKUP(A67,[1]TDSheet!$A:$L,12,0)</f>
        <v>110.8</v>
      </c>
      <c r="U67" s="2">
        <f t="shared" si="5"/>
        <v>175.5</v>
      </c>
    </row>
    <row r="68" spans="1:21" outlineLevel="1" x14ac:dyDescent="0.2">
      <c r="A68" s="8" t="s">
        <v>74</v>
      </c>
      <c r="B68" s="8" t="s">
        <v>16</v>
      </c>
      <c r="C68" s="9">
        <v>476</v>
      </c>
      <c r="D68" s="9">
        <v>807</v>
      </c>
      <c r="E68" s="9">
        <v>483</v>
      </c>
      <c r="F68" s="9">
        <v>794</v>
      </c>
      <c r="G68" s="18">
        <f>VLOOKUP(A68,[1]TDSheet!$A:$G,7,0)</f>
        <v>0.45</v>
      </c>
      <c r="J68" s="2">
        <f>180/G68</f>
        <v>400</v>
      </c>
      <c r="L68" s="2">
        <f t="shared" si="2"/>
        <v>96.6</v>
      </c>
      <c r="M68" s="28"/>
      <c r="N68" s="22"/>
      <c r="O68" s="2">
        <f t="shared" si="3"/>
        <v>12.36024844720497</v>
      </c>
      <c r="P68" s="2">
        <f t="shared" si="4"/>
        <v>12.36024844720497</v>
      </c>
      <c r="Q68" s="2">
        <f>VLOOKUP(A68,[1]TDSheet!$A:$Q,17,0)</f>
        <v>95.2</v>
      </c>
      <c r="R68" s="2">
        <f>VLOOKUP(A68,[1]TDSheet!$A:$L,12,0)</f>
        <v>90.6</v>
      </c>
      <c r="U68" s="2">
        <f t="shared" si="5"/>
        <v>0</v>
      </c>
    </row>
    <row r="69" spans="1:21" outlineLevel="1" x14ac:dyDescent="0.2">
      <c r="A69" s="8" t="s">
        <v>75</v>
      </c>
      <c r="B69" s="8" t="s">
        <v>16</v>
      </c>
      <c r="C69" s="9">
        <v>306</v>
      </c>
      <c r="D69" s="9">
        <v>301</v>
      </c>
      <c r="E69" s="9">
        <v>265</v>
      </c>
      <c r="F69" s="9">
        <v>320</v>
      </c>
      <c r="G69" s="18">
        <f>VLOOKUP(A69,[1]TDSheet!$A:$G,7,0)</f>
        <v>0.45</v>
      </c>
      <c r="L69" s="2">
        <f t="shared" si="2"/>
        <v>53</v>
      </c>
      <c r="M69" s="28">
        <v>320</v>
      </c>
      <c r="N69" s="22"/>
      <c r="O69" s="2">
        <f t="shared" si="3"/>
        <v>12.075471698113208</v>
      </c>
      <c r="P69" s="2">
        <f t="shared" si="4"/>
        <v>6.0377358490566042</v>
      </c>
      <c r="Q69" s="2">
        <f>VLOOKUP(A69,[1]TDSheet!$A:$Q,17,0)</f>
        <v>51.8</v>
      </c>
      <c r="R69" s="2">
        <f>VLOOKUP(A69,[1]TDSheet!$A:$L,12,0)</f>
        <v>43</v>
      </c>
      <c r="U69" s="2">
        <f t="shared" si="5"/>
        <v>144</v>
      </c>
    </row>
    <row r="70" spans="1:21" outlineLevel="1" x14ac:dyDescent="0.2">
      <c r="A70" s="8" t="s">
        <v>76</v>
      </c>
      <c r="B70" s="8" t="s">
        <v>16</v>
      </c>
      <c r="C70" s="9">
        <v>19</v>
      </c>
      <c r="D70" s="9">
        <v>30</v>
      </c>
      <c r="E70" s="9">
        <v>5</v>
      </c>
      <c r="F70" s="9">
        <v>44</v>
      </c>
      <c r="G70" s="18">
        <f>VLOOKUP(A70,[1]TDSheet!$A:$G,7,0)</f>
        <v>0.4</v>
      </c>
      <c r="L70" s="2">
        <f t="shared" si="2"/>
        <v>1</v>
      </c>
      <c r="M70" s="28"/>
      <c r="N70" s="22"/>
      <c r="O70" s="2">
        <f t="shared" si="3"/>
        <v>44</v>
      </c>
      <c r="P70" s="2">
        <f t="shared" si="4"/>
        <v>44</v>
      </c>
      <c r="Q70" s="2">
        <f>VLOOKUP(A70,[1]TDSheet!$A:$Q,17,0)</f>
        <v>6</v>
      </c>
      <c r="R70" s="2">
        <f>VLOOKUP(A70,[1]TDSheet!$A:$L,12,0)</f>
        <v>5.4</v>
      </c>
      <c r="T70" s="31" t="s">
        <v>101</v>
      </c>
      <c r="U70" s="2">
        <f t="shared" si="5"/>
        <v>0</v>
      </c>
    </row>
    <row r="71" spans="1:21" outlineLevel="1" x14ac:dyDescent="0.2">
      <c r="A71" s="8" t="s">
        <v>77</v>
      </c>
      <c r="B71" s="8" t="s">
        <v>11</v>
      </c>
      <c r="C71" s="9">
        <v>136.65</v>
      </c>
      <c r="D71" s="9">
        <v>210.04</v>
      </c>
      <c r="E71" s="9">
        <v>56</v>
      </c>
      <c r="F71" s="25">
        <f>285.17+F77</f>
        <v>254.82300000000001</v>
      </c>
      <c r="G71" s="18">
        <f>VLOOKUP(A71,[1]TDSheet!$A:$G,7,0)</f>
        <v>1</v>
      </c>
      <c r="J71" s="2">
        <v>200</v>
      </c>
      <c r="L71" s="2">
        <f t="shared" ref="L71:L81" si="6">E71/5</f>
        <v>11.2</v>
      </c>
      <c r="M71" s="28"/>
      <c r="N71" s="22"/>
      <c r="O71" s="2">
        <f t="shared" ref="O71:O81" si="7">(F71+J71+M71+N71)/L71</f>
        <v>40.60919642857143</v>
      </c>
      <c r="P71" s="2">
        <f t="shared" ref="P71:P81" si="8">(F71+J71)/L71</f>
        <v>40.60919642857143</v>
      </c>
      <c r="Q71" s="2">
        <f>VLOOKUP(A71,[1]TDSheet!$A:$Q,17,0)</f>
        <v>7.3360000000000003</v>
      </c>
      <c r="R71" s="2">
        <f>VLOOKUP(A71,[1]TDSheet!$A:$L,12,0)</f>
        <v>11.192</v>
      </c>
      <c r="T71" s="31" t="s">
        <v>101</v>
      </c>
      <c r="U71" s="2">
        <f t="shared" ref="U71:U81" si="9">M71*G71</f>
        <v>0</v>
      </c>
    </row>
    <row r="72" spans="1:21" outlineLevel="1" x14ac:dyDescent="0.2">
      <c r="A72" s="20" t="s">
        <v>78</v>
      </c>
      <c r="B72" s="20" t="s">
        <v>16</v>
      </c>
      <c r="C72" s="32"/>
      <c r="D72" s="21">
        <v>100</v>
      </c>
      <c r="E72" s="21">
        <v>44</v>
      </c>
      <c r="F72" s="21">
        <v>56</v>
      </c>
      <c r="G72" s="18">
        <v>0</v>
      </c>
      <c r="L72" s="2">
        <f t="shared" si="6"/>
        <v>8.8000000000000007</v>
      </c>
      <c r="M72" s="28"/>
      <c r="N72" s="22"/>
      <c r="O72" s="2">
        <f t="shared" si="7"/>
        <v>6.3636363636363633</v>
      </c>
      <c r="P72" s="2">
        <f t="shared" si="8"/>
        <v>6.3636363636363633</v>
      </c>
      <c r="Q72" s="2">
        <v>0</v>
      </c>
      <c r="R72" s="2">
        <v>0</v>
      </c>
      <c r="T72" s="30" t="s">
        <v>102</v>
      </c>
      <c r="U72" s="2">
        <f t="shared" si="9"/>
        <v>0</v>
      </c>
    </row>
    <row r="73" spans="1:21" outlineLevel="1" x14ac:dyDescent="0.2">
      <c r="A73" s="20" t="s">
        <v>79</v>
      </c>
      <c r="B73" s="20" t="s">
        <v>16</v>
      </c>
      <c r="C73" s="21">
        <v>9</v>
      </c>
      <c r="D73" s="21"/>
      <c r="E73" s="21"/>
      <c r="F73" s="21">
        <v>9</v>
      </c>
      <c r="G73" s="18">
        <f>VLOOKUP(A73,[1]TDSheet!$A:$G,7,0)</f>
        <v>0</v>
      </c>
      <c r="L73" s="2">
        <f t="shared" si="6"/>
        <v>0</v>
      </c>
      <c r="M73" s="28"/>
      <c r="N73" s="22"/>
      <c r="O73" s="2" t="e">
        <f t="shared" si="7"/>
        <v>#DIV/0!</v>
      </c>
      <c r="P73" s="2" t="e">
        <f t="shared" si="8"/>
        <v>#DIV/0!</v>
      </c>
      <c r="Q73" s="2">
        <f>VLOOKUP(A73,[1]TDSheet!$A:$Q,17,0)</f>
        <v>0.2</v>
      </c>
      <c r="R73" s="2">
        <f>VLOOKUP(A73,[1]TDSheet!$A:$L,12,0)</f>
        <v>0</v>
      </c>
      <c r="T73" s="19" t="str">
        <f>VLOOKUP(A73,[1]TDSheet!$A:$T,20,0)</f>
        <v>не в матрице</v>
      </c>
      <c r="U73" s="2">
        <f t="shared" si="9"/>
        <v>0</v>
      </c>
    </row>
    <row r="74" spans="1:21" outlineLevel="1" x14ac:dyDescent="0.2">
      <c r="A74" s="20" t="s">
        <v>80</v>
      </c>
      <c r="B74" s="20" t="s">
        <v>11</v>
      </c>
      <c r="C74" s="32"/>
      <c r="D74" s="21">
        <v>14.57</v>
      </c>
      <c r="E74" s="21">
        <v>14.57</v>
      </c>
      <c r="F74" s="21"/>
      <c r="G74" s="18">
        <v>0</v>
      </c>
      <c r="L74" s="2">
        <f t="shared" si="6"/>
        <v>2.9140000000000001</v>
      </c>
      <c r="M74" s="28"/>
      <c r="N74" s="22"/>
      <c r="O74" s="2">
        <f t="shared" si="7"/>
        <v>0</v>
      </c>
      <c r="P74" s="2">
        <f t="shared" si="8"/>
        <v>0</v>
      </c>
      <c r="Q74" s="2">
        <v>0</v>
      </c>
      <c r="R74" s="2">
        <v>0</v>
      </c>
      <c r="T74" s="30" t="s">
        <v>102</v>
      </c>
      <c r="U74" s="2">
        <f t="shared" si="9"/>
        <v>0</v>
      </c>
    </row>
    <row r="75" spans="1:21" outlineLevel="1" x14ac:dyDescent="0.2">
      <c r="A75" s="20" t="s">
        <v>81</v>
      </c>
      <c r="B75" s="20" t="s">
        <v>11</v>
      </c>
      <c r="C75" s="32"/>
      <c r="D75" s="21">
        <v>14.487</v>
      </c>
      <c r="E75" s="21"/>
      <c r="F75" s="21">
        <v>14.487</v>
      </c>
      <c r="G75" s="18">
        <v>0</v>
      </c>
      <c r="L75" s="2">
        <f t="shared" si="6"/>
        <v>0</v>
      </c>
      <c r="M75" s="28"/>
      <c r="N75" s="22"/>
      <c r="O75" s="2" t="e">
        <f t="shared" si="7"/>
        <v>#DIV/0!</v>
      </c>
      <c r="P75" s="2" t="e">
        <f t="shared" si="8"/>
        <v>#DIV/0!</v>
      </c>
      <c r="Q75" s="2">
        <v>0</v>
      </c>
      <c r="R75" s="2">
        <v>0</v>
      </c>
      <c r="T75" s="30" t="s">
        <v>102</v>
      </c>
      <c r="U75" s="2">
        <f t="shared" si="9"/>
        <v>0</v>
      </c>
    </row>
    <row r="76" spans="1:21" outlineLevel="1" x14ac:dyDescent="0.2">
      <c r="A76" s="20" t="s">
        <v>82</v>
      </c>
      <c r="B76" s="20" t="s">
        <v>16</v>
      </c>
      <c r="C76" s="32"/>
      <c r="D76" s="21"/>
      <c r="E76" s="21">
        <v>1</v>
      </c>
      <c r="F76" s="21">
        <v>-1</v>
      </c>
      <c r="G76" s="18">
        <v>0</v>
      </c>
      <c r="J76" s="2">
        <f>10/0.5</f>
        <v>20</v>
      </c>
      <c r="L76" s="2">
        <f t="shared" si="6"/>
        <v>0.2</v>
      </c>
      <c r="M76" s="28"/>
      <c r="N76" s="22"/>
      <c r="O76" s="2">
        <f t="shared" si="7"/>
        <v>95</v>
      </c>
      <c r="P76" s="2">
        <f t="shared" si="8"/>
        <v>95</v>
      </c>
      <c r="Q76" s="2">
        <v>0</v>
      </c>
      <c r="R76" s="2">
        <v>0</v>
      </c>
      <c r="T76" s="30" t="s">
        <v>102</v>
      </c>
      <c r="U76" s="2">
        <f t="shared" si="9"/>
        <v>0</v>
      </c>
    </row>
    <row r="77" spans="1:21" outlineLevel="1" x14ac:dyDescent="0.2">
      <c r="A77" s="23" t="s">
        <v>83</v>
      </c>
      <c r="B77" s="8" t="s">
        <v>11</v>
      </c>
      <c r="C77" s="9">
        <v>-8.3469999999999995</v>
      </c>
      <c r="D77" s="9"/>
      <c r="E77" s="9">
        <v>22</v>
      </c>
      <c r="F77" s="24">
        <v>-30.347000000000001</v>
      </c>
      <c r="G77" s="18">
        <f>VLOOKUP(A77,[1]TDSheet!$A:$G,7,0)</f>
        <v>0</v>
      </c>
      <c r="L77" s="2">
        <f t="shared" si="6"/>
        <v>4.4000000000000004</v>
      </c>
      <c r="M77" s="28"/>
      <c r="N77" s="22"/>
      <c r="O77" s="2">
        <f t="shared" si="7"/>
        <v>-6.897045454545454</v>
      </c>
      <c r="P77" s="2">
        <f t="shared" si="8"/>
        <v>-6.897045454545454</v>
      </c>
      <c r="Q77" s="2">
        <f>VLOOKUP(A77,[1]TDSheet!$A:$Q,17,0)</f>
        <v>3.528</v>
      </c>
      <c r="R77" s="2">
        <f>VLOOKUP(A77,[1]TDSheet!$A:$L,12,0)</f>
        <v>4.6814</v>
      </c>
      <c r="U77" s="2">
        <f t="shared" si="9"/>
        <v>0</v>
      </c>
    </row>
    <row r="78" spans="1:21" outlineLevel="1" x14ac:dyDescent="0.2">
      <c r="A78" s="23" t="s">
        <v>84</v>
      </c>
      <c r="B78" s="8" t="s">
        <v>16</v>
      </c>
      <c r="C78" s="10"/>
      <c r="D78" s="9">
        <v>3</v>
      </c>
      <c r="E78" s="9">
        <v>211</v>
      </c>
      <c r="F78" s="24">
        <v>-208</v>
      </c>
      <c r="G78" s="18">
        <f>VLOOKUP(A78,[1]TDSheet!$A:$G,7,0)</f>
        <v>0</v>
      </c>
      <c r="L78" s="2">
        <f t="shared" si="6"/>
        <v>42.2</v>
      </c>
      <c r="M78" s="28"/>
      <c r="N78" s="22"/>
      <c r="O78" s="2">
        <f t="shared" si="7"/>
        <v>-4.9289099526066344</v>
      </c>
      <c r="P78" s="2">
        <f t="shared" si="8"/>
        <v>-4.9289099526066344</v>
      </c>
      <c r="Q78" s="2">
        <f>VLOOKUP(A78,[1]TDSheet!$A:$Q,17,0)</f>
        <v>19.399999999999999</v>
      </c>
      <c r="R78" s="2">
        <f>VLOOKUP(A78,[1]TDSheet!$A:$L,12,0)</f>
        <v>45.8</v>
      </c>
      <c r="U78" s="2">
        <f t="shared" si="9"/>
        <v>0</v>
      </c>
    </row>
    <row r="79" spans="1:21" outlineLevel="1" x14ac:dyDescent="0.2">
      <c r="A79" s="23" t="s">
        <v>85</v>
      </c>
      <c r="B79" s="8" t="s">
        <v>16</v>
      </c>
      <c r="C79" s="9">
        <v>-1</v>
      </c>
      <c r="D79" s="9">
        <v>4</v>
      </c>
      <c r="E79" s="9">
        <v>14</v>
      </c>
      <c r="F79" s="24">
        <v>-11</v>
      </c>
      <c r="G79" s="18">
        <f>VLOOKUP(A79,[1]TDSheet!$A:$G,7,0)</f>
        <v>0</v>
      </c>
      <c r="L79" s="2">
        <f t="shared" si="6"/>
        <v>2.8</v>
      </c>
      <c r="M79" s="28"/>
      <c r="N79" s="22"/>
      <c r="O79" s="2">
        <f t="shared" si="7"/>
        <v>-3.9285714285714288</v>
      </c>
      <c r="P79" s="2">
        <f t="shared" si="8"/>
        <v>-3.9285714285714288</v>
      </c>
      <c r="Q79" s="2">
        <f>VLOOKUP(A79,[1]TDSheet!$A:$Q,17,0)</f>
        <v>0</v>
      </c>
      <c r="R79" s="2">
        <f>VLOOKUP(A79,[1]TDSheet!$A:$L,12,0)</f>
        <v>0.2</v>
      </c>
      <c r="U79" s="2">
        <f t="shared" si="9"/>
        <v>0</v>
      </c>
    </row>
    <row r="80" spans="1:21" outlineLevel="1" x14ac:dyDescent="0.2">
      <c r="A80" s="23" t="s">
        <v>86</v>
      </c>
      <c r="B80" s="8" t="s">
        <v>16</v>
      </c>
      <c r="C80" s="10"/>
      <c r="D80" s="9"/>
      <c r="E80" s="9">
        <v>1</v>
      </c>
      <c r="F80" s="25">
        <v>-1</v>
      </c>
      <c r="G80" s="18">
        <f>VLOOKUP(A80,[1]TDSheet!$A:$G,7,0)</f>
        <v>0</v>
      </c>
      <c r="L80" s="2">
        <f t="shared" si="6"/>
        <v>0.2</v>
      </c>
      <c r="M80" s="28"/>
      <c r="N80" s="22"/>
      <c r="O80" s="2">
        <f t="shared" si="7"/>
        <v>-5</v>
      </c>
      <c r="P80" s="2">
        <f t="shared" si="8"/>
        <v>-5</v>
      </c>
      <c r="Q80" s="2">
        <f>VLOOKUP(A80,[1]TDSheet!$A:$Q,17,0)</f>
        <v>8.8000000000000007</v>
      </c>
      <c r="R80" s="2">
        <f>VLOOKUP(A80,[1]TDSheet!$A:$L,12,0)</f>
        <v>0</v>
      </c>
      <c r="U80" s="2">
        <f t="shared" si="9"/>
        <v>0</v>
      </c>
    </row>
    <row r="81" spans="1:21" outlineLevel="1" x14ac:dyDescent="0.2">
      <c r="A81" s="23" t="s">
        <v>87</v>
      </c>
      <c r="B81" s="8" t="s">
        <v>16</v>
      </c>
      <c r="C81" s="10"/>
      <c r="D81" s="9"/>
      <c r="E81" s="9">
        <v>77</v>
      </c>
      <c r="F81" s="25">
        <v>-77</v>
      </c>
      <c r="G81" s="18">
        <f>VLOOKUP(A81,[1]TDSheet!$A:$G,7,0)</f>
        <v>0</v>
      </c>
      <c r="L81" s="2">
        <f t="shared" si="6"/>
        <v>15.4</v>
      </c>
      <c r="M81" s="28"/>
      <c r="N81" s="22"/>
      <c r="O81" s="2">
        <f t="shared" si="7"/>
        <v>-5</v>
      </c>
      <c r="P81" s="2">
        <f t="shared" si="8"/>
        <v>-5</v>
      </c>
      <c r="Q81" s="2">
        <f>VLOOKUP(A81,[1]TDSheet!$A:$Q,17,0)</f>
        <v>2.4</v>
      </c>
      <c r="R81" s="2">
        <f>VLOOKUP(A81,[1]TDSheet!$A:$L,12,0)</f>
        <v>10</v>
      </c>
      <c r="U81" s="2">
        <f t="shared" si="9"/>
        <v>0</v>
      </c>
    </row>
  </sheetData>
  <autoFilter ref="A3:V81" xr:uid="{C85E13C8-50F4-4485-B298-42007894717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2023-09-18T11:57:35Z</dcterms:modified>
</cp:coreProperties>
</file>