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E692ADA2-B888-4340-9B73-1E70C74120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AF640" i="1" s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Y598" i="1"/>
  <c r="BP597" i="1"/>
  <c r="BO597" i="1"/>
  <c r="BN597" i="1"/>
  <c r="BM597" i="1"/>
  <c r="Z597" i="1"/>
  <c r="Z602" i="1" s="1"/>
  <c r="Y597" i="1"/>
  <c r="Y603" i="1" s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Z565" i="1" s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X555" i="1"/>
  <c r="X554" i="1"/>
  <c r="BP553" i="1"/>
  <c r="BO553" i="1"/>
  <c r="BN553" i="1"/>
  <c r="BM553" i="1"/>
  <c r="Z553" i="1"/>
  <c r="Y553" i="1"/>
  <c r="P553" i="1"/>
  <c r="BO552" i="1"/>
  <c r="BM552" i="1"/>
  <c r="Y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Y555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8" i="1"/>
  <c r="Y507" i="1"/>
  <c r="X507" i="1"/>
  <c r="BP506" i="1"/>
  <c r="BO506" i="1"/>
  <c r="BN506" i="1"/>
  <c r="BM506" i="1"/>
  <c r="Z506" i="1"/>
  <c r="Z507" i="1" s="1"/>
  <c r="Y506" i="1"/>
  <c r="AC640" i="1" s="1"/>
  <c r="P506" i="1"/>
  <c r="X503" i="1"/>
  <c r="Y502" i="1"/>
  <c r="X502" i="1"/>
  <c r="BP501" i="1"/>
  <c r="BO501" i="1"/>
  <c r="BN501" i="1"/>
  <c r="BM501" i="1"/>
  <c r="Z501" i="1"/>
  <c r="Y501" i="1"/>
  <c r="BP500" i="1"/>
  <c r="BO500" i="1"/>
  <c r="BN500" i="1"/>
  <c r="BM500" i="1"/>
  <c r="Z500" i="1"/>
  <c r="Z502" i="1" s="1"/>
  <c r="Y500" i="1"/>
  <c r="AB640" i="1" s="1"/>
  <c r="P500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Y497" i="1" s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3" i="1" s="1"/>
  <c r="P481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Y320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N230" i="1"/>
  <c r="BM230" i="1"/>
  <c r="Z230" i="1"/>
  <c r="Y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Y201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J640" i="1" s="1"/>
  <c r="P194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Y190" i="1" s="1"/>
  <c r="P181" i="1"/>
  <c r="X179" i="1"/>
  <c r="Y178" i="1"/>
  <c r="X178" i="1"/>
  <c r="BP177" i="1"/>
  <c r="BO177" i="1"/>
  <c r="BN177" i="1"/>
  <c r="BM177" i="1"/>
  <c r="Z177" i="1"/>
  <c r="Z178" i="1" s="1"/>
  <c r="Y177" i="1"/>
  <c r="P177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67" i="1" s="1"/>
  <c r="P162" i="1"/>
  <c r="X160" i="1"/>
  <c r="X159" i="1"/>
  <c r="BO158" i="1"/>
  <c r="BM158" i="1"/>
  <c r="Y158" i="1"/>
  <c r="H640" i="1" s="1"/>
  <c r="P158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Y133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P97" i="1"/>
  <c r="BO96" i="1"/>
  <c r="BM96" i="1"/>
  <c r="Y96" i="1"/>
  <c r="Y107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640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640" i="1" s="1"/>
  <c r="P49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30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32" i="1" s="1"/>
  <c r="BM22" i="1"/>
  <c r="X631" i="1" s="1"/>
  <c r="Y22" i="1"/>
  <c r="B640" i="1" s="1"/>
  <c r="P22" i="1"/>
  <c r="H10" i="1"/>
  <c r="A9" i="1"/>
  <c r="F10" i="1" s="1"/>
  <c r="D7" i="1"/>
  <c r="Q6" i="1"/>
  <c r="P2" i="1"/>
  <c r="Z40" i="1" l="1"/>
  <c r="Z71" i="1"/>
  <c r="Z133" i="1"/>
  <c r="Z154" i="1"/>
  <c r="H9" i="1"/>
  <c r="A10" i="1"/>
  <c r="X633" i="1"/>
  <c r="Y40" i="1"/>
  <c r="Y46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BP232" i="1"/>
  <c r="BN232" i="1"/>
  <c r="Z232" i="1"/>
  <c r="Z234" i="1" s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BP290" i="1"/>
  <c r="BN290" i="1"/>
  <c r="Z290" i="1"/>
  <c r="BP329" i="1"/>
  <c r="BN329" i="1"/>
  <c r="Z329" i="1"/>
  <c r="Z330" i="1" s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40" i="1"/>
  <c r="Y417" i="1"/>
  <c r="BP406" i="1"/>
  <c r="BN406" i="1"/>
  <c r="Z406" i="1"/>
  <c r="Y416" i="1"/>
  <c r="BP410" i="1"/>
  <c r="BN410" i="1"/>
  <c r="Z410" i="1"/>
  <c r="Y26" i="1"/>
  <c r="F9" i="1"/>
  <c r="J9" i="1"/>
  <c r="Z22" i="1"/>
  <c r="BN22" i="1"/>
  <c r="BP22" i="1"/>
  <c r="Z24" i="1"/>
  <c r="BN24" i="1"/>
  <c r="X634" i="1"/>
  <c r="Y27" i="1"/>
  <c r="C640" i="1"/>
  <c r="Z36" i="1"/>
  <c r="BN36" i="1"/>
  <c r="Z38" i="1"/>
  <c r="BN38" i="1"/>
  <c r="Y41" i="1"/>
  <c r="Z44" i="1"/>
  <c r="Z45" i="1" s="1"/>
  <c r="BN44" i="1"/>
  <c r="Z49" i="1"/>
  <c r="Z56" i="1" s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Z67" i="1"/>
  <c r="BN67" i="1"/>
  <c r="Z69" i="1"/>
  <c r="BN69" i="1"/>
  <c r="Z75" i="1"/>
  <c r="Z80" i="1" s="1"/>
  <c r="BN75" i="1"/>
  <c r="Z77" i="1"/>
  <c r="BN77" i="1"/>
  <c r="Z79" i="1"/>
  <c r="BN79" i="1"/>
  <c r="Z83" i="1"/>
  <c r="BN83" i="1"/>
  <c r="BP83" i="1"/>
  <c r="Z85" i="1"/>
  <c r="BN85" i="1"/>
  <c r="Z90" i="1"/>
  <c r="Z93" i="1" s="1"/>
  <c r="BN90" i="1"/>
  <c r="BP90" i="1"/>
  <c r="Z92" i="1"/>
  <c r="BN92" i="1"/>
  <c r="Y93" i="1"/>
  <c r="Z96" i="1"/>
  <c r="Z106" i="1" s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Z115" i="1" s="1"/>
  <c r="BN111" i="1"/>
  <c r="Z113" i="1"/>
  <c r="BN113" i="1"/>
  <c r="Y116" i="1"/>
  <c r="Z119" i="1"/>
  <c r="Z121" i="1" s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Z190" i="1" s="1"/>
  <c r="BN182" i="1"/>
  <c r="Z184" i="1"/>
  <c r="BN184" i="1"/>
  <c r="Z187" i="1"/>
  <c r="BN187" i="1"/>
  <c r="Z189" i="1"/>
  <c r="BN189" i="1"/>
  <c r="Z194" i="1"/>
  <c r="Z196" i="1" s="1"/>
  <c r="BN194" i="1"/>
  <c r="BP194" i="1"/>
  <c r="Y197" i="1"/>
  <c r="Z200" i="1"/>
  <c r="Z201" i="1" s="1"/>
  <c r="BN200" i="1"/>
  <c r="Z204" i="1"/>
  <c r="BN204" i="1"/>
  <c r="BP204" i="1"/>
  <c r="Z206" i="1"/>
  <c r="BN206" i="1"/>
  <c r="Z208" i="1"/>
  <c r="BN208" i="1"/>
  <c r="Z210" i="1"/>
  <c r="BN210" i="1"/>
  <c r="Z216" i="1"/>
  <c r="Z227" i="1" s="1"/>
  <c r="BN216" i="1"/>
  <c r="Z218" i="1"/>
  <c r="BN218" i="1"/>
  <c r="Z220" i="1"/>
  <c r="BN220" i="1"/>
  <c r="Z222" i="1"/>
  <c r="BN222" i="1"/>
  <c r="Z224" i="1"/>
  <c r="BN224" i="1"/>
  <c r="Z226" i="1"/>
  <c r="BN226" i="1"/>
  <c r="Y235" i="1"/>
  <c r="BP230" i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Z293" i="1" s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9" i="1"/>
  <c r="BN349" i="1"/>
  <c r="Z349" i="1"/>
  <c r="BP353" i="1"/>
  <c r="BN353" i="1"/>
  <c r="Z353" i="1"/>
  <c r="Y362" i="1"/>
  <c r="BP361" i="1"/>
  <c r="BN361" i="1"/>
  <c r="Z361" i="1"/>
  <c r="Z362" i="1" s="1"/>
  <c r="Y363" i="1"/>
  <c r="Y372" i="1"/>
  <c r="BP365" i="1"/>
  <c r="BN365" i="1"/>
  <c r="Z365" i="1"/>
  <c r="Y371" i="1"/>
  <c r="BP369" i="1"/>
  <c r="BN369" i="1"/>
  <c r="Z369" i="1"/>
  <c r="K640" i="1"/>
  <c r="Y242" i="1"/>
  <c r="T640" i="1"/>
  <c r="Y326" i="1"/>
  <c r="BP367" i="1"/>
  <c r="BN367" i="1"/>
  <c r="Z367" i="1"/>
  <c r="Z377" i="1"/>
  <c r="BP375" i="1"/>
  <c r="BN375" i="1"/>
  <c r="Z375" i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BP493" i="1"/>
  <c r="BN493" i="1"/>
  <c r="Z493" i="1"/>
  <c r="Y496" i="1"/>
  <c r="BP517" i="1"/>
  <c r="BN517" i="1"/>
  <c r="Z517" i="1"/>
  <c r="Z532" i="1" s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Z560" i="1"/>
  <c r="BP558" i="1"/>
  <c r="BN558" i="1"/>
  <c r="Z558" i="1"/>
  <c r="Y560" i="1"/>
  <c r="BP414" i="1"/>
  <c r="BN414" i="1"/>
  <c r="Z414" i="1"/>
  <c r="BP436" i="1"/>
  <c r="BN436" i="1"/>
  <c r="Z436" i="1"/>
  <c r="BP440" i="1"/>
  <c r="BN440" i="1"/>
  <c r="Z440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Z478" i="1" s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BP494" i="1"/>
  <c r="BN494" i="1"/>
  <c r="Z494" i="1"/>
  <c r="Z496" i="1" s="1"/>
  <c r="BP571" i="1"/>
  <c r="BN571" i="1"/>
  <c r="Z571" i="1"/>
  <c r="BP573" i="1"/>
  <c r="BN573" i="1"/>
  <c r="Z573" i="1"/>
  <c r="AA64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Z554" i="1" s="1"/>
  <c r="BP552" i="1"/>
  <c r="BN552" i="1"/>
  <c r="Z552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Z628" i="1" s="1"/>
  <c r="Y616" i="1"/>
  <c r="Z609" i="1" l="1"/>
  <c r="Z594" i="1"/>
  <c r="Z577" i="1"/>
  <c r="Y631" i="1"/>
  <c r="Y634" i="1"/>
  <c r="Z355" i="1"/>
  <c r="Z284" i="1"/>
  <c r="Z272" i="1"/>
  <c r="Z539" i="1"/>
  <c r="Z455" i="1"/>
  <c r="Z442" i="1"/>
  <c r="Z371" i="1"/>
  <c r="Z212" i="1"/>
  <c r="Z167" i="1"/>
  <c r="Z86" i="1"/>
  <c r="Y630" i="1"/>
  <c r="Y632" i="1"/>
  <c r="Z26" i="1"/>
  <c r="Z416" i="1"/>
  <c r="Z390" i="1"/>
  <c r="Z384" i="1"/>
  <c r="Z255" i="1"/>
  <c r="Z635" i="1" l="1"/>
  <c r="Y633" i="1"/>
</calcChain>
</file>

<file path=xl/sharedStrings.xml><?xml version="1.0" encoding="utf-8"?>
<sst xmlns="http://schemas.openxmlformats.org/spreadsheetml/2006/main" count="2957" uniqueCount="1055">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</sst>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11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4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/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18</v>
      </c>
      <c r="Q8" s="889">
        <v>0.41666666666666669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19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20</v>
      </c>
      <c r="Q10" s="953"/>
      <c r="R10" s="954"/>
      <c r="U10" s="24" t="s">
        <v>21</v>
      </c>
      <c r="V10" s="774" t="s">
        <v>22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77"/>
      <c r="R11" s="878"/>
      <c r="U11" s="24" t="s">
        <v>25</v>
      </c>
      <c r="V11" s="1060" t="s">
        <v>26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33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34</v>
      </c>
      <c r="B17" s="771" t="s">
        <v>35</v>
      </c>
      <c r="C17" s="899" t="s">
        <v>36</v>
      </c>
      <c r="D17" s="771" t="s">
        <v>37</v>
      </c>
      <c r="E17" s="848"/>
      <c r="F17" s="771" t="s">
        <v>38</v>
      </c>
      <c r="G17" s="771" t="s">
        <v>39</v>
      </c>
      <c r="H17" s="771" t="s">
        <v>40</v>
      </c>
      <c r="I17" s="771" t="s">
        <v>41</v>
      </c>
      <c r="J17" s="771" t="s">
        <v>42</v>
      </c>
      <c r="K17" s="771" t="s">
        <v>43</v>
      </c>
      <c r="L17" s="771" t="s">
        <v>44</v>
      </c>
      <c r="M17" s="771" t="s">
        <v>45</v>
      </c>
      <c r="N17" s="771" t="s">
        <v>46</v>
      </c>
      <c r="O17" s="771" t="s">
        <v>47</v>
      </c>
      <c r="P17" s="771" t="s">
        <v>48</v>
      </c>
      <c r="Q17" s="847"/>
      <c r="R17" s="847"/>
      <c r="S17" s="847"/>
      <c r="T17" s="848"/>
      <c r="U17" s="1137" t="s">
        <v>49</v>
      </c>
      <c r="V17" s="787"/>
      <c r="W17" s="771" t="s">
        <v>50</v>
      </c>
      <c r="X17" s="771" t="s">
        <v>51</v>
      </c>
      <c r="Y17" s="1139" t="s">
        <v>52</v>
      </c>
      <c r="Z17" s="1024" t="s">
        <v>53</v>
      </c>
      <c r="AA17" s="1003" t="s">
        <v>54</v>
      </c>
      <c r="AB17" s="1003" t="s">
        <v>55</v>
      </c>
      <c r="AC17" s="1003" t="s">
        <v>56</v>
      </c>
      <c r="AD17" s="1003" t="s">
        <v>57</v>
      </c>
      <c r="AE17" s="1093"/>
      <c r="AF17" s="1094"/>
      <c r="AG17" s="66"/>
      <c r="BD17" s="65" t="s">
        <v>58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59</v>
      </c>
      <c r="V18" s="67" t="s">
        <v>60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61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62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63</v>
      </c>
      <c r="B22" s="54" t="s">
        <v>64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69</v>
      </c>
      <c r="B23" s="54" t="s">
        <v>70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72</v>
      </c>
      <c r="B24" s="54" t="s">
        <v>73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75</v>
      </c>
      <c r="B25" s="54" t="s">
        <v>76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78</v>
      </c>
      <c r="Q26" s="737"/>
      <c r="R26" s="737"/>
      <c r="S26" s="737"/>
      <c r="T26" s="737"/>
      <c r="U26" s="737"/>
      <c r="V26" s="738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78</v>
      </c>
      <c r="Q27" s="737"/>
      <c r="R27" s="737"/>
      <c r="S27" s="737"/>
      <c r="T27" s="737"/>
      <c r="U27" s="737"/>
      <c r="V27" s="738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80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81</v>
      </c>
      <c r="B29" s="54" t="s">
        <v>82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78</v>
      </c>
      <c r="Q30" s="737"/>
      <c r="R30" s="737"/>
      <c r="S30" s="737"/>
      <c r="T30" s="737"/>
      <c r="U30" s="737"/>
      <c r="V30" s="738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78</v>
      </c>
      <c r="Q31" s="737"/>
      <c r="R31" s="737"/>
      <c r="S31" s="737"/>
      <c r="T31" s="737"/>
      <c r="U31" s="737"/>
      <c r="V31" s="738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87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88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89</v>
      </c>
      <c r="B35" s="54" t="s">
        <v>90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67</v>
      </c>
      <c r="X35" s="727">
        <v>555</v>
      </c>
      <c r="Y35" s="728">
        <f>IFERROR(IF(X35="",0,CEILING((X35/$H35),1)*$H35),"")</f>
        <v>561.6</v>
      </c>
      <c r="Z35" s="36">
        <f>IFERROR(IF(Y35=0,"",ROUNDUP(Y35/H35,0)*0.01898),"")</f>
        <v>0.98696000000000006</v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577.35416666666652</v>
      </c>
      <c r="BN35" s="64">
        <f>IFERROR(Y35*I35/H35,"0")</f>
        <v>584.21999999999991</v>
      </c>
      <c r="BO35" s="64">
        <f>IFERROR(1/J35*(X35/H35),"0")</f>
        <v>0.80295138888888884</v>
      </c>
      <c r="BP35" s="64">
        <f>IFERROR(1/J35*(Y35/H35),"0")</f>
        <v>0.8125</v>
      </c>
    </row>
    <row r="36" spans="1:68" ht="16.5" customHeight="1" x14ac:dyDescent="0.25">
      <c r="A36" s="54" t="s">
        <v>94</v>
      </c>
      <c r="B36" s="54" t="s">
        <v>95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67</v>
      </c>
      <c r="X36" s="727">
        <v>70</v>
      </c>
      <c r="Y36" s="728">
        <f>IFERROR(IF(X36="",0,CEILING((X36/$H36),1)*$H36),"")</f>
        <v>78.399999999999991</v>
      </c>
      <c r="Z36" s="36">
        <f>IFERROR(IF(Y36=0,"",ROUNDUP(Y36/H36,0)*0.01898),"")</f>
        <v>0.13286000000000001</v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72.71875</v>
      </c>
      <c r="BN36" s="64">
        <f>IFERROR(Y36*I36/H36,"0")</f>
        <v>81.444999999999993</v>
      </c>
      <c r="BO36" s="64">
        <f>IFERROR(1/J36*(X36/H36),"0")</f>
        <v>9.765625E-2</v>
      </c>
      <c r="BP36" s="64">
        <f>IFERROR(1/J36*(Y36/H36),"0")</f>
        <v>0.109375</v>
      </c>
    </row>
    <row r="37" spans="1:68" ht="27" customHeight="1" x14ac:dyDescent="0.25">
      <c r="A37" s="54" t="s">
        <v>97</v>
      </c>
      <c r="B37" s="54" t="s">
        <v>98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103</v>
      </c>
      <c r="B39" s="54" t="s">
        <v>104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78</v>
      </c>
      <c r="Q40" s="737"/>
      <c r="R40" s="737"/>
      <c r="S40" s="737"/>
      <c r="T40" s="737"/>
      <c r="U40" s="737"/>
      <c r="V40" s="738"/>
      <c r="W40" s="37" t="s">
        <v>79</v>
      </c>
      <c r="X40" s="729">
        <f>IFERROR(X35/H35,"0")+IFERROR(X36/H36,"0")+IFERROR(X37/H37,"0")+IFERROR(X38/H38,"0")+IFERROR(X39/H39,"0")</f>
        <v>57.638888888888886</v>
      </c>
      <c r="Y40" s="729">
        <f>IFERROR(Y35/H35,"0")+IFERROR(Y36/H36,"0")+IFERROR(Y37/H37,"0")+IFERROR(Y38/H38,"0")+IFERROR(Y39/H39,"0")</f>
        <v>59</v>
      </c>
      <c r="Z40" s="729">
        <f>IFERROR(IF(Z35="",0,Z35),"0")+IFERROR(IF(Z36="",0,Z36),"0")+IFERROR(IF(Z37="",0,Z37),"0")+IFERROR(IF(Z38="",0,Z38),"0")+IFERROR(IF(Z39="",0,Z39),"0")</f>
        <v>1.11982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78</v>
      </c>
      <c r="Q41" s="737"/>
      <c r="R41" s="737"/>
      <c r="S41" s="737"/>
      <c r="T41" s="737"/>
      <c r="U41" s="737"/>
      <c r="V41" s="738"/>
      <c r="W41" s="37" t="s">
        <v>67</v>
      </c>
      <c r="X41" s="729">
        <f>IFERROR(SUM(X35:X39),"0")</f>
        <v>625</v>
      </c>
      <c r="Y41" s="729">
        <f>IFERROR(SUM(Y35:Y39),"0")</f>
        <v>640</v>
      </c>
      <c r="Z41" s="37"/>
      <c r="AA41" s="730"/>
      <c r="AB41" s="730"/>
      <c r="AC41" s="730"/>
    </row>
    <row r="42" spans="1:68" ht="14.25" customHeight="1" x14ac:dyDescent="0.25">
      <c r="A42" s="746" t="s">
        <v>62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105</v>
      </c>
      <c r="B43" s="54" t="s">
        <v>106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109</v>
      </c>
      <c r="B44" s="54" t="s">
        <v>110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78</v>
      </c>
      <c r="Q45" s="737"/>
      <c r="R45" s="737"/>
      <c r="S45" s="737"/>
      <c r="T45" s="737"/>
      <c r="U45" s="737"/>
      <c r="V45" s="738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78</v>
      </c>
      <c r="Q46" s="737"/>
      <c r="R46" s="737"/>
      <c r="S46" s="737"/>
      <c r="T46" s="737"/>
      <c r="U46" s="737"/>
      <c r="V46" s="738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112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88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113</v>
      </c>
      <c r="B49" s="54" t="s">
        <v>114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67</v>
      </c>
      <c r="X50" s="727">
        <v>53</v>
      </c>
      <c r="Y50" s="728">
        <f t="shared" si="0"/>
        <v>54</v>
      </c>
      <c r="Z50" s="36">
        <f>IFERROR(IF(Y50=0,"",ROUNDUP(Y50/H50,0)*0.01898),"")</f>
        <v>9.4899999999999998E-2</v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55.134722222222209</v>
      </c>
      <c r="BN50" s="64">
        <f t="shared" si="2"/>
        <v>56.17499999999999</v>
      </c>
      <c r="BO50" s="64">
        <f t="shared" si="3"/>
        <v>7.6678240740740741E-2</v>
      </c>
      <c r="BP50" s="64">
        <f t="shared" si="4"/>
        <v>7.8125E-2</v>
      </c>
    </row>
    <row r="51" spans="1:68" ht="27" customHeight="1" x14ac:dyDescent="0.25">
      <c r="A51" s="54" t="s">
        <v>119</v>
      </c>
      <c r="B51" s="54" t="s">
        <v>120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125</v>
      </c>
      <c r="B53" s="54" t="s">
        <v>126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67</v>
      </c>
      <c r="X53" s="727">
        <v>73</v>
      </c>
      <c r="Y53" s="728">
        <f t="shared" si="0"/>
        <v>76</v>
      </c>
      <c r="Z53" s="36">
        <f>IFERROR(IF(Y53=0,"",ROUNDUP(Y53/H53,0)*0.00902),"")</f>
        <v>0.17138</v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76.832499999999996</v>
      </c>
      <c r="BN53" s="64">
        <f t="shared" si="2"/>
        <v>79.989999999999995</v>
      </c>
      <c r="BO53" s="64">
        <f t="shared" si="3"/>
        <v>0.13825757575757577</v>
      </c>
      <c r="BP53" s="64">
        <f t="shared" si="4"/>
        <v>0.14393939393939395</v>
      </c>
    </row>
    <row r="54" spans="1:68" ht="27" customHeight="1" x14ac:dyDescent="0.25">
      <c r="A54" s="54" t="s">
        <v>127</v>
      </c>
      <c r="B54" s="54" t="s">
        <v>128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78</v>
      </c>
      <c r="Q56" s="737"/>
      <c r="R56" s="737"/>
      <c r="S56" s="737"/>
      <c r="T56" s="737"/>
      <c r="U56" s="737"/>
      <c r="V56" s="738"/>
      <c r="W56" s="37" t="s">
        <v>79</v>
      </c>
      <c r="X56" s="729">
        <f>IFERROR(X49/H49,"0")+IFERROR(X50/H50,"0")+IFERROR(X51/H51,"0")+IFERROR(X52/H52,"0")+IFERROR(X53/H53,"0")+IFERROR(X54/H54,"0")+IFERROR(X55/H55,"0")</f>
        <v>23.157407407407408</v>
      </c>
      <c r="Y56" s="729">
        <f>IFERROR(Y49/H49,"0")+IFERROR(Y50/H50,"0")+IFERROR(Y51/H51,"0")+IFERROR(Y52/H52,"0")+IFERROR(Y53/H53,"0")+IFERROR(Y54/H54,"0")+IFERROR(Y55/H55,"0")</f>
        <v>24</v>
      </c>
      <c r="Z56" s="729">
        <f>IFERROR(IF(Z49="",0,Z49),"0")+IFERROR(IF(Z50="",0,Z50),"0")+IFERROR(IF(Z51="",0,Z51),"0")+IFERROR(IF(Z52="",0,Z52),"0")+IFERROR(IF(Z53="",0,Z53),"0")+IFERROR(IF(Z54="",0,Z54),"0")+IFERROR(IF(Z55="",0,Z55),"0")</f>
        <v>0.26628000000000002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78</v>
      </c>
      <c r="Q57" s="737"/>
      <c r="R57" s="737"/>
      <c r="S57" s="737"/>
      <c r="T57" s="737"/>
      <c r="U57" s="737"/>
      <c r="V57" s="738"/>
      <c r="W57" s="37" t="s">
        <v>67</v>
      </c>
      <c r="X57" s="729">
        <f>IFERROR(SUM(X49:X55),"0")</f>
        <v>126</v>
      </c>
      <c r="Y57" s="729">
        <f>IFERROR(SUM(Y49:Y55),"0")</f>
        <v>130</v>
      </c>
      <c r="Z57" s="37"/>
      <c r="AA57" s="730"/>
      <c r="AB57" s="730"/>
      <c r="AC57" s="730"/>
    </row>
    <row r="58" spans="1:68" ht="14.25" customHeight="1" x14ac:dyDescent="0.25">
      <c r="A58" s="746" t="s">
        <v>133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134</v>
      </c>
      <c r="B59" s="54" t="s">
        <v>135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67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137</v>
      </c>
      <c r="B60" s="54" t="s">
        <v>138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78</v>
      </c>
      <c r="Q63" s="737"/>
      <c r="R63" s="737"/>
      <c r="S63" s="737"/>
      <c r="T63" s="737"/>
      <c r="U63" s="737"/>
      <c r="V63" s="738"/>
      <c r="W63" s="37" t="s">
        <v>79</v>
      </c>
      <c r="X63" s="729">
        <f>IFERROR(X59/H59,"0")+IFERROR(X60/H60,"0")+IFERROR(X61/H61,"0")+IFERROR(X62/H62,"0")</f>
        <v>0</v>
      </c>
      <c r="Y63" s="729">
        <f>IFERROR(Y59/H59,"0")+IFERROR(Y60/H60,"0")+IFERROR(Y61/H61,"0")+IFERROR(Y62/H62,"0")</f>
        <v>0</v>
      </c>
      <c r="Z63" s="729">
        <f>IFERROR(IF(Z59="",0,Z59),"0")+IFERROR(IF(Z60="",0,Z60),"0")+IFERROR(IF(Z61="",0,Z61),"0")+IFERROR(IF(Z62="",0,Z62),"0")</f>
        <v>0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78</v>
      </c>
      <c r="Q64" s="737"/>
      <c r="R64" s="737"/>
      <c r="S64" s="737"/>
      <c r="T64" s="737"/>
      <c r="U64" s="737"/>
      <c r="V64" s="738"/>
      <c r="W64" s="37" t="s">
        <v>67</v>
      </c>
      <c r="X64" s="729">
        <f>IFERROR(SUM(X59:X62),"0")</f>
        <v>0</v>
      </c>
      <c r="Y64" s="729">
        <f>IFERROR(SUM(Y59:Y62),"0")</f>
        <v>0</v>
      </c>
      <c r="Z64" s="37"/>
      <c r="AA64" s="730"/>
      <c r="AB64" s="730"/>
      <c r="AC64" s="730"/>
    </row>
    <row r="65" spans="1:68" ht="14.25" customHeight="1" x14ac:dyDescent="0.25">
      <c r="A65" s="746" t="s">
        <v>144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145</v>
      </c>
      <c r="B66" s="54" t="s">
        <v>146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148</v>
      </c>
      <c r="B67" s="54" t="s">
        <v>149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151</v>
      </c>
      <c r="B68" s="54" t="s">
        <v>152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154</v>
      </c>
      <c r="B69" s="54" t="s">
        <v>155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78</v>
      </c>
      <c r="Q71" s="737"/>
      <c r="R71" s="737"/>
      <c r="S71" s="737"/>
      <c r="T71" s="737"/>
      <c r="U71" s="737"/>
      <c r="V71" s="738"/>
      <c r="W71" s="37" t="s">
        <v>79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78</v>
      </c>
      <c r="Q72" s="737"/>
      <c r="R72" s="737"/>
      <c r="S72" s="737"/>
      <c r="T72" s="737"/>
      <c r="U72" s="737"/>
      <c r="V72" s="738"/>
      <c r="W72" s="37" t="s">
        <v>67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customHeight="1" x14ac:dyDescent="0.25">
      <c r="A73" s="746" t="s">
        <v>62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67</v>
      </c>
      <c r="X75" s="727">
        <v>13</v>
      </c>
      <c r="Y75" s="728">
        <f t="shared" si="5"/>
        <v>16.8</v>
      </c>
      <c r="Z75" s="36">
        <f>IFERROR(IF(Y75=0,"",ROUNDUP(Y75/H75,0)*0.01898),"")</f>
        <v>3.7960000000000001E-2</v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13.673214285714288</v>
      </c>
      <c r="BN75" s="64">
        <f t="shared" si="7"/>
        <v>17.670000000000002</v>
      </c>
      <c r="BO75" s="64">
        <f t="shared" si="8"/>
        <v>2.4181547619047616E-2</v>
      </c>
      <c r="BP75" s="64">
        <f t="shared" si="9"/>
        <v>3.125E-2</v>
      </c>
    </row>
    <row r="76" spans="1:68" ht="37.5" customHeight="1" x14ac:dyDescent="0.25">
      <c r="A76" s="54" t="s">
        <v>164</v>
      </c>
      <c r="B76" s="54" t="s">
        <v>165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171</v>
      </c>
      <c r="B79" s="54" t="s">
        <v>172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78</v>
      </c>
      <c r="Q80" s="737"/>
      <c r="R80" s="737"/>
      <c r="S80" s="737"/>
      <c r="T80" s="737"/>
      <c r="U80" s="737"/>
      <c r="V80" s="738"/>
      <c r="W80" s="37" t="s">
        <v>79</v>
      </c>
      <c r="X80" s="729">
        <f>IFERROR(X74/H74,"0")+IFERROR(X75/H75,"0")+IFERROR(X76/H76,"0")+IFERROR(X77/H77,"0")+IFERROR(X78/H78,"0")+IFERROR(X79/H79,"0")</f>
        <v>1.5476190476190474</v>
      </c>
      <c r="Y80" s="729">
        <f>IFERROR(Y74/H74,"0")+IFERROR(Y75/H75,"0")+IFERROR(Y76/H76,"0")+IFERROR(Y77/H77,"0")+IFERROR(Y78/H78,"0")+IFERROR(Y79/H79,"0")</f>
        <v>2</v>
      </c>
      <c r="Z80" s="729">
        <f>IFERROR(IF(Z74="",0,Z74),"0")+IFERROR(IF(Z75="",0,Z75),"0")+IFERROR(IF(Z76="",0,Z76),"0")+IFERROR(IF(Z77="",0,Z77),"0")+IFERROR(IF(Z78="",0,Z78),"0")+IFERROR(IF(Z79="",0,Z79),"0")</f>
        <v>3.7960000000000001E-2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78</v>
      </c>
      <c r="Q81" s="737"/>
      <c r="R81" s="737"/>
      <c r="S81" s="737"/>
      <c r="T81" s="737"/>
      <c r="U81" s="737"/>
      <c r="V81" s="738"/>
      <c r="W81" s="37" t="s">
        <v>67</v>
      </c>
      <c r="X81" s="729">
        <f>IFERROR(SUM(X74:X79),"0")</f>
        <v>13</v>
      </c>
      <c r="Y81" s="729">
        <f>IFERROR(SUM(Y74:Y79),"0")</f>
        <v>16.8</v>
      </c>
      <c r="Z81" s="37"/>
      <c r="AA81" s="730"/>
      <c r="AB81" s="730"/>
      <c r="AC81" s="730"/>
    </row>
    <row r="82" spans="1:68" ht="14.25" customHeight="1" x14ac:dyDescent="0.25">
      <c r="A82" s="746" t="s">
        <v>173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174</v>
      </c>
      <c r="B83" s="54" t="s">
        <v>175</v>
      </c>
      <c r="C83" s="31">
        <v>4301060366</v>
      </c>
      <c r="D83" s="731">
        <v>4680115881532</v>
      </c>
      <c r="E83" s="732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4"/>
      <c r="R83" s="734"/>
      <c r="S83" s="734"/>
      <c r="T83" s="735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174</v>
      </c>
      <c r="B84" s="54" t="s">
        <v>177</v>
      </c>
      <c r="C84" s="31">
        <v>4301060371</v>
      </c>
      <c r="D84" s="731">
        <v>4680115881532</v>
      </c>
      <c r="E84" s="732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10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4"/>
      <c r="R84" s="734"/>
      <c r="S84" s="734"/>
      <c r="T84" s="735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178</v>
      </c>
      <c r="B85" s="54" t="s">
        <v>179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78</v>
      </c>
      <c r="Q86" s="737"/>
      <c r="R86" s="737"/>
      <c r="S86" s="737"/>
      <c r="T86" s="737"/>
      <c r="U86" s="737"/>
      <c r="V86" s="738"/>
      <c r="W86" s="37" t="s">
        <v>79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78</v>
      </c>
      <c r="Q87" s="737"/>
      <c r="R87" s="737"/>
      <c r="S87" s="737"/>
      <c r="T87" s="737"/>
      <c r="U87" s="737"/>
      <c r="V87" s="738"/>
      <c r="W87" s="37" t="s">
        <v>67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customHeight="1" x14ac:dyDescent="0.25">
      <c r="A88" s="747" t="s">
        <v>181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88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67</v>
      </c>
      <c r="X90" s="727">
        <v>513</v>
      </c>
      <c r="Y90" s="728">
        <f>IFERROR(IF(X90="",0,CEILING((X90/$H90),1)*$H90),"")</f>
        <v>518.40000000000009</v>
      </c>
      <c r="Z90" s="36">
        <f>IFERROR(IF(Y90=0,"",ROUNDUP(Y90/H90,0)*0.01898),"")</f>
        <v>0.91104000000000007</v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533.66249999999991</v>
      </c>
      <c r="BN90" s="64">
        <f>IFERROR(Y90*I90/H90,"0")</f>
        <v>539.28000000000009</v>
      </c>
      <c r="BO90" s="64">
        <f>IFERROR(1/J90*(X90/H90),"0")</f>
        <v>0.7421875</v>
      </c>
      <c r="BP90" s="64">
        <f>IFERROR(1/J90*(Y90/H90),"0")</f>
        <v>0.75000000000000011</v>
      </c>
    </row>
    <row r="91" spans="1:68" ht="16.5" customHeight="1" x14ac:dyDescent="0.25">
      <c r="A91" s="54" t="s">
        <v>185</v>
      </c>
      <c r="B91" s="54" t="s">
        <v>186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187</v>
      </c>
      <c r="B92" s="54" t="s">
        <v>188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67</v>
      </c>
      <c r="X92" s="727">
        <v>74</v>
      </c>
      <c r="Y92" s="728">
        <f>IFERROR(IF(X92="",0,CEILING((X92/$H92),1)*$H92),"")</f>
        <v>76.5</v>
      </c>
      <c r="Z92" s="36">
        <f>IFERROR(IF(Y92=0,"",ROUNDUP(Y92/H92,0)*0.00902),"")</f>
        <v>0.15334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77.453333333333333</v>
      </c>
      <c r="BN92" s="64">
        <f>IFERROR(Y92*I92/H92,"0")</f>
        <v>80.069999999999993</v>
      </c>
      <c r="BO92" s="64">
        <f>IFERROR(1/J92*(X92/H92),"0")</f>
        <v>0.12457912457912457</v>
      </c>
      <c r="BP92" s="64">
        <f>IFERROR(1/J92*(Y92/H92),"0")</f>
        <v>0.12878787878787878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78</v>
      </c>
      <c r="Q93" s="737"/>
      <c r="R93" s="737"/>
      <c r="S93" s="737"/>
      <c r="T93" s="737"/>
      <c r="U93" s="737"/>
      <c r="V93" s="738"/>
      <c r="W93" s="37" t="s">
        <v>79</v>
      </c>
      <c r="X93" s="729">
        <f>IFERROR(X90/H90,"0")+IFERROR(X91/H91,"0")+IFERROR(X92/H92,"0")</f>
        <v>63.944444444444443</v>
      </c>
      <c r="Y93" s="729">
        <f>IFERROR(Y90/H90,"0")+IFERROR(Y91/H91,"0")+IFERROR(Y92/H92,"0")</f>
        <v>65</v>
      </c>
      <c r="Z93" s="729">
        <f>IFERROR(IF(Z90="",0,Z90),"0")+IFERROR(IF(Z91="",0,Z91),"0")+IFERROR(IF(Z92="",0,Z92),"0")</f>
        <v>1.0643800000000001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78</v>
      </c>
      <c r="Q94" s="737"/>
      <c r="R94" s="737"/>
      <c r="S94" s="737"/>
      <c r="T94" s="737"/>
      <c r="U94" s="737"/>
      <c r="V94" s="738"/>
      <c r="W94" s="37" t="s">
        <v>67</v>
      </c>
      <c r="X94" s="729">
        <f>IFERROR(SUM(X90:X92),"0")</f>
        <v>587</v>
      </c>
      <c r="Y94" s="729">
        <f>IFERROR(SUM(Y90:Y92),"0")</f>
        <v>594.90000000000009</v>
      </c>
      <c r="Z94" s="37"/>
      <c r="AA94" s="730"/>
      <c r="AB94" s="730"/>
      <c r="AC94" s="730"/>
    </row>
    <row r="95" spans="1:68" ht="14.25" customHeight="1" x14ac:dyDescent="0.25">
      <c r="A95" s="746" t="s">
        <v>62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190</v>
      </c>
      <c r="B96" s="54" t="s">
        <v>191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1">
        <v>4607091386967</v>
      </c>
      <c r="E97" s="732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4"/>
      <c r="R97" s="734"/>
      <c r="S97" s="734"/>
      <c r="T97" s="735"/>
      <c r="U97" s="34"/>
      <c r="V97" s="34"/>
      <c r="W97" s="35" t="s">
        <v>67</v>
      </c>
      <c r="X97" s="727">
        <v>7</v>
      </c>
      <c r="Y97" s="728">
        <f t="shared" si="10"/>
        <v>8.4</v>
      </c>
      <c r="Z97" s="36">
        <f>IFERROR(IF(Y97=0,"",ROUNDUP(Y97/H97,0)*0.01898),"")</f>
        <v>1.898E-2</v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7.4325000000000001</v>
      </c>
      <c r="BN97" s="64">
        <f t="shared" si="12"/>
        <v>8.9190000000000005</v>
      </c>
      <c r="BO97" s="64">
        <f t="shared" si="13"/>
        <v>1.3020833333333332E-2</v>
      </c>
      <c r="BP97" s="64">
        <f t="shared" si="14"/>
        <v>1.5625E-2</v>
      </c>
    </row>
    <row r="98" spans="1:68" ht="16.5" customHeight="1" x14ac:dyDescent="0.25">
      <c r="A98" s="54" t="s">
        <v>190</v>
      </c>
      <c r="B98" s="54" t="s">
        <v>194</v>
      </c>
      <c r="C98" s="31">
        <v>4301051712</v>
      </c>
      <c r="D98" s="731">
        <v>4607091386967</v>
      </c>
      <c r="E98" s="732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28" t="s">
        <v>195</v>
      </c>
      <c r="Q98" s="734"/>
      <c r="R98" s="734"/>
      <c r="S98" s="734"/>
      <c r="T98" s="735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78" t="s">
        <v>200</v>
      </c>
      <c r="Q99" s="734"/>
      <c r="R99" s="734"/>
      <c r="S99" s="734"/>
      <c r="T99" s="735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67</v>
      </c>
      <c r="X100" s="727">
        <v>40</v>
      </c>
      <c r="Y100" s="728">
        <f t="shared" si="10"/>
        <v>40.5</v>
      </c>
      <c r="Z100" s="36">
        <f>IFERROR(IF(Y100=0,"",ROUNDUP(Y100/H100,0)*0.00651),"")</f>
        <v>9.7650000000000001E-2</v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43.733333333333327</v>
      </c>
      <c r="BN100" s="64">
        <f t="shared" si="12"/>
        <v>44.279999999999994</v>
      </c>
      <c r="BO100" s="64">
        <f t="shared" si="13"/>
        <v>8.1400081400081398E-2</v>
      </c>
      <c r="BP100" s="64">
        <f t="shared" si="14"/>
        <v>8.2417582417582416E-2</v>
      </c>
    </row>
    <row r="101" spans="1:68" ht="16.5" customHeight="1" x14ac:dyDescent="0.25">
      <c r="A101" s="54" t="s">
        <v>203</v>
      </c>
      <c r="B101" s="54" t="s">
        <v>205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74" t="s">
        <v>206</v>
      </c>
      <c r="Q101" s="734"/>
      <c r="R101" s="734"/>
      <c r="S101" s="734"/>
      <c r="T101" s="735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203</v>
      </c>
      <c r="B102" s="54" t="s">
        <v>207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078" t="s">
        <v>208</v>
      </c>
      <c r="Q102" s="734"/>
      <c r="R102" s="734"/>
      <c r="S102" s="734"/>
      <c r="T102" s="735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209</v>
      </c>
      <c r="B103" s="54" t="s">
        <v>210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212</v>
      </c>
      <c r="B104" s="54" t="s">
        <v>213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212</v>
      </c>
      <c r="B105" s="54" t="s">
        <v>214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78</v>
      </c>
      <c r="Q106" s="737"/>
      <c r="R106" s="737"/>
      <c r="S106" s="737"/>
      <c r="T106" s="737"/>
      <c r="U106" s="737"/>
      <c r="V106" s="738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15.648148148148147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15.999999999999998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0.11663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78</v>
      </c>
      <c r="Q107" s="737"/>
      <c r="R107" s="737"/>
      <c r="S107" s="737"/>
      <c r="T107" s="737"/>
      <c r="U107" s="737"/>
      <c r="V107" s="738"/>
      <c r="W107" s="37" t="s">
        <v>67</v>
      </c>
      <c r="X107" s="729">
        <f>IFERROR(SUM(X96:X105),"0")</f>
        <v>47</v>
      </c>
      <c r="Y107" s="729">
        <f>IFERROR(SUM(Y96:Y105),"0")</f>
        <v>48.9</v>
      </c>
      <c r="Z107" s="37"/>
      <c r="AA107" s="730"/>
      <c r="AB107" s="730"/>
      <c r="AC107" s="730"/>
    </row>
    <row r="108" spans="1:68" ht="16.5" customHeight="1" x14ac:dyDescent="0.25">
      <c r="A108" s="747" t="s">
        <v>215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88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216</v>
      </c>
      <c r="B110" s="54" t="s">
        <v>217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216</v>
      </c>
      <c r="B111" s="54" t="s">
        <v>219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67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220</v>
      </c>
      <c r="B112" s="54" t="s">
        <v>221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222</v>
      </c>
      <c r="B113" s="54" t="s">
        <v>223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67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224</v>
      </c>
      <c r="B114" s="54" t="s">
        <v>225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78</v>
      </c>
      <c r="Q115" s="737"/>
      <c r="R115" s="737"/>
      <c r="S115" s="737"/>
      <c r="T115" s="737"/>
      <c r="U115" s="737"/>
      <c r="V115" s="738"/>
      <c r="W115" s="37" t="s">
        <v>79</v>
      </c>
      <c r="X115" s="729">
        <f>IFERROR(X110/H110,"0")+IFERROR(X111/H111,"0")+IFERROR(X112/H112,"0")+IFERROR(X113/H113,"0")+IFERROR(X114/H114,"0")</f>
        <v>0</v>
      </c>
      <c r="Y115" s="729">
        <f>IFERROR(Y110/H110,"0")+IFERROR(Y111/H111,"0")+IFERROR(Y112/H112,"0")+IFERROR(Y113/H113,"0")+IFERROR(Y114/H114,"0")</f>
        <v>0</v>
      </c>
      <c r="Z115" s="729">
        <f>IFERROR(IF(Z110="",0,Z110),"0")+IFERROR(IF(Z111="",0,Z111),"0")+IFERROR(IF(Z112="",0,Z112),"0")+IFERROR(IF(Z113="",0,Z113),"0")+IFERROR(IF(Z114="",0,Z114),"0")</f>
        <v>0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78</v>
      </c>
      <c r="Q116" s="737"/>
      <c r="R116" s="737"/>
      <c r="S116" s="737"/>
      <c r="T116" s="737"/>
      <c r="U116" s="737"/>
      <c r="V116" s="738"/>
      <c r="W116" s="37" t="s">
        <v>67</v>
      </c>
      <c r="X116" s="729">
        <f>IFERROR(SUM(X110:X114),"0")</f>
        <v>0</v>
      </c>
      <c r="Y116" s="729">
        <f>IFERROR(SUM(Y110:Y114),"0")</f>
        <v>0</v>
      </c>
      <c r="Z116" s="37"/>
      <c r="AA116" s="730"/>
      <c r="AB116" s="730"/>
      <c r="AC116" s="730"/>
    </row>
    <row r="117" spans="1:68" ht="14.25" customHeight="1" x14ac:dyDescent="0.25">
      <c r="A117" s="746" t="s">
        <v>133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226</v>
      </c>
      <c r="B118" s="54" t="s">
        <v>227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67</v>
      </c>
      <c r="X118" s="727">
        <v>222</v>
      </c>
      <c r="Y118" s="728">
        <f>IFERROR(IF(X118="",0,CEILING((X118/$H118),1)*$H118),"")</f>
        <v>226.8</v>
      </c>
      <c r="Z118" s="36">
        <f>IFERROR(IF(Y118=0,"",ROUNDUP(Y118/H118,0)*0.01898),"")</f>
        <v>0.39857999999999999</v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230.94166666666666</v>
      </c>
      <c r="BN118" s="64">
        <f>IFERROR(Y118*I118/H118,"0")</f>
        <v>235.93499999999997</v>
      </c>
      <c r="BO118" s="64">
        <f>IFERROR(1/J118*(X118/H118),"0")</f>
        <v>0.32118055555555552</v>
      </c>
      <c r="BP118" s="64">
        <f>IFERROR(1/J118*(Y118/H118),"0")</f>
        <v>0.328125</v>
      </c>
    </row>
    <row r="119" spans="1:68" ht="16.5" customHeight="1" x14ac:dyDescent="0.25">
      <c r="A119" s="54" t="s">
        <v>229</v>
      </c>
      <c r="B119" s="54" t="s">
        <v>230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231</v>
      </c>
      <c r="B120" s="54" t="s">
        <v>232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67</v>
      </c>
      <c r="X120" s="727">
        <v>22</v>
      </c>
      <c r="Y120" s="728">
        <f>IFERROR(IF(X120="",0,CEILING((X120/$H120),1)*$H120),"")</f>
        <v>24</v>
      </c>
      <c r="Z120" s="36">
        <f>IFERROR(IF(Y120=0,"",ROUNDUP(Y120/H120,0)*0.00651),"")</f>
        <v>6.5100000000000005E-2</v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23.650000000000002</v>
      </c>
      <c r="BN120" s="64">
        <f>IFERROR(Y120*I120/H120,"0")</f>
        <v>25.8</v>
      </c>
      <c r="BO120" s="64">
        <f>IFERROR(1/J120*(X120/H120),"0")</f>
        <v>5.0366300366300375E-2</v>
      </c>
      <c r="BP120" s="64">
        <f>IFERROR(1/J120*(Y120/H120),"0")</f>
        <v>5.4945054945054951E-2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78</v>
      </c>
      <c r="Q121" s="737"/>
      <c r="R121" s="737"/>
      <c r="S121" s="737"/>
      <c r="T121" s="737"/>
      <c r="U121" s="737"/>
      <c r="V121" s="738"/>
      <c r="W121" s="37" t="s">
        <v>79</v>
      </c>
      <c r="X121" s="729">
        <f>IFERROR(X118/H118,"0")+IFERROR(X119/H119,"0")+IFERROR(X120/H120,"0")</f>
        <v>29.722222222222221</v>
      </c>
      <c r="Y121" s="729">
        <f>IFERROR(Y118/H118,"0")+IFERROR(Y119/H119,"0")+IFERROR(Y120/H120,"0")</f>
        <v>31</v>
      </c>
      <c r="Z121" s="729">
        <f>IFERROR(IF(Z118="",0,Z118),"0")+IFERROR(IF(Z119="",0,Z119),"0")+IFERROR(IF(Z120="",0,Z120),"0")</f>
        <v>0.46367999999999998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78</v>
      </c>
      <c r="Q122" s="737"/>
      <c r="R122" s="737"/>
      <c r="S122" s="737"/>
      <c r="T122" s="737"/>
      <c r="U122" s="737"/>
      <c r="V122" s="738"/>
      <c r="W122" s="37" t="s">
        <v>67</v>
      </c>
      <c r="X122" s="729">
        <f>IFERROR(SUM(X118:X120),"0")</f>
        <v>244</v>
      </c>
      <c r="Y122" s="729">
        <f>IFERROR(SUM(Y118:Y120),"0")</f>
        <v>250.8</v>
      </c>
      <c r="Z122" s="37"/>
      <c r="AA122" s="730"/>
      <c r="AB122" s="730"/>
      <c r="AC122" s="730"/>
    </row>
    <row r="123" spans="1:68" ht="14.25" customHeight="1" x14ac:dyDescent="0.25">
      <c r="A123" s="746" t="s">
        <v>62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233</v>
      </c>
      <c r="B124" s="54" t="s">
        <v>234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67</v>
      </c>
      <c r="X125" s="727">
        <v>233</v>
      </c>
      <c r="Y125" s="728">
        <f t="shared" si="15"/>
        <v>235.20000000000002</v>
      </c>
      <c r="Z125" s="36">
        <f>IFERROR(IF(Y125=0,"",ROUNDUP(Y125/H125,0)*0.01898),"")</f>
        <v>0.53144000000000002</v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247.22964285714289</v>
      </c>
      <c r="BN125" s="64">
        <f t="shared" si="17"/>
        <v>249.56400000000002</v>
      </c>
      <c r="BO125" s="64">
        <f t="shared" si="18"/>
        <v>0.43340773809523808</v>
      </c>
      <c r="BP125" s="64">
        <f t="shared" si="19"/>
        <v>0.4375</v>
      </c>
    </row>
    <row r="126" spans="1:68" ht="16.5" customHeight="1" x14ac:dyDescent="0.25">
      <c r="A126" s="54" t="s">
        <v>233</v>
      </c>
      <c r="B126" s="54" t="s">
        <v>238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4" t="s">
        <v>239</v>
      </c>
      <c r="Q126" s="734"/>
      <c r="R126" s="734"/>
      <c r="S126" s="734"/>
      <c r="T126" s="735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242</v>
      </c>
      <c r="B128" s="54" t="s">
        <v>244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092" t="s">
        <v>245</v>
      </c>
      <c r="Q128" s="734"/>
      <c r="R128" s="734"/>
      <c r="S128" s="734"/>
      <c r="T128" s="735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67</v>
      </c>
      <c r="X129" s="727">
        <v>205</v>
      </c>
      <c r="Y129" s="728">
        <f t="shared" si="15"/>
        <v>205.20000000000002</v>
      </c>
      <c r="Z129" s="36">
        <f t="shared" si="20"/>
        <v>0.49476000000000003</v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224.1333333333333</v>
      </c>
      <c r="BN129" s="64">
        <f t="shared" si="17"/>
        <v>224.352</v>
      </c>
      <c r="BO129" s="64">
        <f t="shared" si="18"/>
        <v>0.41717541717541717</v>
      </c>
      <c r="BP129" s="64">
        <f t="shared" si="19"/>
        <v>0.4175824175824176</v>
      </c>
    </row>
    <row r="130" spans="1:68" ht="27" customHeight="1" x14ac:dyDescent="0.25">
      <c r="A130" s="54" t="s">
        <v>247</v>
      </c>
      <c r="B130" s="54" t="s">
        <v>249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47" t="s">
        <v>250</v>
      </c>
      <c r="Q130" s="734"/>
      <c r="R130" s="734"/>
      <c r="S130" s="734"/>
      <c r="T130" s="735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78</v>
      </c>
      <c r="Q133" s="737"/>
      <c r="R133" s="737"/>
      <c r="S133" s="737"/>
      <c r="T133" s="737"/>
      <c r="U133" s="737"/>
      <c r="V133" s="738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103.66402116402116</v>
      </c>
      <c r="Y133" s="729">
        <f>IFERROR(Y124/H124,"0")+IFERROR(Y125/H125,"0")+IFERROR(Y126/H126,"0")+IFERROR(Y127/H127,"0")+IFERROR(Y128/H128,"0")+IFERROR(Y129/H129,"0")+IFERROR(Y130/H130,"0")+IFERROR(Y131/H131,"0")+IFERROR(Y132/H132,"0")</f>
        <v>104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1.0262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78</v>
      </c>
      <c r="Q134" s="737"/>
      <c r="R134" s="737"/>
      <c r="S134" s="737"/>
      <c r="T134" s="737"/>
      <c r="U134" s="737"/>
      <c r="V134" s="738"/>
      <c r="W134" s="37" t="s">
        <v>67</v>
      </c>
      <c r="X134" s="729">
        <f>IFERROR(SUM(X124:X132),"0")</f>
        <v>438</v>
      </c>
      <c r="Y134" s="729">
        <f>IFERROR(SUM(Y124:Y132),"0")</f>
        <v>440.40000000000003</v>
      </c>
      <c r="Z134" s="37"/>
      <c r="AA134" s="730"/>
      <c r="AB134" s="730"/>
      <c r="AC134" s="730"/>
    </row>
    <row r="135" spans="1:68" ht="14.25" customHeight="1" x14ac:dyDescent="0.25">
      <c r="A135" s="746" t="s">
        <v>173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257</v>
      </c>
      <c r="B136" s="54" t="s">
        <v>258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260</v>
      </c>
      <c r="B137" s="54" t="s">
        <v>261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78</v>
      </c>
      <c r="Q138" s="737"/>
      <c r="R138" s="737"/>
      <c r="S138" s="737"/>
      <c r="T138" s="737"/>
      <c r="U138" s="737"/>
      <c r="V138" s="738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78</v>
      </c>
      <c r="Q139" s="737"/>
      <c r="R139" s="737"/>
      <c r="S139" s="737"/>
      <c r="T139" s="737"/>
      <c r="U139" s="737"/>
      <c r="V139" s="738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customHeight="1" x14ac:dyDescent="0.25">
      <c r="A140" s="747" t="s">
        <v>263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88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264</v>
      </c>
      <c r="B142" s="54" t="s">
        <v>265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264</v>
      </c>
      <c r="B143" s="54" t="s">
        <v>267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78</v>
      </c>
      <c r="Q144" s="737"/>
      <c r="R144" s="737"/>
      <c r="S144" s="737"/>
      <c r="T144" s="737"/>
      <c r="U144" s="737"/>
      <c r="V144" s="738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78</v>
      </c>
      <c r="Q145" s="737"/>
      <c r="R145" s="737"/>
      <c r="S145" s="737"/>
      <c r="T145" s="737"/>
      <c r="U145" s="737"/>
      <c r="V145" s="738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customHeight="1" x14ac:dyDescent="0.25">
      <c r="A146" s="746" t="s">
        <v>144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268</v>
      </c>
      <c r="B147" s="54" t="s">
        <v>269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268</v>
      </c>
      <c r="B148" s="54" t="s">
        <v>271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78</v>
      </c>
      <c r="Q149" s="737"/>
      <c r="R149" s="737"/>
      <c r="S149" s="737"/>
      <c r="T149" s="737"/>
      <c r="U149" s="737"/>
      <c r="V149" s="738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78</v>
      </c>
      <c r="Q150" s="737"/>
      <c r="R150" s="737"/>
      <c r="S150" s="737"/>
      <c r="T150" s="737"/>
      <c r="U150" s="737"/>
      <c r="V150" s="738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customHeight="1" x14ac:dyDescent="0.25">
      <c r="A151" s="746" t="s">
        <v>62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272</v>
      </c>
      <c r="B152" s="54" t="s">
        <v>273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272</v>
      </c>
      <c r="B153" s="54" t="s">
        <v>274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78</v>
      </c>
      <c r="Q154" s="737"/>
      <c r="R154" s="737"/>
      <c r="S154" s="737"/>
      <c r="T154" s="737"/>
      <c r="U154" s="737"/>
      <c r="V154" s="738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78</v>
      </c>
      <c r="Q155" s="737"/>
      <c r="R155" s="737"/>
      <c r="S155" s="737"/>
      <c r="T155" s="737"/>
      <c r="U155" s="737"/>
      <c r="V155" s="738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customHeight="1" x14ac:dyDescent="0.25">
      <c r="A156" s="747" t="s">
        <v>86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88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275</v>
      </c>
      <c r="B158" s="54" t="s">
        <v>276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78</v>
      </c>
      <c r="Q159" s="737"/>
      <c r="R159" s="737"/>
      <c r="S159" s="737"/>
      <c r="T159" s="737"/>
      <c r="U159" s="737"/>
      <c r="V159" s="738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78</v>
      </c>
      <c r="Q160" s="737"/>
      <c r="R160" s="737"/>
      <c r="S160" s="737"/>
      <c r="T160" s="737"/>
      <c r="U160" s="737"/>
      <c r="V160" s="738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144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278</v>
      </c>
      <c r="B162" s="54" t="s">
        <v>279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281</v>
      </c>
      <c r="B163" s="54" t="s">
        <v>282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284</v>
      </c>
      <c r="B164" s="54" t="s">
        <v>285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287</v>
      </c>
      <c r="B165" s="54" t="s">
        <v>288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289</v>
      </c>
      <c r="B166" s="54" t="s">
        <v>290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78</v>
      </c>
      <c r="Q167" s="737"/>
      <c r="R167" s="737"/>
      <c r="S167" s="737"/>
      <c r="T167" s="737"/>
      <c r="U167" s="737"/>
      <c r="V167" s="738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78</v>
      </c>
      <c r="Q168" s="737"/>
      <c r="R168" s="737"/>
      <c r="S168" s="737"/>
      <c r="T168" s="737"/>
      <c r="U168" s="737"/>
      <c r="V168" s="738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46" t="s">
        <v>62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291</v>
      </c>
      <c r="B170" s="54" t="s">
        <v>292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294</v>
      </c>
      <c r="B171" s="54" t="s">
        <v>295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78</v>
      </c>
      <c r="Q172" s="737"/>
      <c r="R172" s="737"/>
      <c r="S172" s="737"/>
      <c r="T172" s="737"/>
      <c r="U172" s="737"/>
      <c r="V172" s="738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78</v>
      </c>
      <c r="Q173" s="737"/>
      <c r="R173" s="737"/>
      <c r="S173" s="737"/>
      <c r="T173" s="737"/>
      <c r="U173" s="737"/>
      <c r="V173" s="738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298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133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67</v>
      </c>
      <c r="X177" s="727">
        <v>1</v>
      </c>
      <c r="Y177" s="728">
        <f>IFERROR(IF(X177="",0,CEILING((X177/$H177),1)*$H177),"")</f>
        <v>1.98</v>
      </c>
      <c r="Z177" s="36">
        <f>IFERROR(IF(Y177=0,"",ROUNDUP(Y177/H177,0)*0.00502),"")</f>
        <v>5.0200000000000002E-3</v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1.0505050505050506</v>
      </c>
      <c r="BN177" s="64">
        <f>IFERROR(Y177*I177/H177,"0")</f>
        <v>2.08</v>
      </c>
      <c r="BO177" s="64">
        <f>IFERROR(1/J177*(X177/H177),"0")</f>
        <v>2.1583354916688254E-3</v>
      </c>
      <c r="BP177" s="64">
        <f>IFERROR(1/J177*(Y177/H177),"0")</f>
        <v>4.2735042735042739E-3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78</v>
      </c>
      <c r="Q178" s="737"/>
      <c r="R178" s="737"/>
      <c r="S178" s="737"/>
      <c r="T178" s="737"/>
      <c r="U178" s="737"/>
      <c r="V178" s="738"/>
      <c r="W178" s="37" t="s">
        <v>79</v>
      </c>
      <c r="X178" s="729">
        <f>IFERROR(X177/H177,"0")</f>
        <v>0.50505050505050508</v>
      </c>
      <c r="Y178" s="729">
        <f>IFERROR(Y177/H177,"0")</f>
        <v>1</v>
      </c>
      <c r="Z178" s="729">
        <f>IFERROR(IF(Z177="",0,Z177),"0")</f>
        <v>5.0200000000000002E-3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78</v>
      </c>
      <c r="Q179" s="737"/>
      <c r="R179" s="737"/>
      <c r="S179" s="737"/>
      <c r="T179" s="737"/>
      <c r="U179" s="737"/>
      <c r="V179" s="738"/>
      <c r="W179" s="37" t="s">
        <v>67</v>
      </c>
      <c r="X179" s="729">
        <f>IFERROR(SUM(X177:X177),"0")</f>
        <v>1</v>
      </c>
      <c r="Y179" s="729">
        <f>IFERROR(SUM(Y177:Y177),"0")</f>
        <v>1.98</v>
      </c>
      <c r="Z179" s="37"/>
      <c r="AA179" s="730"/>
      <c r="AB179" s="730"/>
      <c r="AC179" s="730"/>
    </row>
    <row r="180" spans="1:68" ht="14.25" customHeight="1" x14ac:dyDescent="0.25">
      <c r="A180" s="746" t="s">
        <v>144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302</v>
      </c>
      <c r="B181" s="54" t="s">
        <v>303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67</v>
      </c>
      <c r="X181" s="727">
        <v>66</v>
      </c>
      <c r="Y181" s="728">
        <f t="shared" ref="Y181:Y189" si="21">IFERROR(IF(X181="",0,CEILING((X181/$H181),1)*$H181),"")</f>
        <v>67.2</v>
      </c>
      <c r="Z181" s="36">
        <f>IFERROR(IF(Y181=0,"",ROUNDUP(Y181/H181,0)*0.00902),"")</f>
        <v>0.14432</v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70.242857142857133</v>
      </c>
      <c r="BN181" s="64">
        <f t="shared" ref="BN181:BN189" si="23">IFERROR(Y181*I181/H181,"0")</f>
        <v>71.52</v>
      </c>
      <c r="BO181" s="64">
        <f t="shared" ref="BO181:BO189" si="24">IFERROR(1/J181*(X181/H181),"0")</f>
        <v>0.11904761904761904</v>
      </c>
      <c r="BP181" s="64">
        <f t="shared" ref="BP181:BP189" si="25">IFERROR(1/J181*(Y181/H181),"0")</f>
        <v>0.12121212121212122</v>
      </c>
    </row>
    <row r="182" spans="1:68" ht="27" customHeight="1" x14ac:dyDescent="0.25">
      <c r="A182" s="54" t="s">
        <v>305</v>
      </c>
      <c r="B182" s="54" t="s">
        <v>306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67</v>
      </c>
      <c r="X183" s="727">
        <v>30</v>
      </c>
      <c r="Y183" s="728">
        <f t="shared" si="21"/>
        <v>33.6</v>
      </c>
      <c r="Z183" s="36">
        <f>IFERROR(IF(Y183=0,"",ROUNDUP(Y183/H183,0)*0.00902),"")</f>
        <v>7.2160000000000002E-2</v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31.5</v>
      </c>
      <c r="BN183" s="64">
        <f t="shared" si="23"/>
        <v>35.28</v>
      </c>
      <c r="BO183" s="64">
        <f t="shared" si="24"/>
        <v>5.4112554112554112E-2</v>
      </c>
      <c r="BP183" s="64">
        <f t="shared" si="25"/>
        <v>6.0606060606060608E-2</v>
      </c>
    </row>
    <row r="184" spans="1:68" ht="27" customHeight="1" x14ac:dyDescent="0.25">
      <c r="A184" s="54" t="s">
        <v>311</v>
      </c>
      <c r="B184" s="54" t="s">
        <v>312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67</v>
      </c>
      <c r="X184" s="727">
        <v>20</v>
      </c>
      <c r="Y184" s="728">
        <f t="shared" si="21"/>
        <v>21</v>
      </c>
      <c r="Z184" s="36">
        <f>IFERROR(IF(Y184=0,"",ROUNDUP(Y184/H184,0)*0.00502),"")</f>
        <v>5.0200000000000002E-2</v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21.238095238095237</v>
      </c>
      <c r="BN184" s="64">
        <f t="shared" si="23"/>
        <v>22.299999999999997</v>
      </c>
      <c r="BO184" s="64">
        <f t="shared" si="24"/>
        <v>4.0700040700040706E-2</v>
      </c>
      <c r="BP184" s="64">
        <f t="shared" si="25"/>
        <v>4.2735042735042736E-2</v>
      </c>
    </row>
    <row r="185" spans="1:68" ht="27" customHeight="1" x14ac:dyDescent="0.25">
      <c r="A185" s="54" t="s">
        <v>313</v>
      </c>
      <c r="B185" s="54" t="s">
        <v>314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315</v>
      </c>
      <c r="B186" s="54" t="s">
        <v>316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100" t="s">
        <v>317</v>
      </c>
      <c r="Q186" s="734"/>
      <c r="R186" s="734"/>
      <c r="S186" s="734"/>
      <c r="T186" s="735"/>
      <c r="U186" s="34"/>
      <c r="V186" s="34"/>
      <c r="W186" s="35" t="s">
        <v>67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319</v>
      </c>
      <c r="B187" s="54" t="s">
        <v>320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67</v>
      </c>
      <c r="X187" s="727">
        <v>95</v>
      </c>
      <c r="Y187" s="728">
        <f t="shared" si="21"/>
        <v>96.600000000000009</v>
      </c>
      <c r="Z187" s="36">
        <f>IFERROR(IF(Y187=0,"",ROUNDUP(Y187/H187,0)*0.00502),"")</f>
        <v>0.23092000000000001</v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99.523809523809533</v>
      </c>
      <c r="BN187" s="64">
        <f t="shared" si="23"/>
        <v>101.20000000000002</v>
      </c>
      <c r="BO187" s="64">
        <f t="shared" si="24"/>
        <v>0.19332519332519332</v>
      </c>
      <c r="BP187" s="64">
        <f t="shared" si="25"/>
        <v>0.1965811965811966</v>
      </c>
    </row>
    <row r="188" spans="1:68" ht="27" customHeight="1" x14ac:dyDescent="0.25">
      <c r="A188" s="54" t="s">
        <v>321</v>
      </c>
      <c r="B188" s="54" t="s">
        <v>322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323</v>
      </c>
      <c r="B189" s="54" t="s">
        <v>324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78</v>
      </c>
      <c r="Q190" s="737"/>
      <c r="R190" s="737"/>
      <c r="S190" s="737"/>
      <c r="T190" s="737"/>
      <c r="U190" s="737"/>
      <c r="V190" s="738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77.61904761904762</v>
      </c>
      <c r="Y190" s="729">
        <f>IFERROR(Y181/H181,"0")+IFERROR(Y182/H182,"0")+IFERROR(Y183/H183,"0")+IFERROR(Y184/H184,"0")+IFERROR(Y185/H185,"0")+IFERROR(Y186/H186,"0")+IFERROR(Y187/H187,"0")+IFERROR(Y188/H188,"0")+IFERROR(Y189/H189,"0")</f>
        <v>80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0.49760000000000004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78</v>
      </c>
      <c r="Q191" s="737"/>
      <c r="R191" s="737"/>
      <c r="S191" s="737"/>
      <c r="T191" s="737"/>
      <c r="U191" s="737"/>
      <c r="V191" s="738"/>
      <c r="W191" s="37" t="s">
        <v>67</v>
      </c>
      <c r="X191" s="729">
        <f>IFERROR(SUM(X181:X189),"0")</f>
        <v>211</v>
      </c>
      <c r="Y191" s="729">
        <f>IFERROR(SUM(Y181:Y189),"0")</f>
        <v>218.40000000000003</v>
      </c>
      <c r="Z191" s="37"/>
      <c r="AA191" s="730"/>
      <c r="AB191" s="730"/>
      <c r="AC191" s="730"/>
    </row>
    <row r="192" spans="1:68" ht="16.5" customHeight="1" x14ac:dyDescent="0.25">
      <c r="A192" s="747" t="s">
        <v>326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88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327</v>
      </c>
      <c r="B194" s="54" t="s">
        <v>328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330</v>
      </c>
      <c r="B195" s="54" t="s">
        <v>331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78</v>
      </c>
      <c r="Q196" s="737"/>
      <c r="R196" s="737"/>
      <c r="S196" s="737"/>
      <c r="T196" s="737"/>
      <c r="U196" s="737"/>
      <c r="V196" s="738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78</v>
      </c>
      <c r="Q197" s="737"/>
      <c r="R197" s="737"/>
      <c r="S197" s="737"/>
      <c r="T197" s="737"/>
      <c r="U197" s="737"/>
      <c r="V197" s="738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133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332</v>
      </c>
      <c r="B199" s="54" t="s">
        <v>333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335</v>
      </c>
      <c r="B200" s="54" t="s">
        <v>336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78</v>
      </c>
      <c r="Q201" s="737"/>
      <c r="R201" s="737"/>
      <c r="S201" s="737"/>
      <c r="T201" s="737"/>
      <c r="U201" s="737"/>
      <c r="V201" s="738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78</v>
      </c>
      <c r="Q202" s="737"/>
      <c r="R202" s="737"/>
      <c r="S202" s="737"/>
      <c r="T202" s="737"/>
      <c r="U202" s="737"/>
      <c r="V202" s="738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46" t="s">
        <v>144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67</v>
      </c>
      <c r="X204" s="727">
        <v>82</v>
      </c>
      <c r="Y204" s="728">
        <f t="shared" ref="Y204:Y211" si="26">IFERROR(IF(X204="",0,CEILING((X204/$H204),1)*$H204),"")</f>
        <v>86.4</v>
      </c>
      <c r="Z204" s="36">
        <f>IFERROR(IF(Y204=0,"",ROUNDUP(Y204/H204,0)*0.00902),"")</f>
        <v>0.14432</v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85.188888888888897</v>
      </c>
      <c r="BN204" s="64">
        <f t="shared" ref="BN204:BN211" si="28">IFERROR(Y204*I204/H204,"0")</f>
        <v>89.76</v>
      </c>
      <c r="BO204" s="64">
        <f t="shared" ref="BO204:BO211" si="29">IFERROR(1/J204*(X204/H204),"0")</f>
        <v>0.11503928170594836</v>
      </c>
      <c r="BP204" s="64">
        <f t="shared" ref="BP204:BP211" si="30">IFERROR(1/J204*(Y204/H204),"0")</f>
        <v>0.12121212121212122</v>
      </c>
    </row>
    <row r="205" spans="1:68" ht="27" customHeight="1" x14ac:dyDescent="0.25">
      <c r="A205" s="54" t="s">
        <v>340</v>
      </c>
      <c r="B205" s="54" t="s">
        <v>341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67</v>
      </c>
      <c r="X205" s="727">
        <v>85</v>
      </c>
      <c r="Y205" s="728">
        <f t="shared" si="26"/>
        <v>86.4</v>
      </c>
      <c r="Z205" s="36">
        <f>IFERROR(IF(Y205=0,"",ROUNDUP(Y205/H205,0)*0.00902),"")</f>
        <v>0.14432</v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88.305555555555557</v>
      </c>
      <c r="BN205" s="64">
        <f t="shared" si="28"/>
        <v>89.76</v>
      </c>
      <c r="BO205" s="64">
        <f t="shared" si="29"/>
        <v>0.11924803591470258</v>
      </c>
      <c r="BP205" s="64">
        <f t="shared" si="30"/>
        <v>0.12121212121212122</v>
      </c>
    </row>
    <row r="206" spans="1:68" ht="27" customHeight="1" x14ac:dyDescent="0.25">
      <c r="A206" s="54" t="s">
        <v>343</v>
      </c>
      <c r="B206" s="54" t="s">
        <v>344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346</v>
      </c>
      <c r="B207" s="54" t="s">
        <v>347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67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349</v>
      </c>
      <c r="B208" s="54" t="s">
        <v>350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67</v>
      </c>
      <c r="X208" s="727">
        <v>15</v>
      </c>
      <c r="Y208" s="728">
        <f t="shared" si="26"/>
        <v>16.2</v>
      </c>
      <c r="Z208" s="36">
        <f>IFERROR(IF(Y208=0,"",ROUNDUP(Y208/H208,0)*0.00502),"")</f>
        <v>4.5179999999999998E-2</v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16.083333333333332</v>
      </c>
      <c r="BN208" s="64">
        <f t="shared" si="28"/>
        <v>17.369999999999997</v>
      </c>
      <c r="BO208" s="64">
        <f t="shared" si="29"/>
        <v>3.561253561253562E-2</v>
      </c>
      <c r="BP208" s="64">
        <f t="shared" si="30"/>
        <v>3.8461538461538464E-2</v>
      </c>
    </row>
    <row r="209" spans="1:68" ht="27" customHeight="1" x14ac:dyDescent="0.25">
      <c r="A209" s="54" t="s">
        <v>351</v>
      </c>
      <c r="B209" s="54" t="s">
        <v>352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67</v>
      </c>
      <c r="X209" s="727">
        <v>13</v>
      </c>
      <c r="Y209" s="728">
        <f t="shared" si="26"/>
        <v>14.4</v>
      </c>
      <c r="Z209" s="36">
        <f>IFERROR(IF(Y209=0,"",ROUNDUP(Y209/H209,0)*0.00502),"")</f>
        <v>4.0160000000000001E-2</v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13.722222222222221</v>
      </c>
      <c r="BN209" s="64">
        <f t="shared" si="28"/>
        <v>15.2</v>
      </c>
      <c r="BO209" s="64">
        <f t="shared" si="29"/>
        <v>3.0864197530864203E-2</v>
      </c>
      <c r="BP209" s="64">
        <f t="shared" si="30"/>
        <v>3.4188034188034191E-2</v>
      </c>
    </row>
    <row r="210" spans="1:68" ht="27" customHeight="1" x14ac:dyDescent="0.25">
      <c r="A210" s="54" t="s">
        <v>353</v>
      </c>
      <c r="B210" s="54" t="s">
        <v>354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67</v>
      </c>
      <c r="X211" s="727">
        <v>12</v>
      </c>
      <c r="Y211" s="728">
        <f t="shared" si="26"/>
        <v>12.6</v>
      </c>
      <c r="Z211" s="36">
        <f>IFERROR(IF(Y211=0,"",ROUNDUP(Y211/H211,0)*0.00502),"")</f>
        <v>3.5140000000000005E-2</v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12.666666666666664</v>
      </c>
      <c r="BN211" s="64">
        <f t="shared" si="28"/>
        <v>13.299999999999999</v>
      </c>
      <c r="BO211" s="64">
        <f t="shared" si="29"/>
        <v>2.8490028490028491E-2</v>
      </c>
      <c r="BP211" s="64">
        <f t="shared" si="30"/>
        <v>2.9914529914529919E-2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78</v>
      </c>
      <c r="Q212" s="737"/>
      <c r="R212" s="737"/>
      <c r="S212" s="737"/>
      <c r="T212" s="737"/>
      <c r="U212" s="737"/>
      <c r="V212" s="738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53.148148148148145</v>
      </c>
      <c r="Y212" s="729">
        <f>IFERROR(Y204/H204,"0")+IFERROR(Y205/H205,"0")+IFERROR(Y206/H206,"0")+IFERROR(Y207/H207,"0")+IFERROR(Y208/H208,"0")+IFERROR(Y209/H209,"0")+IFERROR(Y210/H210,"0")+IFERROR(Y211/H211,"0")</f>
        <v>56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0.40911999999999998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78</v>
      </c>
      <c r="Q213" s="737"/>
      <c r="R213" s="737"/>
      <c r="S213" s="737"/>
      <c r="T213" s="737"/>
      <c r="U213" s="737"/>
      <c r="V213" s="738"/>
      <c r="W213" s="37" t="s">
        <v>67</v>
      </c>
      <c r="X213" s="729">
        <f>IFERROR(SUM(X204:X211),"0")</f>
        <v>207</v>
      </c>
      <c r="Y213" s="729">
        <f>IFERROR(SUM(Y204:Y211),"0")</f>
        <v>216</v>
      </c>
      <c r="Z213" s="37"/>
      <c r="AA213" s="730"/>
      <c r="AB213" s="730"/>
      <c r="AC213" s="730"/>
    </row>
    <row r="214" spans="1:68" ht="14.25" customHeight="1" x14ac:dyDescent="0.25">
      <c r="A214" s="746" t="s">
        <v>62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357</v>
      </c>
      <c r="B215" s="54" t="s">
        <v>358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360</v>
      </c>
      <c r="B216" s="54" t="s">
        <v>361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67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363</v>
      </c>
      <c r="B217" s="54" t="s">
        <v>364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67</v>
      </c>
      <c r="X218" s="727">
        <v>56</v>
      </c>
      <c r="Y218" s="728">
        <f t="shared" si="31"/>
        <v>60.899999999999991</v>
      </c>
      <c r="Z218" s="36">
        <f>IFERROR(IF(Y218=0,"",ROUNDUP(Y218/H218,0)*0.01898),"")</f>
        <v>0.13286000000000001</v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59.340689655172419</v>
      </c>
      <c r="BN218" s="64">
        <f t="shared" si="33"/>
        <v>64.532999999999987</v>
      </c>
      <c r="BO218" s="64">
        <f t="shared" si="34"/>
        <v>0.10057471264367816</v>
      </c>
      <c r="BP218" s="64">
        <f t="shared" si="35"/>
        <v>0.109375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67</v>
      </c>
      <c r="X219" s="727">
        <v>4</v>
      </c>
      <c r="Y219" s="728">
        <f t="shared" si="31"/>
        <v>4.8</v>
      </c>
      <c r="Z219" s="36">
        <f t="shared" ref="Z219:Z226" si="36">IFERROR(IF(Y219=0,"",ROUNDUP(Y219/H219,0)*0.00651),"")</f>
        <v>1.302E-2</v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4.45</v>
      </c>
      <c r="BN219" s="64">
        <f t="shared" si="33"/>
        <v>5.34</v>
      </c>
      <c r="BO219" s="64">
        <f t="shared" si="34"/>
        <v>9.1575091575091579E-3</v>
      </c>
      <c r="BP219" s="64">
        <f t="shared" si="35"/>
        <v>1.098901098901099E-2</v>
      </c>
    </row>
    <row r="220" spans="1:68" ht="27" customHeight="1" x14ac:dyDescent="0.25">
      <c r="A220" s="54" t="s">
        <v>371</v>
      </c>
      <c r="B220" s="54" t="s">
        <v>372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67</v>
      </c>
      <c r="X221" s="727">
        <v>128</v>
      </c>
      <c r="Y221" s="728">
        <f t="shared" si="31"/>
        <v>129.6</v>
      </c>
      <c r="Z221" s="36">
        <f t="shared" si="36"/>
        <v>0.35154000000000002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141.44000000000003</v>
      </c>
      <c r="BN221" s="64">
        <f t="shared" si="33"/>
        <v>143.20800000000003</v>
      </c>
      <c r="BO221" s="64">
        <f t="shared" si="34"/>
        <v>0.29304029304029305</v>
      </c>
      <c r="BP221" s="64">
        <f t="shared" si="35"/>
        <v>0.2967032967032967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67</v>
      </c>
      <c r="X222" s="727">
        <v>125</v>
      </c>
      <c r="Y222" s="728">
        <f t="shared" si="31"/>
        <v>127.19999999999999</v>
      </c>
      <c r="Z222" s="36">
        <f t="shared" si="36"/>
        <v>0.34503</v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138.125</v>
      </c>
      <c r="BN222" s="64">
        <f t="shared" si="33"/>
        <v>140.55599999999998</v>
      </c>
      <c r="BO222" s="64">
        <f t="shared" si="34"/>
        <v>0.28617216117216121</v>
      </c>
      <c r="BP222" s="64">
        <f t="shared" si="35"/>
        <v>0.29120879120879123</v>
      </c>
    </row>
    <row r="223" spans="1:68" ht="27" customHeight="1" x14ac:dyDescent="0.25">
      <c r="A223" s="54" t="s">
        <v>378</v>
      </c>
      <c r="B223" s="54" t="s">
        <v>379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67</v>
      </c>
      <c r="X224" s="727">
        <v>48</v>
      </c>
      <c r="Y224" s="728">
        <f t="shared" si="31"/>
        <v>48</v>
      </c>
      <c r="Z224" s="36">
        <f t="shared" si="36"/>
        <v>0.13020000000000001</v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53.040000000000006</v>
      </c>
      <c r="BN224" s="64">
        <f t="shared" si="33"/>
        <v>53.040000000000006</v>
      </c>
      <c r="BO224" s="64">
        <f t="shared" si="34"/>
        <v>0.1098901098901099</v>
      </c>
      <c r="BP224" s="64">
        <f t="shared" si="35"/>
        <v>0.1098901098901099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67</v>
      </c>
      <c r="X225" s="727">
        <v>17</v>
      </c>
      <c r="Y225" s="728">
        <f t="shared" si="31"/>
        <v>19.2</v>
      </c>
      <c r="Z225" s="36">
        <f t="shared" si="36"/>
        <v>5.2080000000000001E-2</v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18.827500000000001</v>
      </c>
      <c r="BN225" s="64">
        <f t="shared" si="33"/>
        <v>21.263999999999999</v>
      </c>
      <c r="BO225" s="64">
        <f t="shared" si="34"/>
        <v>3.8919413919413927E-2</v>
      </c>
      <c r="BP225" s="64">
        <f t="shared" si="35"/>
        <v>4.3956043956043959E-2</v>
      </c>
    </row>
    <row r="226" spans="1:68" ht="27" customHeight="1" x14ac:dyDescent="0.25">
      <c r="A226" s="54" t="s">
        <v>386</v>
      </c>
      <c r="B226" s="54" t="s">
        <v>387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78</v>
      </c>
      <c r="Q227" s="737"/>
      <c r="R227" s="737"/>
      <c r="S227" s="737"/>
      <c r="T227" s="737"/>
      <c r="U227" s="737"/>
      <c r="V227" s="738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140.60344827586209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144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1.0247299999999999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78</v>
      </c>
      <c r="Q228" s="737"/>
      <c r="R228" s="737"/>
      <c r="S228" s="737"/>
      <c r="T228" s="737"/>
      <c r="U228" s="737"/>
      <c r="V228" s="738"/>
      <c r="W228" s="37" t="s">
        <v>67</v>
      </c>
      <c r="X228" s="729">
        <f>IFERROR(SUM(X215:X226),"0")</f>
        <v>378</v>
      </c>
      <c r="Y228" s="729">
        <f>IFERROR(SUM(Y215:Y226),"0")</f>
        <v>389.7</v>
      </c>
      <c r="Z228" s="37"/>
      <c r="AA228" s="730"/>
      <c r="AB228" s="730"/>
      <c r="AC228" s="730"/>
    </row>
    <row r="229" spans="1:68" ht="14.25" customHeight="1" x14ac:dyDescent="0.25">
      <c r="A229" s="746" t="s">
        <v>173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390</v>
      </c>
      <c r="B230" s="54" t="s">
        <v>391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43" t="s">
        <v>392</v>
      </c>
      <c r="Q230" s="734"/>
      <c r="R230" s="734"/>
      <c r="S230" s="734"/>
      <c r="T230" s="735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67</v>
      </c>
      <c r="X232" s="727">
        <v>15</v>
      </c>
      <c r="Y232" s="728">
        <f>IFERROR(IF(X232="",0,CEILING((X232/$H232),1)*$H232),"")</f>
        <v>16.8</v>
      </c>
      <c r="Z232" s="36">
        <f>IFERROR(IF(Y232=0,"",ROUNDUP(Y232/H232,0)*0.00651),"")</f>
        <v>4.5569999999999999E-2</v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16.575000000000003</v>
      </c>
      <c r="BN232" s="64">
        <f>IFERROR(Y232*I232/H232,"0")</f>
        <v>18.564000000000004</v>
      </c>
      <c r="BO232" s="64">
        <f>IFERROR(1/J232*(X232/H232),"0")</f>
        <v>3.4340659340659344E-2</v>
      </c>
      <c r="BP232" s="64">
        <f>IFERROR(1/J232*(Y232/H232),"0")</f>
        <v>3.8461538461538471E-2</v>
      </c>
    </row>
    <row r="233" spans="1:68" ht="27" customHeight="1" x14ac:dyDescent="0.25">
      <c r="A233" s="54" t="s">
        <v>400</v>
      </c>
      <c r="B233" s="54" t="s">
        <v>401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78</v>
      </c>
      <c r="Q234" s="737"/>
      <c r="R234" s="737"/>
      <c r="S234" s="737"/>
      <c r="T234" s="737"/>
      <c r="U234" s="737"/>
      <c r="V234" s="738"/>
      <c r="W234" s="37" t="s">
        <v>79</v>
      </c>
      <c r="X234" s="729">
        <f>IFERROR(X230/H230,"0")+IFERROR(X231/H231,"0")+IFERROR(X232/H232,"0")+IFERROR(X233/H233,"0")</f>
        <v>6.25</v>
      </c>
      <c r="Y234" s="729">
        <f>IFERROR(Y230/H230,"0")+IFERROR(Y231/H231,"0")+IFERROR(Y232/H232,"0")+IFERROR(Y233/H233,"0")</f>
        <v>7.0000000000000009</v>
      </c>
      <c r="Z234" s="729">
        <f>IFERROR(IF(Z230="",0,Z230),"0")+IFERROR(IF(Z231="",0,Z231),"0")+IFERROR(IF(Z232="",0,Z232),"0")+IFERROR(IF(Z233="",0,Z233),"0")</f>
        <v>4.5569999999999999E-2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78</v>
      </c>
      <c r="Q235" s="737"/>
      <c r="R235" s="737"/>
      <c r="S235" s="737"/>
      <c r="T235" s="737"/>
      <c r="U235" s="737"/>
      <c r="V235" s="738"/>
      <c r="W235" s="37" t="s">
        <v>67</v>
      </c>
      <c r="X235" s="729">
        <f>IFERROR(SUM(X230:X233),"0")</f>
        <v>15</v>
      </c>
      <c r="Y235" s="729">
        <f>IFERROR(SUM(Y230:Y233),"0")</f>
        <v>16.8</v>
      </c>
      <c r="Z235" s="37"/>
      <c r="AA235" s="730"/>
      <c r="AB235" s="730"/>
      <c r="AC235" s="730"/>
    </row>
    <row r="236" spans="1:68" ht="16.5" customHeight="1" x14ac:dyDescent="0.25">
      <c r="A236" s="747" t="s">
        <v>402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88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403</v>
      </c>
      <c r="B238" s="54" t="s">
        <v>404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406</v>
      </c>
      <c r="B239" s="54" t="s">
        <v>407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78</v>
      </c>
      <c r="Q242" s="737"/>
      <c r="R242" s="737"/>
      <c r="S242" s="737"/>
      <c r="T242" s="737"/>
      <c r="U242" s="737"/>
      <c r="V242" s="738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78</v>
      </c>
      <c r="Q243" s="737"/>
      <c r="R243" s="737"/>
      <c r="S243" s="737"/>
      <c r="T243" s="737"/>
      <c r="U243" s="737"/>
      <c r="V243" s="738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413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88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414</v>
      </c>
      <c r="B246" s="54" t="s">
        <v>415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414</v>
      </c>
      <c r="B247" s="54" t="s">
        <v>417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420</v>
      </c>
      <c r="B248" s="54" t="s">
        <v>421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423</v>
      </c>
      <c r="B250" s="54" t="s">
        <v>426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78</v>
      </c>
      <c r="Q255" s="737"/>
      <c r="R255" s="737"/>
      <c r="S255" s="737"/>
      <c r="T255" s="737"/>
      <c r="U255" s="737"/>
      <c r="V255" s="738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78</v>
      </c>
      <c r="Q256" s="737"/>
      <c r="R256" s="737"/>
      <c r="S256" s="737"/>
      <c r="T256" s="737"/>
      <c r="U256" s="737"/>
      <c r="V256" s="738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customHeight="1" x14ac:dyDescent="0.25">
      <c r="A257" s="746" t="s">
        <v>133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436</v>
      </c>
      <c r="B258" s="54" t="s">
        <v>437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78</v>
      </c>
      <c r="Q259" s="737"/>
      <c r="R259" s="737"/>
      <c r="S259" s="737"/>
      <c r="T259" s="737"/>
      <c r="U259" s="737"/>
      <c r="V259" s="738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78</v>
      </c>
      <c r="Q260" s="737"/>
      <c r="R260" s="737"/>
      <c r="S260" s="737"/>
      <c r="T260" s="737"/>
      <c r="U260" s="737"/>
      <c r="V260" s="738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439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88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440</v>
      </c>
      <c r="B263" s="54" t="s">
        <v>441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443</v>
      </c>
      <c r="B265" s="54" t="s">
        <v>446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448</v>
      </c>
      <c r="B266" s="54" t="s">
        <v>449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451</v>
      </c>
      <c r="B267" s="54" t="s">
        <v>452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454</v>
      </c>
      <c r="B268" s="54" t="s">
        <v>455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457</v>
      </c>
      <c r="B269" s="54" t="s">
        <v>458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460</v>
      </c>
      <c r="B270" s="54" t="s">
        <v>461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463</v>
      </c>
      <c r="B271" s="54" t="s">
        <v>464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78</v>
      </c>
      <c r="Q272" s="737"/>
      <c r="R272" s="737"/>
      <c r="S272" s="737"/>
      <c r="T272" s="737"/>
      <c r="U272" s="737"/>
      <c r="V272" s="738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78</v>
      </c>
      <c r="Q273" s="737"/>
      <c r="R273" s="737"/>
      <c r="S273" s="737"/>
      <c r="T273" s="737"/>
      <c r="U273" s="737"/>
      <c r="V273" s="738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47" t="s">
        <v>466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88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467</v>
      </c>
      <c r="B276" s="54" t="s">
        <v>468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78</v>
      </c>
      <c r="Q277" s="737"/>
      <c r="R277" s="737"/>
      <c r="S277" s="737"/>
      <c r="T277" s="737"/>
      <c r="U277" s="737"/>
      <c r="V277" s="738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78</v>
      </c>
      <c r="Q278" s="737"/>
      <c r="R278" s="737"/>
      <c r="S278" s="737"/>
      <c r="T278" s="737"/>
      <c r="U278" s="737"/>
      <c r="V278" s="738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469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88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470</v>
      </c>
      <c r="B281" s="54" t="s">
        <v>471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472</v>
      </c>
      <c r="B282" s="54" t="s">
        <v>473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475</v>
      </c>
      <c r="B283" s="54" t="s">
        <v>476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78</v>
      </c>
      <c r="Q284" s="737"/>
      <c r="R284" s="737"/>
      <c r="S284" s="737"/>
      <c r="T284" s="737"/>
      <c r="U284" s="737"/>
      <c r="V284" s="738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78</v>
      </c>
      <c r="Q285" s="737"/>
      <c r="R285" s="737"/>
      <c r="S285" s="737"/>
      <c r="T285" s="737"/>
      <c r="U285" s="737"/>
      <c r="V285" s="738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478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62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479</v>
      </c>
      <c r="B288" s="54" t="s">
        <v>480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482</v>
      </c>
      <c r="B289" s="54" t="s">
        <v>483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485</v>
      </c>
      <c r="B290" s="54" t="s">
        <v>486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67</v>
      </c>
      <c r="X290" s="727">
        <v>14</v>
      </c>
      <c r="Y290" s="728">
        <f>IFERROR(IF(X290="",0,CEILING((X290/$H290),1)*$H290),"")</f>
        <v>14.399999999999999</v>
      </c>
      <c r="Z290" s="36">
        <f>IFERROR(IF(Y290=0,"",ROUNDUP(Y290/H290,0)*0.00651),"")</f>
        <v>3.9059999999999997E-2</v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15.47</v>
      </c>
      <c r="BN290" s="64">
        <f>IFERROR(Y290*I290/H290,"0")</f>
        <v>15.912000000000001</v>
      </c>
      <c r="BO290" s="64">
        <f>IFERROR(1/J290*(X290/H290),"0")</f>
        <v>3.2051282051282055E-2</v>
      </c>
      <c r="BP290" s="64">
        <f>IFERROR(1/J290*(Y290/H290),"0")</f>
        <v>3.2967032967032968E-2</v>
      </c>
    </row>
    <row r="291" spans="1:68" ht="37.5" customHeight="1" x14ac:dyDescent="0.25">
      <c r="A291" s="54" t="s">
        <v>488</v>
      </c>
      <c r="B291" s="54" t="s">
        <v>489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67</v>
      </c>
      <c r="X291" s="727">
        <v>49</v>
      </c>
      <c r="Y291" s="728">
        <f>IFERROR(IF(X291="",0,CEILING((X291/$H291),1)*$H291),"")</f>
        <v>50.4</v>
      </c>
      <c r="Z291" s="36">
        <f>IFERROR(IF(Y291=0,"",ROUNDUP(Y291/H291,0)*0.00651),"")</f>
        <v>0.13671</v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52.675000000000004</v>
      </c>
      <c r="BN291" s="64">
        <f>IFERROR(Y291*I291/H291,"0")</f>
        <v>54.180000000000007</v>
      </c>
      <c r="BO291" s="64">
        <f>IFERROR(1/J291*(X291/H291),"0")</f>
        <v>0.1121794871794872</v>
      </c>
      <c r="BP291" s="64">
        <f>IFERROR(1/J291*(Y291/H291),"0")</f>
        <v>0.11538461538461539</v>
      </c>
    </row>
    <row r="292" spans="1:68" ht="37.5" customHeight="1" x14ac:dyDescent="0.25">
      <c r="A292" s="54" t="s">
        <v>491</v>
      </c>
      <c r="B292" s="54" t="s">
        <v>492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78</v>
      </c>
      <c r="Q293" s="737"/>
      <c r="R293" s="737"/>
      <c r="S293" s="737"/>
      <c r="T293" s="737"/>
      <c r="U293" s="737"/>
      <c r="V293" s="738"/>
      <c r="W293" s="37" t="s">
        <v>79</v>
      </c>
      <c r="X293" s="729">
        <f>IFERROR(X288/H288,"0")+IFERROR(X289/H289,"0")+IFERROR(X290/H290,"0")+IFERROR(X291/H291,"0")+IFERROR(X292/H292,"0")</f>
        <v>26.25</v>
      </c>
      <c r="Y293" s="729">
        <f>IFERROR(Y288/H288,"0")+IFERROR(Y289/H289,"0")+IFERROR(Y290/H290,"0")+IFERROR(Y291/H291,"0")+IFERROR(Y292/H292,"0")</f>
        <v>27</v>
      </c>
      <c r="Z293" s="729">
        <f>IFERROR(IF(Z288="",0,Z288),"0")+IFERROR(IF(Z289="",0,Z289),"0")+IFERROR(IF(Z290="",0,Z290),"0")+IFERROR(IF(Z291="",0,Z291),"0")+IFERROR(IF(Z292="",0,Z292),"0")</f>
        <v>0.17576999999999998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78</v>
      </c>
      <c r="Q294" s="737"/>
      <c r="R294" s="737"/>
      <c r="S294" s="737"/>
      <c r="T294" s="737"/>
      <c r="U294" s="737"/>
      <c r="V294" s="738"/>
      <c r="W294" s="37" t="s">
        <v>67</v>
      </c>
      <c r="X294" s="729">
        <f>IFERROR(SUM(X288:X292),"0")</f>
        <v>63</v>
      </c>
      <c r="Y294" s="729">
        <f>IFERROR(SUM(Y288:Y292),"0")</f>
        <v>64.8</v>
      </c>
      <c r="Z294" s="37"/>
      <c r="AA294" s="730"/>
      <c r="AB294" s="730"/>
      <c r="AC294" s="730"/>
    </row>
    <row r="295" spans="1:68" ht="16.5" customHeight="1" x14ac:dyDescent="0.25">
      <c r="A295" s="747" t="s">
        <v>494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88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495</v>
      </c>
      <c r="B297" s="54" t="s">
        <v>496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78</v>
      </c>
      <c r="Q298" s="737"/>
      <c r="R298" s="737"/>
      <c r="S298" s="737"/>
      <c r="T298" s="737"/>
      <c r="U298" s="737"/>
      <c r="V298" s="738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78</v>
      </c>
      <c r="Q299" s="737"/>
      <c r="R299" s="737"/>
      <c r="S299" s="737"/>
      <c r="T299" s="737"/>
      <c r="U299" s="737"/>
      <c r="V299" s="738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144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498</v>
      </c>
      <c r="B301" s="54" t="s">
        <v>499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78</v>
      </c>
      <c r="Q302" s="737"/>
      <c r="R302" s="737"/>
      <c r="S302" s="737"/>
      <c r="T302" s="737"/>
      <c r="U302" s="737"/>
      <c r="V302" s="738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78</v>
      </c>
      <c r="Q303" s="737"/>
      <c r="R303" s="737"/>
      <c r="S303" s="737"/>
      <c r="T303" s="737"/>
      <c r="U303" s="737"/>
      <c r="V303" s="738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62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501</v>
      </c>
      <c r="B305" s="54" t="s">
        <v>502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78</v>
      </c>
      <c r="Q306" s="737"/>
      <c r="R306" s="737"/>
      <c r="S306" s="737"/>
      <c r="T306" s="737"/>
      <c r="U306" s="737"/>
      <c r="V306" s="738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78</v>
      </c>
      <c r="Q307" s="737"/>
      <c r="R307" s="737"/>
      <c r="S307" s="737"/>
      <c r="T307" s="737"/>
      <c r="U307" s="737"/>
      <c r="V307" s="738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504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88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505</v>
      </c>
      <c r="B310" s="54" t="s">
        <v>506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78</v>
      </c>
      <c r="Q311" s="737"/>
      <c r="R311" s="737"/>
      <c r="S311" s="737"/>
      <c r="T311" s="737"/>
      <c r="U311" s="737"/>
      <c r="V311" s="738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78</v>
      </c>
      <c r="Q312" s="737"/>
      <c r="R312" s="737"/>
      <c r="S312" s="737"/>
      <c r="T312" s="737"/>
      <c r="U312" s="737"/>
      <c r="V312" s="738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144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508</v>
      </c>
      <c r="B314" s="54" t="s">
        <v>509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78</v>
      </c>
      <c r="Q315" s="737"/>
      <c r="R315" s="737"/>
      <c r="S315" s="737"/>
      <c r="T315" s="737"/>
      <c r="U315" s="737"/>
      <c r="V315" s="738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78</v>
      </c>
      <c r="Q316" s="737"/>
      <c r="R316" s="737"/>
      <c r="S316" s="737"/>
      <c r="T316" s="737"/>
      <c r="U316" s="737"/>
      <c r="V316" s="738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62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511</v>
      </c>
      <c r="B318" s="54" t="s">
        <v>512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514</v>
      </c>
      <c r="B319" s="54" t="s">
        <v>515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78</v>
      </c>
      <c r="Q320" s="737"/>
      <c r="R320" s="737"/>
      <c r="S320" s="737"/>
      <c r="T320" s="737"/>
      <c r="U320" s="737"/>
      <c r="V320" s="738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78</v>
      </c>
      <c r="Q321" s="737"/>
      <c r="R321" s="737"/>
      <c r="S321" s="737"/>
      <c r="T321" s="737"/>
      <c r="U321" s="737"/>
      <c r="V321" s="738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517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88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518</v>
      </c>
      <c r="B324" s="54" t="s">
        <v>519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78</v>
      </c>
      <c r="Q325" s="737"/>
      <c r="R325" s="737"/>
      <c r="S325" s="737"/>
      <c r="T325" s="737"/>
      <c r="U325" s="737"/>
      <c r="V325" s="738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78</v>
      </c>
      <c r="Q326" s="737"/>
      <c r="R326" s="737"/>
      <c r="S326" s="737"/>
      <c r="T326" s="737"/>
      <c r="U326" s="737"/>
      <c r="V326" s="738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144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520</v>
      </c>
      <c r="B328" s="54" t="s">
        <v>521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78</v>
      </c>
      <c r="Q330" s="737"/>
      <c r="R330" s="737"/>
      <c r="S330" s="737"/>
      <c r="T330" s="737"/>
      <c r="U330" s="737"/>
      <c r="V330" s="738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78</v>
      </c>
      <c r="Q331" s="737"/>
      <c r="R331" s="737"/>
      <c r="S331" s="737"/>
      <c r="T331" s="737"/>
      <c r="U331" s="737"/>
      <c r="V331" s="738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customHeight="1" x14ac:dyDescent="0.25">
      <c r="A332" s="746" t="s">
        <v>62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525</v>
      </c>
      <c r="B333" s="54" t="s">
        <v>526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78</v>
      </c>
      <c r="Q334" s="737"/>
      <c r="R334" s="737"/>
      <c r="S334" s="737"/>
      <c r="T334" s="737"/>
      <c r="U334" s="737"/>
      <c r="V334" s="738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78</v>
      </c>
      <c r="Q335" s="737"/>
      <c r="R335" s="737"/>
      <c r="S335" s="737"/>
      <c r="T335" s="737"/>
      <c r="U335" s="737"/>
      <c r="V335" s="738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528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88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529</v>
      </c>
      <c r="B338" s="54" t="s">
        <v>530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78</v>
      </c>
      <c r="Q339" s="737"/>
      <c r="R339" s="737"/>
      <c r="S339" s="737"/>
      <c r="T339" s="737"/>
      <c r="U339" s="737"/>
      <c r="V339" s="738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78</v>
      </c>
      <c r="Q340" s="737"/>
      <c r="R340" s="737"/>
      <c r="S340" s="737"/>
      <c r="T340" s="737"/>
      <c r="U340" s="737"/>
      <c r="V340" s="738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144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532</v>
      </c>
      <c r="B342" s="54" t="s">
        <v>533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78</v>
      </c>
      <c r="Q343" s="737"/>
      <c r="R343" s="737"/>
      <c r="S343" s="737"/>
      <c r="T343" s="737"/>
      <c r="U343" s="737"/>
      <c r="V343" s="738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78</v>
      </c>
      <c r="Q344" s="737"/>
      <c r="R344" s="737"/>
      <c r="S344" s="737"/>
      <c r="T344" s="737"/>
      <c r="U344" s="737"/>
      <c r="V344" s="738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536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88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537</v>
      </c>
      <c r="B347" s="54" t="s">
        <v>538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67</v>
      </c>
      <c r="X347" s="727">
        <v>15</v>
      </c>
      <c r="Y347" s="728">
        <f t="shared" ref="Y347:Y354" si="47">IFERROR(IF(X347="",0,CEILING((X347/$H347),1)*$H347),"")</f>
        <v>21.6</v>
      </c>
      <c r="Z347" s="36">
        <f>IFERROR(IF(Y347=0,"",ROUNDUP(Y347/H347,0)*0.01898),"")</f>
        <v>3.7960000000000001E-2</v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15.604166666666664</v>
      </c>
      <c r="BN347" s="64">
        <f t="shared" ref="BN347:BN354" si="49">IFERROR(Y347*I347/H347,"0")</f>
        <v>22.47</v>
      </c>
      <c r="BO347" s="64">
        <f t="shared" ref="BO347:BO354" si="50">IFERROR(1/J347*(X347/H347),"0")</f>
        <v>2.1701388888888888E-2</v>
      </c>
      <c r="BP347" s="64">
        <f t="shared" ref="BP347:BP354" si="51">IFERROR(1/J347*(Y347/H347),"0")</f>
        <v>3.125E-2</v>
      </c>
    </row>
    <row r="348" spans="1:68" ht="27" customHeight="1" x14ac:dyDescent="0.25">
      <c r="A348" s="54" t="s">
        <v>540</v>
      </c>
      <c r="B348" s="54" t="s">
        <v>541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540</v>
      </c>
      <c r="B349" s="54" t="s">
        <v>543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545</v>
      </c>
      <c r="B350" s="54" t="s">
        <v>546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548</v>
      </c>
      <c r="B351" s="54" t="s">
        <v>549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551</v>
      </c>
      <c r="B352" s="54" t="s">
        <v>552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557</v>
      </c>
      <c r="B354" s="54" t="s">
        <v>558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78</v>
      </c>
      <c r="Q355" s="737"/>
      <c r="R355" s="737"/>
      <c r="S355" s="737"/>
      <c r="T355" s="737"/>
      <c r="U355" s="737"/>
      <c r="V355" s="738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1.3888888888888888</v>
      </c>
      <c r="Y355" s="729">
        <f>IFERROR(Y347/H347,"0")+IFERROR(Y348/H348,"0")+IFERROR(Y349/H349,"0")+IFERROR(Y350/H350,"0")+IFERROR(Y351/H351,"0")+IFERROR(Y352/H352,"0")+IFERROR(Y353/H353,"0")+IFERROR(Y354/H354,"0")</f>
        <v>2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3.7960000000000001E-2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78</v>
      </c>
      <c r="Q356" s="737"/>
      <c r="R356" s="737"/>
      <c r="S356" s="737"/>
      <c r="T356" s="737"/>
      <c r="U356" s="737"/>
      <c r="V356" s="738"/>
      <c r="W356" s="37" t="s">
        <v>67</v>
      </c>
      <c r="X356" s="729">
        <f>IFERROR(SUM(X347:X354),"0")</f>
        <v>15</v>
      </c>
      <c r="Y356" s="729">
        <f>IFERROR(SUM(Y347:Y354),"0")</f>
        <v>21.6</v>
      </c>
      <c r="Z356" s="37"/>
      <c r="AA356" s="730"/>
      <c r="AB356" s="730"/>
      <c r="AC356" s="730"/>
    </row>
    <row r="357" spans="1:68" ht="14.25" customHeight="1" x14ac:dyDescent="0.25">
      <c r="A357" s="746" t="s">
        <v>144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559</v>
      </c>
      <c r="B358" s="54" t="s">
        <v>560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78</v>
      </c>
      <c r="Q362" s="737"/>
      <c r="R362" s="737"/>
      <c r="S362" s="737"/>
      <c r="T362" s="737"/>
      <c r="U362" s="737"/>
      <c r="V362" s="738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78</v>
      </c>
      <c r="Q363" s="737"/>
      <c r="R363" s="737"/>
      <c r="S363" s="737"/>
      <c r="T363" s="737"/>
      <c r="U363" s="737"/>
      <c r="V363" s="738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customHeight="1" x14ac:dyDescent="0.25">
      <c r="A364" s="746" t="s">
        <v>62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customHeight="1" x14ac:dyDescent="0.25">
      <c r="A366" s="54" t="s">
        <v>573</v>
      </c>
      <c r="B366" s="54" t="s">
        <v>574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78</v>
      </c>
      <c r="Q371" s="737"/>
      <c r="R371" s="737"/>
      <c r="S371" s="737"/>
      <c r="T371" s="737"/>
      <c r="U371" s="737"/>
      <c r="V371" s="738"/>
      <c r="W371" s="37" t="s">
        <v>79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78</v>
      </c>
      <c r="Q372" s="737"/>
      <c r="R372" s="737"/>
      <c r="S372" s="737"/>
      <c r="T372" s="737"/>
      <c r="U372" s="737"/>
      <c r="V372" s="738"/>
      <c r="W372" s="37" t="s">
        <v>67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customHeight="1" x14ac:dyDescent="0.25">
      <c r="A373" s="746" t="s">
        <v>173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67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67</v>
      </c>
      <c r="X375" s="727">
        <v>194</v>
      </c>
      <c r="Y375" s="728">
        <f>IFERROR(IF(X375="",0,CEILING((X375/$H375),1)*$H375),"")</f>
        <v>195</v>
      </c>
      <c r="Z375" s="36">
        <f>IFERROR(IF(Y375=0,"",ROUNDUP(Y375/H375,0)*0.01898),"")</f>
        <v>0.47450000000000003</v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206.90846153846158</v>
      </c>
      <c r="BN375" s="64">
        <f>IFERROR(Y375*I375/H375,"0")</f>
        <v>207.97500000000002</v>
      </c>
      <c r="BO375" s="64">
        <f>IFERROR(1/J375*(X375/H375),"0")</f>
        <v>0.38862179487179488</v>
      </c>
      <c r="BP375" s="64">
        <f>IFERROR(1/J375*(Y375/H375),"0")</f>
        <v>0.390625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67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78</v>
      </c>
      <c r="Q377" s="737"/>
      <c r="R377" s="737"/>
      <c r="S377" s="737"/>
      <c r="T377" s="737"/>
      <c r="U377" s="737"/>
      <c r="V377" s="738"/>
      <c r="W377" s="37" t="s">
        <v>79</v>
      </c>
      <c r="X377" s="729">
        <f>IFERROR(X374/H374,"0")+IFERROR(X375/H375,"0")+IFERROR(X376/H376,"0")</f>
        <v>24.871794871794872</v>
      </c>
      <c r="Y377" s="729">
        <f>IFERROR(Y374/H374,"0")+IFERROR(Y375/H375,"0")+IFERROR(Y376/H376,"0")</f>
        <v>25</v>
      </c>
      <c r="Z377" s="729">
        <f>IFERROR(IF(Z374="",0,Z374),"0")+IFERROR(IF(Z375="",0,Z375),"0")+IFERROR(IF(Z376="",0,Z376),"0")</f>
        <v>0.47450000000000003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78</v>
      </c>
      <c r="Q378" s="737"/>
      <c r="R378" s="737"/>
      <c r="S378" s="737"/>
      <c r="T378" s="737"/>
      <c r="U378" s="737"/>
      <c r="V378" s="738"/>
      <c r="W378" s="37" t="s">
        <v>67</v>
      </c>
      <c r="X378" s="729">
        <f>IFERROR(SUM(X374:X376),"0")</f>
        <v>194</v>
      </c>
      <c r="Y378" s="729">
        <f>IFERROR(SUM(Y374:Y376),"0")</f>
        <v>195</v>
      </c>
      <c r="Z378" s="37"/>
      <c r="AA378" s="730"/>
      <c r="AB378" s="730"/>
      <c r="AC378" s="730"/>
    </row>
    <row r="379" spans="1:68" ht="14.25" customHeight="1" x14ac:dyDescent="0.25">
      <c r="A379" s="746" t="s">
        <v>80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597</v>
      </c>
      <c r="B380" s="54" t="s">
        <v>598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74" t="s">
        <v>599</v>
      </c>
      <c r="Q380" s="734"/>
      <c r="R380" s="734"/>
      <c r="S380" s="734"/>
      <c r="T380" s="735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81" t="s">
        <v>603</v>
      </c>
      <c r="Q381" s="734"/>
      <c r="R381" s="734"/>
      <c r="S381" s="734"/>
      <c r="T381" s="735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67</v>
      </c>
      <c r="X382" s="727">
        <v>6</v>
      </c>
      <c r="Y382" s="728">
        <f>IFERROR(IF(X382="",0,CEILING((X382/$H382),1)*$H382),"")</f>
        <v>7.6499999999999995</v>
      </c>
      <c r="Z382" s="36">
        <f>IFERROR(IF(Y382=0,"",ROUNDUP(Y382/H382,0)*0.00651),"")</f>
        <v>1.9529999999999999E-2</v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6.9529411764705893</v>
      </c>
      <c r="BN382" s="64">
        <f>IFERROR(Y382*I382/H382,"0")</f>
        <v>8.8650000000000002</v>
      </c>
      <c r="BO382" s="64">
        <f>IFERROR(1/J382*(X382/H382),"0")</f>
        <v>1.292824822236587E-2</v>
      </c>
      <c r="BP382" s="64">
        <f>IFERROR(1/J382*(Y382/H382),"0")</f>
        <v>1.6483516483516484E-2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67</v>
      </c>
      <c r="X383" s="727">
        <v>20</v>
      </c>
      <c r="Y383" s="728">
        <f>IFERROR(IF(X383="",0,CEILING((X383/$H383),1)*$H383),"")</f>
        <v>20.399999999999999</v>
      </c>
      <c r="Z383" s="36">
        <f>IFERROR(IF(Y383=0,"",ROUNDUP(Y383/H383,0)*0.00651),"")</f>
        <v>5.2080000000000001E-2</v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22.588235294117645</v>
      </c>
      <c r="BN383" s="64">
        <f>IFERROR(Y383*I383/H383,"0")</f>
        <v>23.04</v>
      </c>
      <c r="BO383" s="64">
        <f>IFERROR(1/J383*(X383/H383),"0")</f>
        <v>4.3094160741219571E-2</v>
      </c>
      <c r="BP383" s="64">
        <f>IFERROR(1/J383*(Y383/H383),"0")</f>
        <v>4.3956043956043959E-2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78</v>
      </c>
      <c r="Q384" s="737"/>
      <c r="R384" s="737"/>
      <c r="S384" s="737"/>
      <c r="T384" s="737"/>
      <c r="U384" s="737"/>
      <c r="V384" s="738"/>
      <c r="W384" s="37" t="s">
        <v>79</v>
      </c>
      <c r="X384" s="729">
        <f>IFERROR(X380/H380,"0")+IFERROR(X381/H381,"0")+IFERROR(X382/H382,"0")+IFERROR(X383/H383,"0")</f>
        <v>10.19607843137255</v>
      </c>
      <c r="Y384" s="729">
        <f>IFERROR(Y380/H380,"0")+IFERROR(Y381/H381,"0")+IFERROR(Y382/H382,"0")+IFERROR(Y383/H383,"0")</f>
        <v>11</v>
      </c>
      <c r="Z384" s="729">
        <f>IFERROR(IF(Z380="",0,Z380),"0")+IFERROR(IF(Z381="",0,Z381),"0")+IFERROR(IF(Z382="",0,Z382),"0")+IFERROR(IF(Z383="",0,Z383),"0")</f>
        <v>7.1610000000000007E-2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78</v>
      </c>
      <c r="Q385" s="737"/>
      <c r="R385" s="737"/>
      <c r="S385" s="737"/>
      <c r="T385" s="737"/>
      <c r="U385" s="737"/>
      <c r="V385" s="738"/>
      <c r="W385" s="37" t="s">
        <v>67</v>
      </c>
      <c r="X385" s="729">
        <f>IFERROR(SUM(X380:X383),"0")</f>
        <v>26</v>
      </c>
      <c r="Y385" s="729">
        <f>IFERROR(SUM(Y380:Y383),"0")</f>
        <v>28.049999999999997</v>
      </c>
      <c r="Z385" s="37"/>
      <c r="AA385" s="730"/>
      <c r="AB385" s="730"/>
      <c r="AC385" s="730"/>
    </row>
    <row r="386" spans="1:68" ht="14.25" customHeight="1" x14ac:dyDescent="0.25">
      <c r="A386" s="746" t="s">
        <v>610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78</v>
      </c>
      <c r="Q390" s="737"/>
      <c r="R390" s="737"/>
      <c r="S390" s="737"/>
      <c r="T390" s="737"/>
      <c r="U390" s="737"/>
      <c r="V390" s="738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78</v>
      </c>
      <c r="Q391" s="737"/>
      <c r="R391" s="737"/>
      <c r="S391" s="737"/>
      <c r="T391" s="737"/>
      <c r="U391" s="737"/>
      <c r="V391" s="738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47" t="s">
        <v>619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144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67</v>
      </c>
      <c r="X394" s="727">
        <v>1</v>
      </c>
      <c r="Y394" s="728">
        <f>IFERROR(IF(X394="",0,CEILING((X394/$H394),1)*$H394),"")</f>
        <v>1.8</v>
      </c>
      <c r="Z394" s="36">
        <f>IFERROR(IF(Y394=0,"",ROUNDUP(Y394/H394,0)*0.00651),"")</f>
        <v>6.5100000000000002E-3</v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1.1266666666666667</v>
      </c>
      <c r="BN394" s="64">
        <f>IFERROR(Y394*I394/H394,"0")</f>
        <v>2.028</v>
      </c>
      <c r="BO394" s="64">
        <f>IFERROR(1/J394*(X394/H394),"0")</f>
        <v>3.0525030525030529E-3</v>
      </c>
      <c r="BP394" s="64">
        <f>IFERROR(1/J394*(Y394/H394),"0")</f>
        <v>5.4945054945054949E-3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78</v>
      </c>
      <c r="Q395" s="737"/>
      <c r="R395" s="737"/>
      <c r="S395" s="737"/>
      <c r="T395" s="737"/>
      <c r="U395" s="737"/>
      <c r="V395" s="738"/>
      <c r="W395" s="37" t="s">
        <v>79</v>
      </c>
      <c r="X395" s="729">
        <f>IFERROR(X394/H394,"0")</f>
        <v>0.55555555555555558</v>
      </c>
      <c r="Y395" s="729">
        <f>IFERROR(Y394/H394,"0")</f>
        <v>1</v>
      </c>
      <c r="Z395" s="729">
        <f>IFERROR(IF(Z394="",0,Z394),"0")</f>
        <v>6.5100000000000002E-3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78</v>
      </c>
      <c r="Q396" s="737"/>
      <c r="R396" s="737"/>
      <c r="S396" s="737"/>
      <c r="T396" s="737"/>
      <c r="U396" s="737"/>
      <c r="V396" s="738"/>
      <c r="W396" s="37" t="s">
        <v>67</v>
      </c>
      <c r="X396" s="729">
        <f>IFERROR(SUM(X394:X394),"0")</f>
        <v>1</v>
      </c>
      <c r="Y396" s="729">
        <f>IFERROR(SUM(Y394:Y394),"0")</f>
        <v>1.8</v>
      </c>
      <c r="Z396" s="37"/>
      <c r="AA396" s="730"/>
      <c r="AB396" s="730"/>
      <c r="AC396" s="730"/>
    </row>
    <row r="397" spans="1:68" ht="14.25" customHeight="1" x14ac:dyDescent="0.25">
      <c r="A397" s="746" t="s">
        <v>62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629</v>
      </c>
      <c r="B400" s="54" t="s">
        <v>630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78</v>
      </c>
      <c r="Q401" s="737"/>
      <c r="R401" s="737"/>
      <c r="S401" s="737"/>
      <c r="T401" s="737"/>
      <c r="U401" s="737"/>
      <c r="V401" s="738"/>
      <c r="W401" s="37" t="s">
        <v>79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78</v>
      </c>
      <c r="Q402" s="737"/>
      <c r="R402" s="737"/>
      <c r="S402" s="737"/>
      <c r="T402" s="737"/>
      <c r="U402" s="737"/>
      <c r="V402" s="738"/>
      <c r="W402" s="37" t="s">
        <v>67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633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88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67</v>
      </c>
      <c r="X406" s="727">
        <v>1322</v>
      </c>
      <c r="Y406" s="728">
        <f t="shared" ref="Y406:Y415" si="57">IFERROR(IF(X406="",0,CEILING((X406/$H406),1)*$H406),"")</f>
        <v>1335</v>
      </c>
      <c r="Z406" s="36">
        <f>IFERROR(IF(Y406=0,"",ROUNDUP(Y406/H406,0)*0.02175),"")</f>
        <v>1.9357499999999999</v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1364.3040000000001</v>
      </c>
      <c r="BN406" s="64">
        <f t="shared" ref="BN406:BN415" si="59">IFERROR(Y406*I406/H406,"0")</f>
        <v>1377.72</v>
      </c>
      <c r="BO406" s="64">
        <f t="shared" ref="BO406:BO415" si="60">IFERROR(1/J406*(X406/H406),"0")</f>
        <v>1.8361111111111112</v>
      </c>
      <c r="BP406" s="64">
        <f t="shared" ref="BP406:BP415" si="61">IFERROR(1/J406*(Y406/H406),"0")</f>
        <v>1.8541666666666665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67</v>
      </c>
      <c r="X408" s="727">
        <v>0</v>
      </c>
      <c r="Y408" s="728">
        <f t="shared" si="57"/>
        <v>0</v>
      </c>
      <c r="Z408" s="36" t="str">
        <f>IFERROR(IF(Y408=0,"",ROUNDUP(Y408/H408,0)*0.02175),"")</f>
        <v/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67</v>
      </c>
      <c r="X410" s="727">
        <v>518</v>
      </c>
      <c r="Y410" s="728">
        <f t="shared" si="57"/>
        <v>525</v>
      </c>
      <c r="Z410" s="36">
        <f>IFERROR(IF(Y410=0,"",ROUNDUP(Y410/H410,0)*0.02175),"")</f>
        <v>0.76124999999999998</v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534.57600000000002</v>
      </c>
      <c r="BN410" s="64">
        <f t="shared" si="59"/>
        <v>541.79999999999995</v>
      </c>
      <c r="BO410" s="64">
        <f t="shared" si="60"/>
        <v>0.71944444444444433</v>
      </c>
      <c r="BP410" s="64">
        <f t="shared" si="61"/>
        <v>0.72916666666666663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67</v>
      </c>
      <c r="X411" s="727">
        <v>144</v>
      </c>
      <c r="Y411" s="728">
        <f t="shared" si="57"/>
        <v>150</v>
      </c>
      <c r="Z411" s="36">
        <f>IFERROR(IF(Y411=0,"",ROUNDUP(Y411/H411,0)*0.02175),"")</f>
        <v>0.21749999999999997</v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148.608</v>
      </c>
      <c r="BN411" s="64">
        <f t="shared" si="59"/>
        <v>154.80000000000001</v>
      </c>
      <c r="BO411" s="64">
        <f t="shared" si="60"/>
        <v>0.19999999999999998</v>
      </c>
      <c r="BP411" s="64">
        <f t="shared" si="61"/>
        <v>0.20833333333333331</v>
      </c>
    </row>
    <row r="412" spans="1:68" ht="27" customHeight="1" x14ac:dyDescent="0.25">
      <c r="A412" s="54" t="s">
        <v>646</v>
      </c>
      <c r="B412" s="54" t="s">
        <v>649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78</v>
      </c>
      <c r="Q416" s="737"/>
      <c r="R416" s="737"/>
      <c r="S416" s="737"/>
      <c r="T416" s="737"/>
      <c r="U416" s="737"/>
      <c r="V416" s="738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132.26666666666668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134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2.9144999999999999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78</v>
      </c>
      <c r="Q417" s="737"/>
      <c r="R417" s="737"/>
      <c r="S417" s="737"/>
      <c r="T417" s="737"/>
      <c r="U417" s="737"/>
      <c r="V417" s="738"/>
      <c r="W417" s="37" t="s">
        <v>67</v>
      </c>
      <c r="X417" s="729">
        <f>IFERROR(SUM(X406:X415),"0")</f>
        <v>1984</v>
      </c>
      <c r="Y417" s="729">
        <f>IFERROR(SUM(Y406:Y415),"0")</f>
        <v>2010</v>
      </c>
      <c r="Z417" s="37"/>
      <c r="AA417" s="730"/>
      <c r="AB417" s="730"/>
      <c r="AC417" s="730"/>
    </row>
    <row r="418" spans="1:68" ht="14.25" customHeight="1" x14ac:dyDescent="0.25">
      <c r="A418" s="746" t="s">
        <v>133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67</v>
      </c>
      <c r="X419" s="727">
        <v>218</v>
      </c>
      <c r="Y419" s="728">
        <f>IFERROR(IF(X419="",0,CEILING((X419/$H419),1)*$H419),"")</f>
        <v>225</v>
      </c>
      <c r="Z419" s="36">
        <f>IFERROR(IF(Y419=0,"",ROUNDUP(Y419/H419,0)*0.02175),"")</f>
        <v>0.32624999999999998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224.976</v>
      </c>
      <c r="BN419" s="64">
        <f>IFERROR(Y419*I419/H419,"0")</f>
        <v>232.2</v>
      </c>
      <c r="BO419" s="64">
        <f>IFERROR(1/J419*(X419/H419),"0")</f>
        <v>0.30277777777777776</v>
      </c>
      <c r="BP419" s="64">
        <f>IFERROR(1/J419*(Y419/H419),"0")</f>
        <v>0.3125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78</v>
      </c>
      <c r="Q421" s="737"/>
      <c r="R421" s="737"/>
      <c r="S421" s="737"/>
      <c r="T421" s="737"/>
      <c r="U421" s="737"/>
      <c r="V421" s="738"/>
      <c r="W421" s="37" t="s">
        <v>79</v>
      </c>
      <c r="X421" s="729">
        <f>IFERROR(X419/H419,"0")+IFERROR(X420/H420,"0")</f>
        <v>14.533333333333333</v>
      </c>
      <c r="Y421" s="729">
        <f>IFERROR(Y419/H419,"0")+IFERROR(Y420/H420,"0")</f>
        <v>15</v>
      </c>
      <c r="Z421" s="729">
        <f>IFERROR(IF(Z419="",0,Z419),"0")+IFERROR(IF(Z420="",0,Z420),"0")</f>
        <v>0.32624999999999998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78</v>
      </c>
      <c r="Q422" s="737"/>
      <c r="R422" s="737"/>
      <c r="S422" s="737"/>
      <c r="T422" s="737"/>
      <c r="U422" s="737"/>
      <c r="V422" s="738"/>
      <c r="W422" s="37" t="s">
        <v>67</v>
      </c>
      <c r="X422" s="729">
        <f>IFERROR(SUM(X419:X420),"0")</f>
        <v>218</v>
      </c>
      <c r="Y422" s="729">
        <f>IFERROR(SUM(Y419:Y420),"0")</f>
        <v>225</v>
      </c>
      <c r="Z422" s="37"/>
      <c r="AA422" s="730"/>
      <c r="AB422" s="730"/>
      <c r="AC422" s="730"/>
    </row>
    <row r="423" spans="1:68" ht="14.25" customHeight="1" x14ac:dyDescent="0.25">
      <c r="A423" s="746" t="s">
        <v>62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40" t="s">
        <v>664</v>
      </c>
      <c r="Q424" s="734"/>
      <c r="R424" s="734"/>
      <c r="S424" s="734"/>
      <c r="T424" s="735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50" t="s">
        <v>668</v>
      </c>
      <c r="Q425" s="734"/>
      <c r="R425" s="734"/>
      <c r="S425" s="734"/>
      <c r="T425" s="735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78</v>
      </c>
      <c r="Q426" s="737"/>
      <c r="R426" s="737"/>
      <c r="S426" s="737"/>
      <c r="T426" s="737"/>
      <c r="U426" s="737"/>
      <c r="V426" s="738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78</v>
      </c>
      <c r="Q427" s="737"/>
      <c r="R427" s="737"/>
      <c r="S427" s="737"/>
      <c r="T427" s="737"/>
      <c r="U427" s="737"/>
      <c r="V427" s="738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customHeight="1" x14ac:dyDescent="0.25">
      <c r="A428" s="746" t="s">
        <v>173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59" t="s">
        <v>672</v>
      </c>
      <c r="Q429" s="734"/>
      <c r="R429" s="734"/>
      <c r="S429" s="734"/>
      <c r="T429" s="735"/>
      <c r="U429" s="34"/>
      <c r="V429" s="34"/>
      <c r="W429" s="35" t="s">
        <v>67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78</v>
      </c>
      <c r="Q430" s="737"/>
      <c r="R430" s="737"/>
      <c r="S430" s="737"/>
      <c r="T430" s="737"/>
      <c r="U430" s="737"/>
      <c r="V430" s="738"/>
      <c r="W430" s="37" t="s">
        <v>79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78</v>
      </c>
      <c r="Q431" s="737"/>
      <c r="R431" s="737"/>
      <c r="S431" s="737"/>
      <c r="T431" s="737"/>
      <c r="U431" s="737"/>
      <c r="V431" s="738"/>
      <c r="W431" s="37" t="s">
        <v>67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customHeight="1" x14ac:dyDescent="0.25">
      <c r="A432" s="747" t="s">
        <v>674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88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675</v>
      </c>
      <c r="B434" s="54" t="s">
        <v>676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675</v>
      </c>
      <c r="B435" s="54" t="s">
        <v>678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78</v>
      </c>
      <c r="Q442" s="737"/>
      <c r="R442" s="737"/>
      <c r="S442" s="737"/>
      <c r="T442" s="737"/>
      <c r="U442" s="737"/>
      <c r="V442" s="738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78</v>
      </c>
      <c r="Q443" s="737"/>
      <c r="R443" s="737"/>
      <c r="S443" s="737"/>
      <c r="T443" s="737"/>
      <c r="U443" s="737"/>
      <c r="V443" s="738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customHeight="1" x14ac:dyDescent="0.25">
      <c r="A444" s="746" t="s">
        <v>144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78</v>
      </c>
      <c r="Q447" s="737"/>
      <c r="R447" s="737"/>
      <c r="S447" s="737"/>
      <c r="T447" s="737"/>
      <c r="U447" s="737"/>
      <c r="V447" s="738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78</v>
      </c>
      <c r="Q448" s="737"/>
      <c r="R448" s="737"/>
      <c r="S448" s="737"/>
      <c r="T448" s="737"/>
      <c r="U448" s="737"/>
      <c r="V448" s="738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62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67</v>
      </c>
      <c r="X450" s="727">
        <v>1932</v>
      </c>
      <c r="Y450" s="728">
        <f>IFERROR(IF(X450="",0,CEILING((X450/$H450),1)*$H450),"")</f>
        <v>1935</v>
      </c>
      <c r="Z450" s="36">
        <f>IFERROR(IF(Y450=0,"",ROUNDUP(Y450/H450,0)*0.01898),"")</f>
        <v>4.0807000000000002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2043.4119999999998</v>
      </c>
      <c r="BN450" s="64">
        <f>IFERROR(Y450*I450/H450,"0")</f>
        <v>2046.585</v>
      </c>
      <c r="BO450" s="64">
        <f>IFERROR(1/J450*(X450/H450),"0")</f>
        <v>3.3541666666666665</v>
      </c>
      <c r="BP450" s="64">
        <f>IFERROR(1/J450*(Y450/H450),"0")</f>
        <v>3.359375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8" t="s">
        <v>703</v>
      </c>
      <c r="Q451" s="734"/>
      <c r="R451" s="734"/>
      <c r="S451" s="734"/>
      <c r="T451" s="735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708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78</v>
      </c>
      <c r="Q455" s="737"/>
      <c r="R455" s="737"/>
      <c r="S455" s="737"/>
      <c r="T455" s="737"/>
      <c r="U455" s="737"/>
      <c r="V455" s="738"/>
      <c r="W455" s="37" t="s">
        <v>79</v>
      </c>
      <c r="X455" s="729">
        <f>IFERROR(X450/H450,"0")+IFERROR(X451/H451,"0")+IFERROR(X452/H452,"0")+IFERROR(X453/H453,"0")+IFERROR(X454/H454,"0")</f>
        <v>214.66666666666666</v>
      </c>
      <c r="Y455" s="729">
        <f>IFERROR(Y450/H450,"0")+IFERROR(Y451/H451,"0")+IFERROR(Y452/H452,"0")+IFERROR(Y453/H453,"0")+IFERROR(Y454/H454,"0")</f>
        <v>215</v>
      </c>
      <c r="Z455" s="729">
        <f>IFERROR(IF(Z450="",0,Z450),"0")+IFERROR(IF(Z451="",0,Z451),"0")+IFERROR(IF(Z452="",0,Z452),"0")+IFERROR(IF(Z453="",0,Z453),"0")+IFERROR(IF(Z454="",0,Z454),"0")</f>
        <v>4.0807000000000002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78</v>
      </c>
      <c r="Q456" s="737"/>
      <c r="R456" s="737"/>
      <c r="S456" s="737"/>
      <c r="T456" s="737"/>
      <c r="U456" s="737"/>
      <c r="V456" s="738"/>
      <c r="W456" s="37" t="s">
        <v>67</v>
      </c>
      <c r="X456" s="729">
        <f>IFERROR(SUM(X450:X454),"0")</f>
        <v>1932</v>
      </c>
      <c r="Y456" s="729">
        <f>IFERROR(SUM(Y450:Y454),"0")</f>
        <v>1935</v>
      </c>
      <c r="Z456" s="37"/>
      <c r="AA456" s="730"/>
      <c r="AB456" s="730"/>
      <c r="AC456" s="730"/>
    </row>
    <row r="457" spans="1:68" ht="14.25" customHeight="1" x14ac:dyDescent="0.25">
      <c r="A457" s="746" t="s">
        <v>173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1" t="s">
        <v>714</v>
      </c>
      <c r="Q458" s="734"/>
      <c r="R458" s="734"/>
      <c r="S458" s="734"/>
      <c r="T458" s="735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78</v>
      </c>
      <c r="Q459" s="737"/>
      <c r="R459" s="737"/>
      <c r="S459" s="737"/>
      <c r="T459" s="737"/>
      <c r="U459" s="737"/>
      <c r="V459" s="738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78</v>
      </c>
      <c r="Q460" s="737"/>
      <c r="R460" s="737"/>
      <c r="S460" s="737"/>
      <c r="T460" s="737"/>
      <c r="U460" s="737"/>
      <c r="V460" s="738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717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144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37" t="s">
        <v>720</v>
      </c>
      <c r="Q464" s="734"/>
      <c r="R464" s="734"/>
      <c r="S464" s="734"/>
      <c r="T464" s="735"/>
      <c r="U464" s="34"/>
      <c r="V464" s="34"/>
      <c r="W464" s="35" t="s">
        <v>67</v>
      </c>
      <c r="X464" s="727">
        <v>48</v>
      </c>
      <c r="Y464" s="728">
        <f t="shared" ref="Y464:Y477" si="67">IFERROR(IF(X464="",0,CEILING((X464/$H464),1)*$H464),"")</f>
        <v>48.6</v>
      </c>
      <c r="Z464" s="36">
        <f>IFERROR(IF(Y464=0,"",ROUNDUP(Y464/H464,0)*0.00902),"")</f>
        <v>8.1180000000000002E-2</v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49.866666666666667</v>
      </c>
      <c r="BN464" s="64">
        <f t="shared" ref="BN464:BN477" si="69">IFERROR(Y464*I464/H464,"0")</f>
        <v>50.49</v>
      </c>
      <c r="BO464" s="64">
        <f t="shared" ref="BO464:BO477" si="70">IFERROR(1/J464*(X464/H464),"0")</f>
        <v>6.7340067340067325E-2</v>
      </c>
      <c r="BP464" s="64">
        <f t="shared" ref="BP464:BP477" si="71">IFERROR(1/J464*(Y464/H464),"0")</f>
        <v>6.8181818181818177E-2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75" t="s">
        <v>724</v>
      </c>
      <c r="Q465" s="734"/>
      <c r="R465" s="734"/>
      <c r="S465" s="734"/>
      <c r="T465" s="735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44" t="s">
        <v>724</v>
      </c>
      <c r="Q466" s="734"/>
      <c r="R466" s="734"/>
      <c r="S466" s="734"/>
      <c r="T466" s="735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91" t="s">
        <v>729</v>
      </c>
      <c r="Q467" s="734"/>
      <c r="R467" s="734"/>
      <c r="S467" s="734"/>
      <c r="T467" s="735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94" t="s">
        <v>734</v>
      </c>
      <c r="Q469" s="734"/>
      <c r="R469" s="734"/>
      <c r="S469" s="734"/>
      <c r="T469" s="735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6" t="s">
        <v>741</v>
      </c>
      <c r="Q472" s="734"/>
      <c r="R472" s="734"/>
      <c r="S472" s="734"/>
      <c r="T472" s="735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36" t="s">
        <v>748</v>
      </c>
      <c r="Q475" s="734"/>
      <c r="R475" s="734"/>
      <c r="S475" s="734"/>
      <c r="T475" s="735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67</v>
      </c>
      <c r="X476" s="727">
        <v>5</v>
      </c>
      <c r="Y476" s="728">
        <f t="shared" si="67"/>
        <v>6.3000000000000007</v>
      </c>
      <c r="Z476" s="36">
        <f t="shared" si="72"/>
        <v>1.506E-2</v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5.3095238095238093</v>
      </c>
      <c r="BN476" s="64">
        <f t="shared" si="69"/>
        <v>6.69</v>
      </c>
      <c r="BO476" s="64">
        <f t="shared" si="70"/>
        <v>1.0175010175010176E-2</v>
      </c>
      <c r="BP476" s="64">
        <f t="shared" si="71"/>
        <v>1.2820512820512822E-2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78</v>
      </c>
      <c r="Q478" s="737"/>
      <c r="R478" s="737"/>
      <c r="S478" s="737"/>
      <c r="T478" s="737"/>
      <c r="U478" s="737"/>
      <c r="V478" s="738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11.269841269841269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12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9.6240000000000006E-2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78</v>
      </c>
      <c r="Q479" s="737"/>
      <c r="R479" s="737"/>
      <c r="S479" s="737"/>
      <c r="T479" s="737"/>
      <c r="U479" s="737"/>
      <c r="V479" s="738"/>
      <c r="W479" s="37" t="s">
        <v>67</v>
      </c>
      <c r="X479" s="729">
        <f>IFERROR(SUM(X464:X477),"0")</f>
        <v>53</v>
      </c>
      <c r="Y479" s="729">
        <f>IFERROR(SUM(Y464:Y477),"0")</f>
        <v>54.900000000000006</v>
      </c>
      <c r="Z479" s="37"/>
      <c r="AA479" s="730"/>
      <c r="AB479" s="730"/>
      <c r="AC479" s="730"/>
    </row>
    <row r="480" spans="1:68" ht="14.25" customHeight="1" x14ac:dyDescent="0.25">
      <c r="A480" s="746" t="s">
        <v>62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754</v>
      </c>
      <c r="B481" s="54" t="s">
        <v>755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757</v>
      </c>
      <c r="B482" s="54" t="s">
        <v>758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78</v>
      </c>
      <c r="Q483" s="737"/>
      <c r="R483" s="737"/>
      <c r="S483" s="737"/>
      <c r="T483" s="737"/>
      <c r="U483" s="737"/>
      <c r="V483" s="738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78</v>
      </c>
      <c r="Q484" s="737"/>
      <c r="R484" s="737"/>
      <c r="S484" s="737"/>
      <c r="T484" s="737"/>
      <c r="U484" s="737"/>
      <c r="V484" s="738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760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133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761</v>
      </c>
      <c r="B487" s="54" t="s">
        <v>762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78</v>
      </c>
      <c r="Q489" s="737"/>
      <c r="R489" s="737"/>
      <c r="S489" s="737"/>
      <c r="T489" s="737"/>
      <c r="U489" s="737"/>
      <c r="V489" s="738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78</v>
      </c>
      <c r="Q490" s="737"/>
      <c r="R490" s="737"/>
      <c r="S490" s="737"/>
      <c r="T490" s="737"/>
      <c r="U490" s="737"/>
      <c r="V490" s="738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144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767</v>
      </c>
      <c r="B492" s="54" t="s">
        <v>768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6" t="s">
        <v>769</v>
      </c>
      <c r="Q492" s="734"/>
      <c r="R492" s="734"/>
      <c r="S492" s="734"/>
      <c r="T492" s="735"/>
      <c r="U492" s="34"/>
      <c r="V492" s="34"/>
      <c r="W492" s="35" t="s">
        <v>67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771</v>
      </c>
      <c r="B493" s="54" t="s">
        <v>772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774</v>
      </c>
      <c r="B494" s="54" t="s">
        <v>775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62" t="s">
        <v>776</v>
      </c>
      <c r="Q494" s="734"/>
      <c r="R494" s="734"/>
      <c r="S494" s="734"/>
      <c r="T494" s="735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778</v>
      </c>
      <c r="B495" s="54" t="s">
        <v>779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78</v>
      </c>
      <c r="Q496" s="737"/>
      <c r="R496" s="737"/>
      <c r="S496" s="737"/>
      <c r="T496" s="737"/>
      <c r="U496" s="737"/>
      <c r="V496" s="738"/>
      <c r="W496" s="37" t="s">
        <v>79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78</v>
      </c>
      <c r="Q497" s="737"/>
      <c r="R497" s="737"/>
      <c r="S497" s="737"/>
      <c r="T497" s="737"/>
      <c r="U497" s="737"/>
      <c r="V497" s="738"/>
      <c r="W497" s="37" t="s">
        <v>67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customHeight="1" x14ac:dyDescent="0.25">
      <c r="A498" s="747" t="s">
        <v>780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144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781</v>
      </c>
      <c r="B500" s="54" t="s">
        <v>782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784</v>
      </c>
      <c r="B501" s="54" t="s">
        <v>785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34" t="s">
        <v>786</v>
      </c>
      <c r="Q501" s="734"/>
      <c r="R501" s="734"/>
      <c r="S501" s="734"/>
      <c r="T501" s="735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78</v>
      </c>
      <c r="Q502" s="737"/>
      <c r="R502" s="737"/>
      <c r="S502" s="737"/>
      <c r="T502" s="737"/>
      <c r="U502" s="737"/>
      <c r="V502" s="738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78</v>
      </c>
      <c r="Q503" s="737"/>
      <c r="R503" s="737"/>
      <c r="S503" s="737"/>
      <c r="T503" s="737"/>
      <c r="U503" s="737"/>
      <c r="V503" s="738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customHeight="1" x14ac:dyDescent="0.25">
      <c r="A504" s="747" t="s">
        <v>788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144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789</v>
      </c>
      <c r="B506" s="54" t="s">
        <v>790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78</v>
      </c>
      <c r="Q507" s="737"/>
      <c r="R507" s="737"/>
      <c r="S507" s="737"/>
      <c r="T507" s="737"/>
      <c r="U507" s="737"/>
      <c r="V507" s="738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78</v>
      </c>
      <c r="Q508" s="737"/>
      <c r="R508" s="737"/>
      <c r="S508" s="737"/>
      <c r="T508" s="737"/>
      <c r="U508" s="737"/>
      <c r="V508" s="738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173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792</v>
      </c>
      <c r="B510" s="54" t="s">
        <v>793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78</v>
      </c>
      <c r="Q511" s="737"/>
      <c r="R511" s="737"/>
      <c r="S511" s="737"/>
      <c r="T511" s="737"/>
      <c r="U511" s="737"/>
      <c r="V511" s="738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78</v>
      </c>
      <c r="Q512" s="737"/>
      <c r="R512" s="737"/>
      <c r="S512" s="737"/>
      <c r="T512" s="737"/>
      <c r="U512" s="737"/>
      <c r="V512" s="738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795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88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796</v>
      </c>
      <c r="B516" s="54" t="s">
        <v>797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67</v>
      </c>
      <c r="X516" s="727">
        <v>51</v>
      </c>
      <c r="Y516" s="728">
        <f t="shared" ref="Y516:Y531" si="73">IFERROR(IF(X516="",0,CEILING((X516/$H516),1)*$H516),"")</f>
        <v>52.800000000000004</v>
      </c>
      <c r="Z516" s="36">
        <f t="shared" ref="Z516:Z521" si="74">IFERROR(IF(Y516=0,"",ROUNDUP(Y516/H516,0)*0.01196),"")</f>
        <v>0.1196</v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54.47727272727272</v>
      </c>
      <c r="BN516" s="64">
        <f t="shared" ref="BN516:BN531" si="76">IFERROR(Y516*I516/H516,"0")</f>
        <v>56.400000000000006</v>
      </c>
      <c r="BO516" s="64">
        <f t="shared" ref="BO516:BO531" si="77">IFERROR(1/J516*(X516/H516),"0")</f>
        <v>9.2875874125874128E-2</v>
      </c>
      <c r="BP516" s="64">
        <f t="shared" ref="BP516:BP531" si="78">IFERROR(1/J516*(Y516/H516),"0")</f>
        <v>9.6153846153846159E-2</v>
      </c>
    </row>
    <row r="517" spans="1:68" ht="27" customHeight="1" x14ac:dyDescent="0.25">
      <c r="A517" s="54" t="s">
        <v>799</v>
      </c>
      <c r="B517" s="54" t="s">
        <v>800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67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67</v>
      </c>
      <c r="X518" s="727">
        <v>2629</v>
      </c>
      <c r="Y518" s="728">
        <f t="shared" si="73"/>
        <v>2629.44</v>
      </c>
      <c r="Z518" s="36">
        <f t="shared" si="74"/>
        <v>5.95608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2808.2499999999995</v>
      </c>
      <c r="BN518" s="64">
        <f t="shared" si="76"/>
        <v>2808.72</v>
      </c>
      <c r="BO518" s="64">
        <f t="shared" si="77"/>
        <v>4.7876602564102564</v>
      </c>
      <c r="BP518" s="64">
        <f t="shared" si="78"/>
        <v>4.7884615384615383</v>
      </c>
    </row>
    <row r="519" spans="1:68" ht="16.5" customHeight="1" x14ac:dyDescent="0.25">
      <c r="A519" s="54" t="s">
        <v>805</v>
      </c>
      <c r="B519" s="54" t="s">
        <v>806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67</v>
      </c>
      <c r="X520" s="727">
        <v>2800</v>
      </c>
      <c r="Y520" s="728">
        <f t="shared" si="73"/>
        <v>2803.6800000000003</v>
      </c>
      <c r="Z520" s="36">
        <f t="shared" si="74"/>
        <v>6.3507600000000002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2990.909090909091</v>
      </c>
      <c r="BN520" s="64">
        <f t="shared" si="76"/>
        <v>2994.84</v>
      </c>
      <c r="BO520" s="64">
        <f t="shared" si="77"/>
        <v>5.0990675990675989</v>
      </c>
      <c r="BP520" s="64">
        <f t="shared" si="78"/>
        <v>5.1057692307692308</v>
      </c>
    </row>
    <row r="521" spans="1:68" ht="16.5" customHeight="1" x14ac:dyDescent="0.25">
      <c r="A521" s="54" t="s">
        <v>811</v>
      </c>
      <c r="B521" s="54" t="s">
        <v>812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810" t="s">
        <v>816</v>
      </c>
      <c r="Q522" s="734"/>
      <c r="R522" s="734"/>
      <c r="S522" s="734"/>
      <c r="T522" s="735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817</v>
      </c>
      <c r="B523" s="54" t="s">
        <v>818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67</v>
      </c>
      <c r="X523" s="727">
        <v>30</v>
      </c>
      <c r="Y523" s="728">
        <f t="shared" si="73"/>
        <v>32.4</v>
      </c>
      <c r="Z523" s="36">
        <f>IFERROR(IF(Y523=0,"",ROUNDUP(Y523/H523,0)*0.00902),"")</f>
        <v>8.1180000000000002E-2</v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31.75</v>
      </c>
      <c r="BN523" s="64">
        <f t="shared" si="76"/>
        <v>34.29</v>
      </c>
      <c r="BO523" s="64">
        <f t="shared" si="77"/>
        <v>6.3131313131313135E-2</v>
      </c>
      <c r="BP523" s="64">
        <f t="shared" si="78"/>
        <v>6.8181818181818177E-2</v>
      </c>
    </row>
    <row r="524" spans="1:68" ht="27" customHeight="1" x14ac:dyDescent="0.25">
      <c r="A524" s="54" t="s">
        <v>817</v>
      </c>
      <c r="B524" s="54" t="s">
        <v>819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822</v>
      </c>
      <c r="B526" s="54" t="s">
        <v>823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43" t="s">
        <v>824</v>
      </c>
      <c r="Q526" s="734"/>
      <c r="R526" s="734"/>
      <c r="S526" s="734"/>
      <c r="T526" s="735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813" t="s">
        <v>827</v>
      </c>
      <c r="Q527" s="734"/>
      <c r="R527" s="734"/>
      <c r="S527" s="734"/>
      <c r="T527" s="735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832</v>
      </c>
      <c r="B530" s="54" t="s">
        <v>833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0" t="s">
        <v>834</v>
      </c>
      <c r="Q530" s="734"/>
      <c r="R530" s="734"/>
      <c r="S530" s="734"/>
      <c r="T530" s="735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835</v>
      </c>
      <c r="B531" s="54" t="s">
        <v>836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78</v>
      </c>
      <c r="Q532" s="737"/>
      <c r="R532" s="737"/>
      <c r="S532" s="737"/>
      <c r="T532" s="737"/>
      <c r="U532" s="737"/>
      <c r="V532" s="738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1046.212121212121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1048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12.507619999999999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78</v>
      </c>
      <c r="Q533" s="737"/>
      <c r="R533" s="737"/>
      <c r="S533" s="737"/>
      <c r="T533" s="737"/>
      <c r="U533" s="737"/>
      <c r="V533" s="738"/>
      <c r="W533" s="37" t="s">
        <v>67</v>
      </c>
      <c r="X533" s="729">
        <f>IFERROR(SUM(X516:X531),"0")</f>
        <v>5510</v>
      </c>
      <c r="Y533" s="729">
        <f>IFERROR(SUM(Y516:Y531),"0")</f>
        <v>5518.32</v>
      </c>
      <c r="Z533" s="37"/>
      <c r="AA533" s="730"/>
      <c r="AB533" s="730"/>
      <c r="AC533" s="730"/>
    </row>
    <row r="534" spans="1:68" ht="14.25" customHeight="1" x14ac:dyDescent="0.25">
      <c r="A534" s="746" t="s">
        <v>133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837</v>
      </c>
      <c r="B535" s="54" t="s">
        <v>838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67</v>
      </c>
      <c r="X535" s="727">
        <v>1600</v>
      </c>
      <c r="Y535" s="728">
        <f>IFERROR(IF(X535="",0,CEILING((X535/$H535),1)*$H535),"")</f>
        <v>1605.1200000000001</v>
      </c>
      <c r="Z535" s="36">
        <f>IFERROR(IF(Y535=0,"",ROUNDUP(Y535/H535,0)*0.01196),"")</f>
        <v>3.63584</v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1709.090909090909</v>
      </c>
      <c r="BN535" s="64">
        <f>IFERROR(Y535*I535/H535,"0")</f>
        <v>1714.56</v>
      </c>
      <c r="BO535" s="64">
        <f>IFERROR(1/J535*(X535/H535),"0")</f>
        <v>2.9137529137529135</v>
      </c>
      <c r="BP535" s="64">
        <f>IFERROR(1/J535*(Y535/H535),"0")</f>
        <v>2.9230769230769234</v>
      </c>
    </row>
    <row r="536" spans="1:68" ht="16.5" customHeight="1" x14ac:dyDescent="0.25">
      <c r="A536" s="54" t="s">
        <v>837</v>
      </c>
      <c r="B536" s="54" t="s">
        <v>840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07" t="s">
        <v>841</v>
      </c>
      <c r="Q536" s="734"/>
      <c r="R536" s="734"/>
      <c r="S536" s="734"/>
      <c r="T536" s="735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843</v>
      </c>
      <c r="B537" s="54" t="s">
        <v>844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35" t="s">
        <v>845</v>
      </c>
      <c r="Q537" s="734"/>
      <c r="R537" s="734"/>
      <c r="S537" s="734"/>
      <c r="T537" s="735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846</v>
      </c>
      <c r="B538" s="54" t="s">
        <v>847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82" t="s">
        <v>848</v>
      </c>
      <c r="Q538" s="734"/>
      <c r="R538" s="734"/>
      <c r="S538" s="734"/>
      <c r="T538" s="735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78</v>
      </c>
      <c r="Q539" s="737"/>
      <c r="R539" s="737"/>
      <c r="S539" s="737"/>
      <c r="T539" s="737"/>
      <c r="U539" s="737"/>
      <c r="V539" s="738"/>
      <c r="W539" s="37" t="s">
        <v>79</v>
      </c>
      <c r="X539" s="729">
        <f>IFERROR(X535/H535,"0")+IFERROR(X536/H536,"0")+IFERROR(X537/H537,"0")+IFERROR(X538/H538,"0")</f>
        <v>303.030303030303</v>
      </c>
      <c r="Y539" s="729">
        <f>IFERROR(Y535/H535,"0")+IFERROR(Y536/H536,"0")+IFERROR(Y537/H537,"0")+IFERROR(Y538/H538,"0")</f>
        <v>304</v>
      </c>
      <c r="Z539" s="729">
        <f>IFERROR(IF(Z535="",0,Z535),"0")+IFERROR(IF(Z536="",0,Z536),"0")+IFERROR(IF(Z537="",0,Z537),"0")+IFERROR(IF(Z538="",0,Z538),"0")</f>
        <v>3.63584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78</v>
      </c>
      <c r="Q540" s="737"/>
      <c r="R540" s="737"/>
      <c r="S540" s="737"/>
      <c r="T540" s="737"/>
      <c r="U540" s="737"/>
      <c r="V540" s="738"/>
      <c r="W540" s="37" t="s">
        <v>67</v>
      </c>
      <c r="X540" s="729">
        <f>IFERROR(SUM(X535:X538),"0")</f>
        <v>1600</v>
      </c>
      <c r="Y540" s="729">
        <f>IFERROR(SUM(Y535:Y538),"0")</f>
        <v>1605.1200000000001</v>
      </c>
      <c r="Z540" s="37"/>
      <c r="AA540" s="730"/>
      <c r="AB540" s="730"/>
      <c r="AC540" s="730"/>
    </row>
    <row r="541" spans="1:68" ht="14.25" customHeight="1" x14ac:dyDescent="0.25">
      <c r="A541" s="746" t="s">
        <v>144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31" t="s">
        <v>851</v>
      </c>
      <c r="Q542" s="734"/>
      <c r="R542" s="734"/>
      <c r="S542" s="734"/>
      <c r="T542" s="735"/>
      <c r="U542" s="34"/>
      <c r="V542" s="34"/>
      <c r="W542" s="35" t="s">
        <v>67</v>
      </c>
      <c r="X542" s="727">
        <v>253</v>
      </c>
      <c r="Y542" s="728">
        <f t="shared" ref="Y542:Y553" si="79">IFERROR(IF(X542="",0,CEILING((X542/$H542),1)*$H542),"")</f>
        <v>253.44</v>
      </c>
      <c r="Z542" s="36">
        <f>IFERROR(IF(Y542=0,"",ROUNDUP(Y542/H542,0)*0.01196),"")</f>
        <v>0.57408000000000003</v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270.24999999999994</v>
      </c>
      <c r="BN542" s="64">
        <f t="shared" ref="BN542:BN553" si="81">IFERROR(Y542*I542/H542,"0")</f>
        <v>270.71999999999997</v>
      </c>
      <c r="BO542" s="64">
        <f t="shared" ref="BO542:BO553" si="82">IFERROR(1/J542*(X542/H542),"0")</f>
        <v>0.46073717948717952</v>
      </c>
      <c r="BP542" s="64">
        <f t="shared" ref="BP542:BP553" si="83">IFERROR(1/J542*(Y542/H542),"0")</f>
        <v>0.46153846153846156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61" t="s">
        <v>855</v>
      </c>
      <c r="Q543" s="734"/>
      <c r="R543" s="734"/>
      <c r="S543" s="734"/>
      <c r="T543" s="735"/>
      <c r="U543" s="34"/>
      <c r="V543" s="34"/>
      <c r="W543" s="35" t="s">
        <v>67</v>
      </c>
      <c r="X543" s="727">
        <v>457</v>
      </c>
      <c r="Y543" s="728">
        <f t="shared" si="79"/>
        <v>459.36</v>
      </c>
      <c r="Z543" s="36">
        <f>IFERROR(IF(Y543=0,"",ROUNDUP(Y543/H543,0)*0.01196),"")</f>
        <v>1.0405200000000001</v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488.15909090909088</v>
      </c>
      <c r="BN543" s="64">
        <f t="shared" si="81"/>
        <v>490.67999999999995</v>
      </c>
      <c r="BO543" s="64">
        <f t="shared" si="82"/>
        <v>0.83224067599067597</v>
      </c>
      <c r="BP543" s="64">
        <f t="shared" si="83"/>
        <v>0.83653846153846156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28" t="s">
        <v>859</v>
      </c>
      <c r="Q544" s="734"/>
      <c r="R544" s="734"/>
      <c r="S544" s="734"/>
      <c r="T544" s="735"/>
      <c r="U544" s="34"/>
      <c r="V544" s="34"/>
      <c r="W544" s="35" t="s">
        <v>67</v>
      </c>
      <c r="X544" s="727">
        <v>2500</v>
      </c>
      <c r="Y544" s="728">
        <f t="shared" si="79"/>
        <v>2502.7200000000003</v>
      </c>
      <c r="Z544" s="36">
        <f>IFERROR(IF(Y544=0,"",ROUNDUP(Y544/H544,0)*0.01196),"")</f>
        <v>5.6690399999999999</v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2670.4545454545455</v>
      </c>
      <c r="BN544" s="64">
        <f t="shared" si="81"/>
        <v>2673.3599999999997</v>
      </c>
      <c r="BO544" s="64">
        <f t="shared" si="82"/>
        <v>4.5527389277389272</v>
      </c>
      <c r="BP544" s="64">
        <f t="shared" si="83"/>
        <v>4.5576923076923084</v>
      </c>
    </row>
    <row r="545" spans="1:68" ht="27" customHeight="1" x14ac:dyDescent="0.25">
      <c r="A545" s="54" t="s">
        <v>861</v>
      </c>
      <c r="B545" s="54" t="s">
        <v>862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68" t="s">
        <v>863</v>
      </c>
      <c r="Q545" s="734"/>
      <c r="R545" s="734"/>
      <c r="S545" s="734"/>
      <c r="T545" s="735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63" t="s">
        <v>866</v>
      </c>
      <c r="Q546" s="734"/>
      <c r="R546" s="734"/>
      <c r="S546" s="734"/>
      <c r="T546" s="735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864</v>
      </c>
      <c r="B547" s="54" t="s">
        <v>867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068" t="s">
        <v>868</v>
      </c>
      <c r="Q547" s="734"/>
      <c r="R547" s="734"/>
      <c r="S547" s="734"/>
      <c r="T547" s="735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864</v>
      </c>
      <c r="B548" s="54" t="s">
        <v>869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871</v>
      </c>
      <c r="B549" s="54" t="s">
        <v>872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871</v>
      </c>
      <c r="B550" s="54" t="s">
        <v>874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6" t="s">
        <v>875</v>
      </c>
      <c r="Q550" s="734"/>
      <c r="R550" s="734"/>
      <c r="S550" s="734"/>
      <c r="T550" s="735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876</v>
      </c>
      <c r="B551" s="54" t="s">
        <v>877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876</v>
      </c>
      <c r="B552" s="54" t="s">
        <v>879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80" t="s">
        <v>880</v>
      </c>
      <c r="Q552" s="734"/>
      <c r="R552" s="734"/>
      <c r="S552" s="734"/>
      <c r="T552" s="735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876</v>
      </c>
      <c r="B553" s="54" t="s">
        <v>881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78</v>
      </c>
      <c r="Q554" s="737"/>
      <c r="R554" s="737"/>
      <c r="S554" s="737"/>
      <c r="T554" s="737"/>
      <c r="U554" s="737"/>
      <c r="V554" s="738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607.95454545454538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609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7.2836400000000001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78</v>
      </c>
      <c r="Q555" s="737"/>
      <c r="R555" s="737"/>
      <c r="S555" s="737"/>
      <c r="T555" s="737"/>
      <c r="U555" s="737"/>
      <c r="V555" s="738"/>
      <c r="W555" s="37" t="s">
        <v>67</v>
      </c>
      <c r="X555" s="729">
        <f>IFERROR(SUM(X542:X553),"0")</f>
        <v>3210</v>
      </c>
      <c r="Y555" s="729">
        <f>IFERROR(SUM(Y542:Y553),"0")</f>
        <v>3215.5200000000004</v>
      </c>
      <c r="Z555" s="37"/>
      <c r="AA555" s="730"/>
      <c r="AB555" s="730"/>
      <c r="AC555" s="730"/>
    </row>
    <row r="556" spans="1:68" ht="14.25" customHeight="1" x14ac:dyDescent="0.25">
      <c r="A556" s="746" t="s">
        <v>62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882</v>
      </c>
      <c r="B557" s="54" t="s">
        <v>883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888</v>
      </c>
      <c r="B559" s="54" t="s">
        <v>889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78</v>
      </c>
      <c r="Q560" s="737"/>
      <c r="R560" s="737"/>
      <c r="S560" s="737"/>
      <c r="T560" s="737"/>
      <c r="U560" s="737"/>
      <c r="V560" s="738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78</v>
      </c>
      <c r="Q561" s="737"/>
      <c r="R561" s="737"/>
      <c r="S561" s="737"/>
      <c r="T561" s="737"/>
      <c r="U561" s="737"/>
      <c r="V561" s="738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173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891</v>
      </c>
      <c r="B563" s="54" t="s">
        <v>892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894</v>
      </c>
      <c r="B564" s="54" t="s">
        <v>895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992" t="s">
        <v>896</v>
      </c>
      <c r="Q564" s="734"/>
      <c r="R564" s="734"/>
      <c r="S564" s="734"/>
      <c r="T564" s="735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78</v>
      </c>
      <c r="Q565" s="737"/>
      <c r="R565" s="737"/>
      <c r="S565" s="737"/>
      <c r="T565" s="737"/>
      <c r="U565" s="737"/>
      <c r="V565" s="738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78</v>
      </c>
      <c r="Q566" s="737"/>
      <c r="R566" s="737"/>
      <c r="S566" s="737"/>
      <c r="T566" s="737"/>
      <c r="U566" s="737"/>
      <c r="V566" s="738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897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88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898</v>
      </c>
      <c r="B570" s="54" t="s">
        <v>899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5" t="s">
        <v>900</v>
      </c>
      <c r="Q570" s="734"/>
      <c r="R570" s="734"/>
      <c r="S570" s="734"/>
      <c r="T570" s="735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32" t="s">
        <v>904</v>
      </c>
      <c r="Q571" s="734"/>
      <c r="R571" s="734"/>
      <c r="S571" s="734"/>
      <c r="T571" s="735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906</v>
      </c>
      <c r="B572" s="54" t="s">
        <v>907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41" t="s">
        <v>908</v>
      </c>
      <c r="Q572" s="734"/>
      <c r="R572" s="734"/>
      <c r="S572" s="734"/>
      <c r="T572" s="735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customHeight="1" x14ac:dyDescent="0.25">
      <c r="A573" s="54" t="s">
        <v>910</v>
      </c>
      <c r="B573" s="54" t="s">
        <v>911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38" t="s">
        <v>912</v>
      </c>
      <c r="Q573" s="734"/>
      <c r="R573" s="734"/>
      <c r="S573" s="734"/>
      <c r="T573" s="735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914</v>
      </c>
      <c r="B574" s="54" t="s">
        <v>915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84" t="s">
        <v>916</v>
      </c>
      <c r="Q574" s="734"/>
      <c r="R574" s="734"/>
      <c r="S574" s="734"/>
      <c r="T574" s="735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917</v>
      </c>
      <c r="B575" s="54" t="s">
        <v>918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65" t="s">
        <v>919</v>
      </c>
      <c r="Q575" s="734"/>
      <c r="R575" s="734"/>
      <c r="S575" s="734"/>
      <c r="T575" s="735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920</v>
      </c>
      <c r="B576" s="54" t="s">
        <v>921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73" t="s">
        <v>922</v>
      </c>
      <c r="Q576" s="734"/>
      <c r="R576" s="734"/>
      <c r="S576" s="734"/>
      <c r="T576" s="735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78</v>
      </c>
      <c r="Q577" s="737"/>
      <c r="R577" s="737"/>
      <c r="S577" s="737"/>
      <c r="T577" s="737"/>
      <c r="U577" s="737"/>
      <c r="V577" s="738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78</v>
      </c>
      <c r="Q578" s="737"/>
      <c r="R578" s="737"/>
      <c r="S578" s="737"/>
      <c r="T578" s="737"/>
      <c r="U578" s="737"/>
      <c r="V578" s="738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customHeight="1" x14ac:dyDescent="0.25">
      <c r="A579" s="746" t="s">
        <v>133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923</v>
      </c>
      <c r="B580" s="54" t="s">
        <v>924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51" t="s">
        <v>925</v>
      </c>
      <c r="Q580" s="734"/>
      <c r="R580" s="734"/>
      <c r="S580" s="734"/>
      <c r="T580" s="735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927</v>
      </c>
      <c r="B581" s="54" t="s">
        <v>928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1" t="s">
        <v>929</v>
      </c>
      <c r="Q581" s="734"/>
      <c r="R581" s="734"/>
      <c r="S581" s="734"/>
      <c r="T581" s="735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930</v>
      </c>
      <c r="B582" s="54" t="s">
        <v>931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55" t="s">
        <v>932</v>
      </c>
      <c r="Q582" s="734"/>
      <c r="R582" s="734"/>
      <c r="S582" s="734"/>
      <c r="T582" s="735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8" t="s">
        <v>936</v>
      </c>
      <c r="Q583" s="734"/>
      <c r="R583" s="734"/>
      <c r="S583" s="734"/>
      <c r="T583" s="735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78</v>
      </c>
      <c r="Q584" s="737"/>
      <c r="R584" s="737"/>
      <c r="S584" s="737"/>
      <c r="T584" s="737"/>
      <c r="U584" s="737"/>
      <c r="V584" s="738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78</v>
      </c>
      <c r="Q585" s="737"/>
      <c r="R585" s="737"/>
      <c r="S585" s="737"/>
      <c r="T585" s="737"/>
      <c r="U585" s="737"/>
      <c r="V585" s="738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144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937</v>
      </c>
      <c r="B587" s="54" t="s">
        <v>938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911" t="s">
        <v>939</v>
      </c>
      <c r="Q587" s="734"/>
      <c r="R587" s="734"/>
      <c r="S587" s="734"/>
      <c r="T587" s="735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077" t="s">
        <v>943</v>
      </c>
      <c r="Q588" s="734"/>
      <c r="R588" s="734"/>
      <c r="S588" s="734"/>
      <c r="T588" s="735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customHeight="1" x14ac:dyDescent="0.25">
      <c r="A589" s="54" t="s">
        <v>945</v>
      </c>
      <c r="B589" s="54" t="s">
        <v>946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17" t="s">
        <v>947</v>
      </c>
      <c r="Q589" s="734"/>
      <c r="R589" s="734"/>
      <c r="S589" s="734"/>
      <c r="T589" s="735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949</v>
      </c>
      <c r="B590" s="54" t="s">
        <v>950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51" t="s">
        <v>951</v>
      </c>
      <c r="Q590" s="734"/>
      <c r="R590" s="734"/>
      <c r="S590" s="734"/>
      <c r="T590" s="735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953</v>
      </c>
      <c r="B591" s="54" t="s">
        <v>954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71" t="s">
        <v>955</v>
      </c>
      <c r="Q591" s="734"/>
      <c r="R591" s="734"/>
      <c r="S591" s="734"/>
      <c r="T591" s="735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957</v>
      </c>
      <c r="B592" s="54" t="s">
        <v>958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896" t="s">
        <v>959</v>
      </c>
      <c r="Q592" s="734"/>
      <c r="R592" s="734"/>
      <c r="S592" s="734"/>
      <c r="T592" s="735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960</v>
      </c>
      <c r="B593" s="54" t="s">
        <v>961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909" t="s">
        <v>962</v>
      </c>
      <c r="Q593" s="734"/>
      <c r="R593" s="734"/>
      <c r="S593" s="734"/>
      <c r="T593" s="735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78</v>
      </c>
      <c r="Q594" s="737"/>
      <c r="R594" s="737"/>
      <c r="S594" s="737"/>
      <c r="T594" s="737"/>
      <c r="U594" s="737"/>
      <c r="V594" s="738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78</v>
      </c>
      <c r="Q595" s="737"/>
      <c r="R595" s="737"/>
      <c r="S595" s="737"/>
      <c r="T595" s="737"/>
      <c r="U595" s="737"/>
      <c r="V595" s="738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customHeight="1" x14ac:dyDescent="0.25">
      <c r="A596" s="746" t="s">
        <v>62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963</v>
      </c>
      <c r="B597" s="54" t="s">
        <v>964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123" t="s">
        <v>965</v>
      </c>
      <c r="Q597" s="734"/>
      <c r="R597" s="734"/>
      <c r="S597" s="734"/>
      <c r="T597" s="735"/>
      <c r="U597" s="34"/>
      <c r="V597" s="34"/>
      <c r="W597" s="35" t="s">
        <v>67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963</v>
      </c>
      <c r="B598" s="54" t="s">
        <v>967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55" t="s">
        <v>968</v>
      </c>
      <c r="Q598" s="734"/>
      <c r="R598" s="734"/>
      <c r="S598" s="734"/>
      <c r="T598" s="735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969</v>
      </c>
      <c r="B599" s="54" t="s">
        <v>970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47" t="s">
        <v>971</v>
      </c>
      <c r="Q599" s="734"/>
      <c r="R599" s="734"/>
      <c r="S599" s="734"/>
      <c r="T599" s="735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973</v>
      </c>
      <c r="B600" s="54" t="s">
        <v>974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45" t="s">
        <v>975</v>
      </c>
      <c r="Q600" s="734"/>
      <c r="R600" s="734"/>
      <c r="S600" s="734"/>
      <c r="T600" s="735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976</v>
      </c>
      <c r="B601" s="54" t="s">
        <v>977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101" t="s">
        <v>978</v>
      </c>
      <c r="Q601" s="734"/>
      <c r="R601" s="734"/>
      <c r="S601" s="734"/>
      <c r="T601" s="735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78</v>
      </c>
      <c r="Q602" s="737"/>
      <c r="R602" s="737"/>
      <c r="S602" s="737"/>
      <c r="T602" s="737"/>
      <c r="U602" s="737"/>
      <c r="V602" s="738"/>
      <c r="W602" s="37" t="s">
        <v>79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78</v>
      </c>
      <c r="Q603" s="737"/>
      <c r="R603" s="737"/>
      <c r="S603" s="737"/>
      <c r="T603" s="737"/>
      <c r="U603" s="737"/>
      <c r="V603" s="738"/>
      <c r="W603" s="37" t="s">
        <v>67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customHeight="1" x14ac:dyDescent="0.25">
      <c r="A604" s="746" t="s">
        <v>173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979</v>
      </c>
      <c r="B605" s="54" t="s">
        <v>980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23" t="s">
        <v>981</v>
      </c>
      <c r="Q605" s="734"/>
      <c r="R605" s="734"/>
      <c r="S605" s="734"/>
      <c r="T605" s="735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979</v>
      </c>
      <c r="B606" s="54" t="s">
        <v>983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27" t="s">
        <v>984</v>
      </c>
      <c r="Q606" s="734"/>
      <c r="R606" s="734"/>
      <c r="S606" s="734"/>
      <c r="T606" s="735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985</v>
      </c>
      <c r="B607" s="54" t="s">
        <v>986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26" t="s">
        <v>987</v>
      </c>
      <c r="Q607" s="734"/>
      <c r="R607" s="734"/>
      <c r="S607" s="734"/>
      <c r="T607" s="735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985</v>
      </c>
      <c r="B608" s="54" t="s">
        <v>989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38" t="s">
        <v>990</v>
      </c>
      <c r="Q608" s="734"/>
      <c r="R608" s="734"/>
      <c r="S608" s="734"/>
      <c r="T608" s="735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78</v>
      </c>
      <c r="Q609" s="737"/>
      <c r="R609" s="737"/>
      <c r="S609" s="737"/>
      <c r="T609" s="737"/>
      <c r="U609" s="737"/>
      <c r="V609" s="738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78</v>
      </c>
      <c r="Q610" s="737"/>
      <c r="R610" s="737"/>
      <c r="S610" s="737"/>
      <c r="T610" s="737"/>
      <c r="U610" s="737"/>
      <c r="V610" s="738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47" t="s">
        <v>991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88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992</v>
      </c>
      <c r="B613" s="54" t="s">
        <v>993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40" t="s">
        <v>994</v>
      </c>
      <c r="Q613" s="734"/>
      <c r="R613" s="734"/>
      <c r="S613" s="734"/>
      <c r="T613" s="735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996</v>
      </c>
      <c r="B614" s="54" t="s">
        <v>997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62" t="s">
        <v>998</v>
      </c>
      <c r="Q614" s="734"/>
      <c r="R614" s="734"/>
      <c r="S614" s="734"/>
      <c r="T614" s="735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78</v>
      </c>
      <c r="Q615" s="737"/>
      <c r="R615" s="737"/>
      <c r="S615" s="737"/>
      <c r="T615" s="737"/>
      <c r="U615" s="737"/>
      <c r="V615" s="738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78</v>
      </c>
      <c r="Q616" s="737"/>
      <c r="R616" s="737"/>
      <c r="S616" s="737"/>
      <c r="T616" s="737"/>
      <c r="U616" s="737"/>
      <c r="V616" s="738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133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1000</v>
      </c>
      <c r="B618" s="54" t="s">
        <v>1001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21" t="s">
        <v>1002</v>
      </c>
      <c r="Q618" s="734"/>
      <c r="R618" s="734"/>
      <c r="S618" s="734"/>
      <c r="T618" s="735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78</v>
      </c>
      <c r="Q619" s="737"/>
      <c r="R619" s="737"/>
      <c r="S619" s="737"/>
      <c r="T619" s="737"/>
      <c r="U619" s="737"/>
      <c r="V619" s="738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78</v>
      </c>
      <c r="Q620" s="737"/>
      <c r="R620" s="737"/>
      <c r="S620" s="737"/>
      <c r="T620" s="737"/>
      <c r="U620" s="737"/>
      <c r="V620" s="738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144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1004</v>
      </c>
      <c r="B622" s="54" t="s">
        <v>1005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73" t="s">
        <v>1006</v>
      </c>
      <c r="Q622" s="734"/>
      <c r="R622" s="734"/>
      <c r="S622" s="734"/>
      <c r="T622" s="735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78</v>
      </c>
      <c r="Q623" s="737"/>
      <c r="R623" s="737"/>
      <c r="S623" s="737"/>
      <c r="T623" s="737"/>
      <c r="U623" s="737"/>
      <c r="V623" s="738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78</v>
      </c>
      <c r="Q624" s="737"/>
      <c r="R624" s="737"/>
      <c r="S624" s="737"/>
      <c r="T624" s="737"/>
      <c r="U624" s="737"/>
      <c r="V624" s="738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62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1008</v>
      </c>
      <c r="B626" s="54" t="s">
        <v>1009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57" t="s">
        <v>1010</v>
      </c>
      <c r="Q626" s="734"/>
      <c r="R626" s="734"/>
      <c r="S626" s="734"/>
      <c r="T626" s="735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1012</v>
      </c>
      <c r="B627" s="54" t="s">
        <v>1013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9" t="s">
        <v>1014</v>
      </c>
      <c r="Q627" s="734"/>
      <c r="R627" s="734"/>
      <c r="S627" s="734"/>
      <c r="T627" s="735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78</v>
      </c>
      <c r="Q628" s="737"/>
      <c r="R628" s="737"/>
      <c r="S628" s="737"/>
      <c r="T628" s="737"/>
      <c r="U628" s="737"/>
      <c r="V628" s="738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78</v>
      </c>
      <c r="Q629" s="737"/>
      <c r="R629" s="737"/>
      <c r="S629" s="737"/>
      <c r="T629" s="737"/>
      <c r="U629" s="737"/>
      <c r="V629" s="738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17698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17839.79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18770.988356884998</v>
      </c>
      <c r="Y631" s="729">
        <f>IFERROR(SUM(BN22:BN627),"0")</f>
        <v>18920.3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31</v>
      </c>
      <c r="Y632" s="38">
        <f>ROUNDUP(SUM(BP22:BP627),0)</f>
        <v>32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19545.988356884998</v>
      </c>
      <c r="Y633" s="729">
        <f>GrossWeightTotalR+PalletQtyTotalR*25</f>
        <v>19720.3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2966.6442412519491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2992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37.688129999999994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50" t="s">
        <v>86</v>
      </c>
      <c r="D637" s="873"/>
      <c r="E637" s="873"/>
      <c r="F637" s="873"/>
      <c r="G637" s="873"/>
      <c r="H637" s="816"/>
      <c r="I637" s="750" t="s">
        <v>297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632</v>
      </c>
      <c r="Y637" s="816"/>
      <c r="Z637" s="750" t="s">
        <v>716</v>
      </c>
      <c r="AA637" s="873"/>
      <c r="AB637" s="873"/>
      <c r="AC637" s="816"/>
      <c r="AD637" s="724" t="s">
        <v>795</v>
      </c>
      <c r="AE637" s="750" t="s">
        <v>897</v>
      </c>
      <c r="AF637" s="816"/>
    </row>
    <row r="638" spans="1:68" ht="14.25" customHeight="1" thickTop="1" x14ac:dyDescent="0.2">
      <c r="A638" s="885" t="s">
        <v>1025</v>
      </c>
      <c r="B638" s="750" t="s">
        <v>61</v>
      </c>
      <c r="C638" s="750" t="s">
        <v>87</v>
      </c>
      <c r="D638" s="750" t="s">
        <v>112</v>
      </c>
      <c r="E638" s="750" t="s">
        <v>181</v>
      </c>
      <c r="F638" s="750" t="s">
        <v>215</v>
      </c>
      <c r="G638" s="750" t="s">
        <v>263</v>
      </c>
      <c r="H638" s="750" t="s">
        <v>86</v>
      </c>
      <c r="I638" s="750" t="s">
        <v>298</v>
      </c>
      <c r="J638" s="750" t="s">
        <v>326</v>
      </c>
      <c r="K638" s="750" t="s">
        <v>402</v>
      </c>
      <c r="L638" s="750" t="s">
        <v>413</v>
      </c>
      <c r="M638" s="750" t="s">
        <v>439</v>
      </c>
      <c r="N638" s="725"/>
      <c r="O638" s="750" t="s">
        <v>466</v>
      </c>
      <c r="P638" s="750" t="s">
        <v>469</v>
      </c>
      <c r="Q638" s="750" t="s">
        <v>478</v>
      </c>
      <c r="R638" s="750" t="s">
        <v>494</v>
      </c>
      <c r="S638" s="750" t="s">
        <v>504</v>
      </c>
      <c r="T638" s="750" t="s">
        <v>517</v>
      </c>
      <c r="U638" s="750" t="s">
        <v>528</v>
      </c>
      <c r="V638" s="750" t="s">
        <v>536</v>
      </c>
      <c r="W638" s="750" t="s">
        <v>619</v>
      </c>
      <c r="X638" s="750" t="s">
        <v>633</v>
      </c>
      <c r="Y638" s="750" t="s">
        <v>674</v>
      </c>
      <c r="Z638" s="750" t="s">
        <v>717</v>
      </c>
      <c r="AA638" s="750" t="s">
        <v>760</v>
      </c>
      <c r="AB638" s="750" t="s">
        <v>780</v>
      </c>
      <c r="AC638" s="750" t="s">
        <v>788</v>
      </c>
      <c r="AD638" s="750" t="s">
        <v>795</v>
      </c>
      <c r="AE638" s="750" t="s">
        <v>897</v>
      </c>
      <c r="AF638" s="750" t="s">
        <v>991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640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146.80000000000001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643.80000000000007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691.2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220.38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622.5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64.8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244.65</v>
      </c>
      <c r="W640" s="46">
        <f>IFERROR(Y394*1,"0")+IFERROR(Y398*1,"0")+IFERROR(Y399*1,"0")+IFERROR(Y400*1,"0")</f>
        <v>1.8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2235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1935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54.900000000000006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10338.959999999999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2025-03-14T07:26:02Z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