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8C5467E-236A-4AC9-9199-F23EC84701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заказа'!$B$176:$B$176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заказа'!$B$194:$B$194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заказа'!$B$204:$B$204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заказа'!$B$212:$B$212</definedName>
    <definedName name="ProductId85">'Бланк заказа'!$B$217:$B$217</definedName>
    <definedName name="ProductId86">'Бланк заказа'!$B$218:$B$218</definedName>
    <definedName name="ProductId87">'Бланк заказа'!$B$224:$B$224</definedName>
    <definedName name="ProductId88">'Бланк заказа'!$B$230:$B$230</definedName>
    <definedName name="ProductId89">'Бланк заказа'!$B$231:$B$231</definedName>
    <definedName name="ProductId9">'Бланк заказа'!$B$43:$B$43</definedName>
    <definedName name="ProductId90">'Бланк заказа'!$B$237:$B$237</definedName>
    <definedName name="ProductId91">'Бланк заказа'!$B$243:$B$243</definedName>
    <definedName name="ProductId92">'Бланк заказа'!$B$244:$B$244</definedName>
    <definedName name="ProductId93">'Бланк заказа'!$B$245:$B$245</definedName>
    <definedName name="ProductId94">'Бланк заказа'!$B$249:$B$249</definedName>
    <definedName name="ProductId95">'Бланк заказа'!$B$253:$B$253</definedName>
    <definedName name="ProductId96">'Бланк заказа'!$B$254:$B$254</definedName>
    <definedName name="ProductId97">'Бланк заказа'!$B$258:$B$258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заказа'!$X$176:$X$176</definedName>
    <definedName name="SalesQty7">'Бланк заказа'!$X$37:$X$37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заказа'!$X$194:$X$194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заказа'!$X$204:$X$204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заказа'!$X$212:$X$212</definedName>
    <definedName name="SalesQty85">'Бланк заказа'!$X$217:$X$217</definedName>
    <definedName name="SalesQty86">'Бланк заказа'!$X$218:$X$218</definedName>
    <definedName name="SalesQty87">'Бланк заказа'!$X$224:$X$224</definedName>
    <definedName name="SalesQty88">'Бланк заказа'!$X$230:$X$230</definedName>
    <definedName name="SalesQty89">'Бланк заказа'!$X$231:$X$231</definedName>
    <definedName name="SalesQty9">'Бланк заказа'!$X$43:$X$43</definedName>
    <definedName name="SalesQty90">'Бланк заказа'!$X$237:$X$237</definedName>
    <definedName name="SalesQty91">'Бланк заказа'!$X$243:$X$243</definedName>
    <definedName name="SalesQty92">'Бланк заказа'!$X$244:$X$244</definedName>
    <definedName name="SalesQty93">'Бланк заказа'!$X$245:$X$245</definedName>
    <definedName name="SalesQty94">'Бланк заказа'!$X$249:$X$249</definedName>
    <definedName name="SalesQty95">'Бланк заказа'!$X$253:$X$253</definedName>
    <definedName name="SalesQty96">'Бланк заказа'!$X$254:$X$254</definedName>
    <definedName name="SalesQty97">'Бланк заказа'!$X$258:$X$258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заказа'!$Y$176:$Y$176</definedName>
    <definedName name="SalesRoundBox7">'Бланк заказа'!$Y$37:$Y$37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заказа'!$Y$194:$Y$194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заказа'!$Y$204:$Y$204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заказа'!$Y$212:$Y$212</definedName>
    <definedName name="SalesRoundBox85">'Бланк заказа'!$Y$217:$Y$217</definedName>
    <definedName name="SalesRoundBox86">'Бланк заказа'!$Y$218:$Y$218</definedName>
    <definedName name="SalesRoundBox87">'Бланк заказа'!$Y$224:$Y$224</definedName>
    <definedName name="SalesRoundBox88">'Бланк заказа'!$Y$230:$Y$230</definedName>
    <definedName name="SalesRoundBox89">'Бланк заказа'!$Y$231:$Y$231</definedName>
    <definedName name="SalesRoundBox9">'Бланк заказа'!$Y$43:$Y$43</definedName>
    <definedName name="SalesRoundBox90">'Бланк заказа'!$Y$237:$Y$237</definedName>
    <definedName name="SalesRoundBox91">'Бланк заказа'!$Y$243:$Y$243</definedName>
    <definedName name="SalesRoundBox92">'Бланк заказа'!$Y$244:$Y$244</definedName>
    <definedName name="SalesRoundBox93">'Бланк заказа'!$Y$245:$Y$245</definedName>
    <definedName name="SalesRoundBox94">'Бланк заказа'!$Y$249:$Y$249</definedName>
    <definedName name="SalesRoundBox95">'Бланк заказа'!$Y$253:$Y$253</definedName>
    <definedName name="SalesRoundBox96">'Бланк заказа'!$Y$254:$Y$254</definedName>
    <definedName name="SalesRoundBox97">'Бланк заказа'!$Y$258:$Y$258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заказа'!$W$176:$W$176</definedName>
    <definedName name="UnitOfMeasure7">'Бланк заказа'!$W$37:$W$37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заказа'!$W$194:$W$194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заказа'!$W$204:$W$204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заказа'!$W$212:$W$212</definedName>
    <definedName name="UnitOfMeasure85">'Бланк заказа'!$W$217:$W$217</definedName>
    <definedName name="UnitOfMeasure86">'Бланк заказа'!$W$218:$W$218</definedName>
    <definedName name="UnitOfMeasure87">'Бланк заказа'!$W$224:$W$224</definedName>
    <definedName name="UnitOfMeasure88">'Бланк заказа'!$W$230:$W$230</definedName>
    <definedName name="UnitOfMeasure89">'Бланк заказа'!$W$231:$W$231</definedName>
    <definedName name="UnitOfMeasure9">'Бланк заказа'!$W$43:$W$43</definedName>
    <definedName name="UnitOfMeasure90">'Бланк заказа'!$W$237:$W$237</definedName>
    <definedName name="UnitOfMeasure91">'Бланк заказа'!$W$243:$W$243</definedName>
    <definedName name="UnitOfMeasure92">'Бланк заказа'!$W$244:$W$244</definedName>
    <definedName name="UnitOfMeasure93">'Бланк заказа'!$W$245:$W$245</definedName>
    <definedName name="UnitOfMeasure94">'Бланк заказа'!$W$249:$W$249</definedName>
    <definedName name="UnitOfMeasure95">'Бланк заказа'!$W$253:$W$253</definedName>
    <definedName name="UnitOfMeasure96">'Бланк заказа'!$W$254:$W$254</definedName>
    <definedName name="UnitOfMeasure97">'Бланк заказа'!$W$258:$W$258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Z261" i="1" s="1"/>
  <c r="Y258" i="1"/>
  <c r="Y256" i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Y233" i="1"/>
  <c r="X233" i="1"/>
  <c r="Z232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Z219" i="1" s="1"/>
  <c r="Y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3" i="1"/>
  <c r="Z182" i="1"/>
  <c r="X182" i="1"/>
  <c r="BO181" i="1"/>
  <c r="BM181" i="1"/>
  <c r="Z181" i="1"/>
  <c r="Y181" i="1"/>
  <c r="P181" i="1"/>
  <c r="Y178" i="1"/>
  <c r="X178" i="1"/>
  <c r="Z177" i="1"/>
  <c r="X177" i="1"/>
  <c r="BO176" i="1"/>
  <c r="BM176" i="1"/>
  <c r="Z176" i="1"/>
  <c r="Y176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Y173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Z164" i="1" s="1"/>
  <c r="Y162" i="1"/>
  <c r="P162" i="1"/>
  <c r="X160" i="1"/>
  <c r="Z159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Y155" i="1"/>
  <c r="X152" i="1"/>
  <c r="Y151" i="1"/>
  <c r="X151" i="1"/>
  <c r="BP150" i="1"/>
  <c r="BO150" i="1"/>
  <c r="BN150" i="1"/>
  <c r="BM150" i="1"/>
  <c r="Z150" i="1"/>
  <c r="Z151" i="1" s="1"/>
  <c r="Y150" i="1"/>
  <c r="Y152" i="1" s="1"/>
  <c r="Y146" i="1"/>
  <c r="X146" i="1"/>
  <c r="Z145" i="1"/>
  <c r="X145" i="1"/>
  <c r="BO144" i="1"/>
  <c r="BM144" i="1"/>
  <c r="Z144" i="1"/>
  <c r="Y144" i="1"/>
  <c r="P144" i="1"/>
  <c r="X141" i="1"/>
  <c r="X140" i="1"/>
  <c r="BO139" i="1"/>
  <c r="BM139" i="1"/>
  <c r="Z139" i="1"/>
  <c r="Y139" i="1"/>
  <c r="BP139" i="1" s="1"/>
  <c r="P139" i="1"/>
  <c r="BP138" i="1"/>
  <c r="BO138" i="1"/>
  <c r="BN138" i="1"/>
  <c r="BM138" i="1"/>
  <c r="Z138" i="1"/>
  <c r="Z140" i="1" s="1"/>
  <c r="Y138" i="1"/>
  <c r="X135" i="1"/>
  <c r="X134" i="1"/>
  <c r="BO133" i="1"/>
  <c r="BM133" i="1"/>
  <c r="Z133" i="1"/>
  <c r="Y133" i="1"/>
  <c r="BP133" i="1" s="1"/>
  <c r="P133" i="1"/>
  <c r="BP132" i="1"/>
  <c r="BO132" i="1"/>
  <c r="BN132" i="1"/>
  <c r="BM132" i="1"/>
  <c r="Z132" i="1"/>
  <c r="Z134" i="1" s="1"/>
  <c r="Y132" i="1"/>
  <c r="Y134" i="1" s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Z109" i="1" s="1"/>
  <c r="Y101" i="1"/>
  <c r="Y109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P95" i="1"/>
  <c r="BP94" i="1"/>
  <c r="BO94" i="1"/>
  <c r="BN94" i="1"/>
  <c r="BM94" i="1"/>
  <c r="Z94" i="1"/>
  <c r="Z97" i="1" s="1"/>
  <c r="Y94" i="1"/>
  <c r="Y98" i="1" s="1"/>
  <c r="P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Z90" i="1" s="1"/>
  <c r="Y84" i="1"/>
  <c r="Y91" i="1" s="1"/>
  <c r="P84" i="1"/>
  <c r="X81" i="1"/>
  <c r="X80" i="1"/>
  <c r="BO79" i="1"/>
  <c r="BM79" i="1"/>
  <c r="Z79" i="1"/>
  <c r="Y79" i="1"/>
  <c r="BP79" i="1" s="1"/>
  <c r="P79" i="1"/>
  <c r="BP78" i="1"/>
  <c r="BO78" i="1"/>
  <c r="BN78" i="1"/>
  <c r="BM78" i="1"/>
  <c r="Z78" i="1"/>
  <c r="Z80" i="1" s="1"/>
  <c r="Y78" i="1"/>
  <c r="Y80" i="1" s="1"/>
  <c r="P78" i="1"/>
  <c r="X75" i="1"/>
  <c r="Y74" i="1"/>
  <c r="X74" i="1"/>
  <c r="BP73" i="1"/>
  <c r="BO73" i="1"/>
  <c r="BN73" i="1"/>
  <c r="BM73" i="1"/>
  <c r="Z73" i="1"/>
  <c r="Z74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Z69" i="1" s="1"/>
  <c r="Y67" i="1"/>
  <c r="Y70" i="1" s="1"/>
  <c r="P67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3" i="1" s="1"/>
  <c r="Y52" i="1"/>
  <c r="P52" i="1"/>
  <c r="BO51" i="1"/>
  <c r="BM51" i="1"/>
  <c r="Z51" i="1"/>
  <c r="Y51" i="1"/>
  <c r="Y63" i="1" s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7" i="1" s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87" i="1" s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6" i="1" s="1"/>
  <c r="Y23" i="1"/>
  <c r="X23" i="1"/>
  <c r="X290" i="1" s="1"/>
  <c r="BP22" i="1"/>
  <c r="BO22" i="1"/>
  <c r="X288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9" i="1" l="1"/>
  <c r="Y33" i="1"/>
  <c r="Y286" i="1" s="1"/>
  <c r="Y39" i="1"/>
  <c r="Y290" i="1" s="1"/>
  <c r="Y48" i="1"/>
  <c r="Y64" i="1"/>
  <c r="Y69" i="1"/>
  <c r="Y81" i="1"/>
  <c r="Y90" i="1"/>
  <c r="Y97" i="1"/>
  <c r="Y110" i="1"/>
  <c r="Y115" i="1"/>
  <c r="Y122" i="1"/>
  <c r="Y129" i="1"/>
  <c r="Y135" i="1"/>
  <c r="Y159" i="1"/>
  <c r="BP155" i="1"/>
  <c r="BN155" i="1"/>
  <c r="BP156" i="1"/>
  <c r="BN156" i="1"/>
  <c r="BP157" i="1"/>
  <c r="BN157" i="1"/>
  <c r="BP158" i="1"/>
  <c r="BN158" i="1"/>
  <c r="Y182" i="1"/>
  <c r="BP181" i="1"/>
  <c r="BN18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H9" i="1"/>
  <c r="BN29" i="1"/>
  <c r="Y287" i="1" s="1"/>
  <c r="BN31" i="1"/>
  <c r="BN36" i="1"/>
  <c r="BP36" i="1"/>
  <c r="Y288" i="1" s="1"/>
  <c r="BN37" i="1"/>
  <c r="BN44" i="1"/>
  <c r="BN46" i="1"/>
  <c r="BN51" i="1"/>
  <c r="BP51" i="1"/>
  <c r="BN53" i="1"/>
  <c r="BN55" i="1"/>
  <c r="BN56" i="1"/>
  <c r="BN58" i="1"/>
  <c r="BN60" i="1"/>
  <c r="BN62" i="1"/>
  <c r="BN67" i="1"/>
  <c r="BP67" i="1"/>
  <c r="BN79" i="1"/>
  <c r="BN84" i="1"/>
  <c r="BP84" i="1"/>
  <c r="BN86" i="1"/>
  <c r="BN88" i="1"/>
  <c r="BN95" i="1"/>
  <c r="BN102" i="1"/>
  <c r="BN104" i="1"/>
  <c r="BN106" i="1"/>
  <c r="BN108" i="1"/>
  <c r="BN113" i="1"/>
  <c r="BP113" i="1"/>
  <c r="BN120" i="1"/>
  <c r="BN125" i="1"/>
  <c r="BP125" i="1"/>
  <c r="BN127" i="1"/>
  <c r="BN133" i="1"/>
  <c r="Y140" i="1"/>
  <c r="BN139" i="1"/>
  <c r="Y141" i="1"/>
  <c r="Y145" i="1"/>
  <c r="BP144" i="1"/>
  <c r="BN144" i="1"/>
  <c r="Y160" i="1"/>
  <c r="Y165" i="1"/>
  <c r="BP162" i="1"/>
  <c r="BN162" i="1"/>
  <c r="Y164" i="1"/>
  <c r="BP170" i="1"/>
  <c r="BN170" i="1"/>
  <c r="Y172" i="1"/>
  <c r="Y177" i="1"/>
  <c r="BP176" i="1"/>
  <c r="BN176" i="1"/>
  <c r="Y183" i="1"/>
  <c r="Y190" i="1"/>
  <c r="BP187" i="1"/>
  <c r="BN187" i="1"/>
  <c r="BP189" i="1"/>
  <c r="BN189" i="1"/>
  <c r="Z200" i="1"/>
  <c r="Z291" i="1" s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Y289" i="1" l="1"/>
  <c r="B299" i="1" s="1"/>
  <c r="A299" i="1"/>
  <c r="C299" i="1" l="1"/>
</calcChain>
</file>

<file path=xl/sharedStrings.xml><?xml version="1.0" encoding="utf-8"?>
<sst xmlns="http://schemas.openxmlformats.org/spreadsheetml/2006/main" count="1353" uniqueCount="434">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</sst>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7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9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5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7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3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1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6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0" customWidth="1"/>
    <col min="19" max="19" width="6.140625" style="1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0" customWidth="1"/>
    <col min="25" max="25" width="11" style="190" customWidth="1"/>
    <col min="26" max="26" width="10" style="190" customWidth="1"/>
    <col min="27" max="27" width="11.5703125" style="190" customWidth="1"/>
    <col min="28" max="28" width="10.42578125" style="190" customWidth="1"/>
    <col min="29" max="29" width="30" style="1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0" customWidth="1"/>
    <col min="34" max="34" width="9.140625" style="190" customWidth="1"/>
    <col min="35" max="16384" width="9.140625" style="190"/>
  </cols>
  <sheetData>
    <row r="1" spans="1:32" s="195" customFormat="1" ht="45" customHeight="1" x14ac:dyDescent="0.2">
      <c r="A1" s="41"/>
      <c r="B1" s="41"/>
      <c r="C1" s="41"/>
      <c r="D1" s="260" t="s">
        <v>0</v>
      </c>
      <c r="E1" s="228"/>
      <c r="F1" s="228"/>
      <c r="G1" s="12" t="s">
        <v>1</v>
      </c>
      <c r="H1" s="260" t="s">
        <v>2</v>
      </c>
      <c r="I1" s="228"/>
      <c r="J1" s="228"/>
      <c r="K1" s="228"/>
      <c r="L1" s="228"/>
      <c r="M1" s="228"/>
      <c r="N1" s="228"/>
      <c r="O1" s="228"/>
      <c r="P1" s="228"/>
      <c r="Q1" s="228"/>
      <c r="R1" s="227" t="s">
        <v>3</v>
      </c>
      <c r="S1" s="228"/>
      <c r="T1" s="2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5" customFormat="1" ht="23.45" customHeight="1" x14ac:dyDescent="0.2">
      <c r="A5" s="292" t="s">
        <v>7</v>
      </c>
      <c r="B5" s="293"/>
      <c r="C5" s="294"/>
      <c r="D5" s="263"/>
      <c r="E5" s="264"/>
      <c r="F5" s="396" t="s">
        <v>8</v>
      </c>
      <c r="G5" s="294"/>
      <c r="H5" s="263"/>
      <c r="I5" s="358"/>
      <c r="J5" s="358"/>
      <c r="K5" s="358"/>
      <c r="L5" s="358"/>
      <c r="M5" s="264"/>
      <c r="N5" s="61"/>
      <c r="P5" s="24" t="s">
        <v>9</v>
      </c>
      <c r="Q5" s="401">
        <v>45572</v>
      </c>
      <c r="R5" s="290"/>
      <c r="T5" s="319" t="s">
        <v>10</v>
      </c>
      <c r="U5" s="233"/>
      <c r="V5" s="320" t="s">
        <v>11</v>
      </c>
      <c r="W5" s="290"/>
      <c r="AB5" s="51"/>
      <c r="AC5" s="51"/>
      <c r="AD5" s="51"/>
      <c r="AE5" s="51"/>
    </row>
    <row r="6" spans="1:32" s="195" customFormat="1" ht="24" customHeight="1" x14ac:dyDescent="0.2">
      <c r="A6" s="292" t="s">
        <v>12</v>
      </c>
      <c r="B6" s="293"/>
      <c r="C6" s="294"/>
      <c r="D6" s="359" t="s">
        <v>13</v>
      </c>
      <c r="E6" s="360"/>
      <c r="F6" s="360"/>
      <c r="G6" s="360"/>
      <c r="H6" s="360"/>
      <c r="I6" s="360"/>
      <c r="J6" s="360"/>
      <c r="K6" s="360"/>
      <c r="L6" s="360"/>
      <c r="M6" s="290"/>
      <c r="N6" s="62"/>
      <c r="P6" s="24" t="s">
        <v>14</v>
      </c>
      <c r="Q6" s="403" t="str">
        <f>IF(Q5=0," ",CHOOSE(WEEKDAY(Q5,2),"Понедельник","Вторник","Среда","Четверг","Пятница","Суббота","Воскресенье"))</f>
        <v>Понедельник</v>
      </c>
      <c r="R6" s="206"/>
      <c r="T6" s="322" t="s">
        <v>15</v>
      </c>
      <c r="U6" s="233"/>
      <c r="V6" s="349" t="s">
        <v>16</v>
      </c>
      <c r="W6" s="240"/>
      <c r="AB6" s="51"/>
      <c r="AC6" s="51"/>
      <c r="AD6" s="51"/>
      <c r="AE6" s="51"/>
    </row>
    <row r="7" spans="1:32" s="195" customFormat="1" ht="21.75" hidden="1" customHeight="1" x14ac:dyDescent="0.2">
      <c r="A7" s="55"/>
      <c r="B7" s="55"/>
      <c r="C7" s="55"/>
      <c r="D7" s="244" t="str">
        <f>IFERROR(VLOOKUP(DeliveryAddress,Table,3,0),1)</f>
        <v>1</v>
      </c>
      <c r="E7" s="245"/>
      <c r="F7" s="245"/>
      <c r="G7" s="245"/>
      <c r="H7" s="245"/>
      <c r="I7" s="245"/>
      <c r="J7" s="245"/>
      <c r="K7" s="245"/>
      <c r="L7" s="245"/>
      <c r="M7" s="246"/>
      <c r="N7" s="63"/>
      <c r="P7" s="24"/>
      <c r="Q7" s="42"/>
      <c r="R7" s="42"/>
      <c r="T7" s="211"/>
      <c r="U7" s="233"/>
      <c r="V7" s="350"/>
      <c r="W7" s="351"/>
      <c r="AB7" s="51"/>
      <c r="AC7" s="51"/>
      <c r="AD7" s="51"/>
      <c r="AE7" s="51"/>
    </row>
    <row r="8" spans="1:32" s="195" customFormat="1" ht="25.5" customHeight="1" x14ac:dyDescent="0.2">
      <c r="A8" s="410" t="s">
        <v>17</v>
      </c>
      <c r="B8" s="219"/>
      <c r="C8" s="220"/>
      <c r="D8" s="251" t="s">
        <v>18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19</v>
      </c>
      <c r="Q8" s="296">
        <v>0.41666666666666669</v>
      </c>
      <c r="R8" s="246"/>
      <c r="T8" s="211"/>
      <c r="U8" s="233"/>
      <c r="V8" s="350"/>
      <c r="W8" s="351"/>
      <c r="AB8" s="51"/>
      <c r="AC8" s="51"/>
      <c r="AD8" s="51"/>
      <c r="AE8" s="51"/>
    </row>
    <row r="9" spans="1:32" s="195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02"/>
      <c r="E9" s="217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16" t="str">
        <f>IF(AND($A$9="Тип доверенности/получателя при получении в адресе перегруза:",$D$9="Разовая доверенность"),"Введите ФИО","")</f>
        <v/>
      </c>
      <c r="I9" s="217"/>
      <c r="J9" s="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7"/>
      <c r="L9" s="217"/>
      <c r="M9" s="217"/>
      <c r="N9" s="196"/>
      <c r="P9" s="26" t="s">
        <v>20</v>
      </c>
      <c r="Q9" s="286"/>
      <c r="R9" s="287"/>
      <c r="T9" s="211"/>
      <c r="U9" s="233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5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02"/>
      <c r="E10" s="217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41" t="str">
        <f>IFERROR(VLOOKUP($D$10,Proxy,2,FALSE),"")</f>
        <v/>
      </c>
      <c r="I10" s="211"/>
      <c r="J10" s="211"/>
      <c r="K10" s="211"/>
      <c r="L10" s="211"/>
      <c r="M10" s="211"/>
      <c r="N10" s="194"/>
      <c r="P10" s="26" t="s">
        <v>21</v>
      </c>
      <c r="Q10" s="323"/>
      <c r="R10" s="324"/>
      <c r="U10" s="24" t="s">
        <v>22</v>
      </c>
      <c r="V10" s="239" t="s">
        <v>23</v>
      </c>
      <c r="W10" s="240"/>
      <c r="X10" s="44"/>
      <c r="Y10" s="44"/>
      <c r="Z10" s="44"/>
      <c r="AA10" s="44"/>
      <c r="AB10" s="51"/>
      <c r="AC10" s="51"/>
      <c r="AD10" s="51"/>
      <c r="AE10" s="51"/>
    </row>
    <row r="11" spans="1:32" s="1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9"/>
      <c r="R11" s="290"/>
      <c r="U11" s="24" t="s">
        <v>26</v>
      </c>
      <c r="V11" s="372" t="s">
        <v>27</v>
      </c>
      <c r="W11" s="287"/>
      <c r="X11" s="45"/>
      <c r="Y11" s="45"/>
      <c r="Z11" s="45"/>
      <c r="AA11" s="45"/>
      <c r="AB11" s="51"/>
      <c r="AC11" s="51"/>
      <c r="AD11" s="51"/>
      <c r="AE11" s="51"/>
    </row>
    <row r="12" spans="1:32" s="195" customFormat="1" ht="18.600000000000001" customHeight="1" x14ac:dyDescent="0.2">
      <c r="A12" s="316" t="s">
        <v>28</v>
      </c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4"/>
      <c r="N12" s="65"/>
      <c r="P12" s="24" t="s">
        <v>29</v>
      </c>
      <c r="Q12" s="296"/>
      <c r="R12" s="246"/>
      <c r="S12" s="23"/>
      <c r="U12" s="24"/>
      <c r="V12" s="228"/>
      <c r="W12" s="211"/>
      <c r="AB12" s="51"/>
      <c r="AC12" s="51"/>
      <c r="AD12" s="51"/>
      <c r="AE12" s="51"/>
    </row>
    <row r="13" spans="1:32" s="195" customFormat="1" ht="23.25" customHeight="1" x14ac:dyDescent="0.2">
      <c r="A13" s="316" t="s">
        <v>30</v>
      </c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4"/>
      <c r="N13" s="65"/>
      <c r="O13" s="26"/>
      <c r="P13" s="26" t="s">
        <v>31</v>
      </c>
      <c r="Q13" s="372"/>
      <c r="R13" s="2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5" customFormat="1" ht="18.600000000000001" customHeight="1" x14ac:dyDescent="0.2">
      <c r="A14" s="316" t="s">
        <v>32</v>
      </c>
      <c r="B14" s="293"/>
      <c r="C14" s="293"/>
      <c r="D14" s="293"/>
      <c r="E14" s="293"/>
      <c r="F14" s="293"/>
      <c r="G14" s="293"/>
      <c r="H14" s="293"/>
      <c r="I14" s="293"/>
      <c r="J14" s="293"/>
      <c r="K14" s="293"/>
      <c r="L14" s="293"/>
      <c r="M14" s="29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5" customFormat="1" ht="22.5" customHeight="1" x14ac:dyDescent="0.2">
      <c r="A15" s="332" t="s">
        <v>33</v>
      </c>
      <c r="B15" s="293"/>
      <c r="C15" s="293"/>
      <c r="D15" s="293"/>
      <c r="E15" s="293"/>
      <c r="F15" s="293"/>
      <c r="G15" s="293"/>
      <c r="H15" s="293"/>
      <c r="I15" s="293"/>
      <c r="J15" s="293"/>
      <c r="K15" s="293"/>
      <c r="L15" s="293"/>
      <c r="M15" s="294"/>
      <c r="N15" s="66"/>
      <c r="P15" s="309" t="s">
        <v>34</v>
      </c>
      <c r="Q15" s="228"/>
      <c r="R15" s="228"/>
      <c r="S15" s="228"/>
      <c r="T15" s="2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0"/>
      <c r="Q16" s="310"/>
      <c r="R16" s="310"/>
      <c r="S16" s="310"/>
      <c r="T16" s="3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6" t="s">
        <v>35</v>
      </c>
      <c r="B17" s="236" t="s">
        <v>36</v>
      </c>
      <c r="C17" s="300" t="s">
        <v>37</v>
      </c>
      <c r="D17" s="236" t="s">
        <v>38</v>
      </c>
      <c r="E17" s="274"/>
      <c r="F17" s="236" t="s">
        <v>39</v>
      </c>
      <c r="G17" s="236" t="s">
        <v>40</v>
      </c>
      <c r="H17" s="236" t="s">
        <v>41</v>
      </c>
      <c r="I17" s="236" t="s">
        <v>42</v>
      </c>
      <c r="J17" s="236" t="s">
        <v>43</v>
      </c>
      <c r="K17" s="236" t="s">
        <v>44</v>
      </c>
      <c r="L17" s="236" t="s">
        <v>45</v>
      </c>
      <c r="M17" s="236" t="s">
        <v>46</v>
      </c>
      <c r="N17" s="236" t="s">
        <v>47</v>
      </c>
      <c r="O17" s="236" t="s">
        <v>48</v>
      </c>
      <c r="P17" s="236" t="s">
        <v>49</v>
      </c>
      <c r="Q17" s="273"/>
      <c r="R17" s="273"/>
      <c r="S17" s="273"/>
      <c r="T17" s="274"/>
      <c r="U17" s="407" t="s">
        <v>50</v>
      </c>
      <c r="V17" s="294"/>
      <c r="W17" s="236" t="s">
        <v>51</v>
      </c>
      <c r="X17" s="236" t="s">
        <v>52</v>
      </c>
      <c r="Y17" s="408" t="s">
        <v>53</v>
      </c>
      <c r="Z17" s="236" t="s">
        <v>54</v>
      </c>
      <c r="AA17" s="342" t="s">
        <v>55</v>
      </c>
      <c r="AB17" s="342" t="s">
        <v>56</v>
      </c>
      <c r="AC17" s="342" t="s">
        <v>57</v>
      </c>
      <c r="AD17" s="342" t="s">
        <v>58</v>
      </c>
      <c r="AE17" s="391"/>
      <c r="AF17" s="392"/>
      <c r="AG17" s="282"/>
      <c r="BD17" s="337" t="s">
        <v>59</v>
      </c>
    </row>
    <row r="18" spans="1:68" ht="14.25" customHeight="1" x14ac:dyDescent="0.2">
      <c r="A18" s="237"/>
      <c r="B18" s="237"/>
      <c r="C18" s="237"/>
      <c r="D18" s="275"/>
      <c r="E18" s="27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75"/>
      <c r="Q18" s="276"/>
      <c r="R18" s="276"/>
      <c r="S18" s="276"/>
      <c r="T18" s="277"/>
      <c r="U18" s="193" t="s">
        <v>60</v>
      </c>
      <c r="V18" s="193" t="s">
        <v>61</v>
      </c>
      <c r="W18" s="237"/>
      <c r="X18" s="237"/>
      <c r="Y18" s="409"/>
      <c r="Z18" s="237"/>
      <c r="AA18" s="343"/>
      <c r="AB18" s="343"/>
      <c r="AC18" s="343"/>
      <c r="AD18" s="393"/>
      <c r="AE18" s="394"/>
      <c r="AF18" s="395"/>
      <c r="AG18" s="283"/>
      <c r="BD18" s="211"/>
    </row>
    <row r="19" spans="1:68" ht="27.75" customHeight="1" x14ac:dyDescent="0.2">
      <c r="A19" s="270" t="s">
        <v>62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48"/>
      <c r="AB19" s="48"/>
      <c r="AC19" s="48"/>
    </row>
    <row r="20" spans="1:68" ht="16.5" customHeight="1" x14ac:dyDescent="0.25">
      <c r="A20" s="214" t="s">
        <v>62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2"/>
      <c r="AB20" s="192"/>
      <c r="AC20" s="192"/>
    </row>
    <row r="21" spans="1:68" ht="14.25" customHeight="1" x14ac:dyDescent="0.25">
      <c r="A21" s="215" t="s">
        <v>63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1"/>
      <c r="AB21" s="191"/>
      <c r="AC21" s="191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5">
        <v>4607111035752</v>
      </c>
      <c r="E22" s="206"/>
      <c r="F22" s="197">
        <v>0.43</v>
      </c>
      <c r="G22" s="32">
        <v>16</v>
      </c>
      <c r="H22" s="197">
        <v>6.88</v>
      </c>
      <c r="I22" s="1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5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3"/>
      <c r="R22" s="203"/>
      <c r="S22" s="203"/>
      <c r="T22" s="204"/>
      <c r="U22" s="34"/>
      <c r="V22" s="34"/>
      <c r="W22" s="35" t="s">
        <v>69</v>
      </c>
      <c r="X22" s="198">
        <v>0</v>
      </c>
      <c r="Y22" s="199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2"/>
      <c r="P23" s="218" t="s">
        <v>71</v>
      </c>
      <c r="Q23" s="219"/>
      <c r="R23" s="219"/>
      <c r="S23" s="219"/>
      <c r="T23" s="219"/>
      <c r="U23" s="219"/>
      <c r="V23" s="220"/>
      <c r="W23" s="37" t="s">
        <v>69</v>
      </c>
      <c r="X23" s="200">
        <f>IFERROR(SUM(X22:X22),"0")</f>
        <v>0</v>
      </c>
      <c r="Y23" s="200">
        <f>IFERROR(SUM(Y22:Y22),"0")</f>
        <v>0</v>
      </c>
      <c r="Z23" s="200">
        <f>IFERROR(IF(Z22="",0,Z22),"0")</f>
        <v>0</v>
      </c>
      <c r="AA23" s="201"/>
      <c r="AB23" s="201"/>
      <c r="AC23" s="201"/>
    </row>
    <row r="24" spans="1:68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2"/>
      <c r="P24" s="218" t="s">
        <v>71</v>
      </c>
      <c r="Q24" s="219"/>
      <c r="R24" s="219"/>
      <c r="S24" s="219"/>
      <c r="T24" s="219"/>
      <c r="U24" s="219"/>
      <c r="V24" s="220"/>
      <c r="W24" s="37" t="s">
        <v>72</v>
      </c>
      <c r="X24" s="200">
        <f>IFERROR(SUMPRODUCT(X22:X22*H22:H22),"0")</f>
        <v>0</v>
      </c>
      <c r="Y24" s="200">
        <f>IFERROR(SUMPRODUCT(Y22:Y22*H22:H22),"0")</f>
        <v>0</v>
      </c>
      <c r="Z24" s="37"/>
      <c r="AA24" s="201"/>
      <c r="AB24" s="201"/>
      <c r="AC24" s="201"/>
    </row>
    <row r="25" spans="1:68" ht="27.75" customHeight="1" x14ac:dyDescent="0.2">
      <c r="A25" s="270" t="s">
        <v>73</v>
      </c>
      <c r="B25" s="271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48"/>
      <c r="AB25" s="48"/>
      <c r="AC25" s="48"/>
    </row>
    <row r="26" spans="1:68" ht="16.5" customHeight="1" x14ac:dyDescent="0.25">
      <c r="A26" s="214" t="s">
        <v>74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2"/>
      <c r="AB26" s="192"/>
      <c r="AC26" s="192"/>
    </row>
    <row r="27" spans="1:68" ht="14.25" customHeight="1" x14ac:dyDescent="0.25">
      <c r="A27" s="215" t="s">
        <v>75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1"/>
      <c r="AB27" s="191"/>
      <c r="AC27" s="191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5">
        <v>4607111036605</v>
      </c>
      <c r="E28" s="206"/>
      <c r="F28" s="197">
        <v>0.25</v>
      </c>
      <c r="G28" s="32">
        <v>6</v>
      </c>
      <c r="H28" s="197">
        <v>1.5</v>
      </c>
      <c r="I28" s="197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3"/>
      <c r="R28" s="203"/>
      <c r="S28" s="203"/>
      <c r="T28" s="204"/>
      <c r="U28" s="34"/>
      <c r="V28" s="34"/>
      <c r="W28" s="35" t="s">
        <v>69</v>
      </c>
      <c r="X28" s="198">
        <v>0</v>
      </c>
      <c r="Y28" s="199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5">
        <v>4607111036520</v>
      </c>
      <c r="E29" s="206"/>
      <c r="F29" s="197">
        <v>0.25</v>
      </c>
      <c r="G29" s="32">
        <v>6</v>
      </c>
      <c r="H29" s="197">
        <v>1.5</v>
      </c>
      <c r="I29" s="197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4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3"/>
      <c r="R29" s="203"/>
      <c r="S29" s="203"/>
      <c r="T29" s="204"/>
      <c r="U29" s="34"/>
      <c r="V29" s="34"/>
      <c r="W29" s="35" t="s">
        <v>69</v>
      </c>
      <c r="X29" s="198">
        <v>0</v>
      </c>
      <c r="Y29" s="199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5">
        <v>4607111036537</v>
      </c>
      <c r="E30" s="206"/>
      <c r="F30" s="197">
        <v>0.25</v>
      </c>
      <c r="G30" s="32">
        <v>6</v>
      </c>
      <c r="H30" s="197">
        <v>1.5</v>
      </c>
      <c r="I30" s="197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3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3"/>
      <c r="R30" s="203"/>
      <c r="S30" s="203"/>
      <c r="T30" s="204"/>
      <c r="U30" s="34"/>
      <c r="V30" s="34"/>
      <c r="W30" s="35" t="s">
        <v>69</v>
      </c>
      <c r="X30" s="198">
        <v>0</v>
      </c>
      <c r="Y30" s="199">
        <f>IFERROR(IF(X30="","",X30),"")</f>
        <v>0</v>
      </c>
      <c r="Z30" s="36">
        <f>IFERROR(IF(X30="","",X30*0.00941),"")</f>
        <v>0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84</v>
      </c>
      <c r="B31" s="54" t="s">
        <v>85</v>
      </c>
      <c r="C31" s="31">
        <v>4301132094</v>
      </c>
      <c r="D31" s="205">
        <v>4607111036599</v>
      </c>
      <c r="E31" s="206"/>
      <c r="F31" s="197">
        <v>0.25</v>
      </c>
      <c r="G31" s="32">
        <v>6</v>
      </c>
      <c r="H31" s="197">
        <v>1.5</v>
      </c>
      <c r="I31" s="197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5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3"/>
      <c r="R31" s="203"/>
      <c r="S31" s="203"/>
      <c r="T31" s="204"/>
      <c r="U31" s="34"/>
      <c r="V31" s="34"/>
      <c r="W31" s="35" t="s">
        <v>69</v>
      </c>
      <c r="X31" s="198">
        <v>0</v>
      </c>
      <c r="Y31" s="199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0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2"/>
      <c r="P32" s="218" t="s">
        <v>71</v>
      </c>
      <c r="Q32" s="219"/>
      <c r="R32" s="219"/>
      <c r="S32" s="219"/>
      <c r="T32" s="219"/>
      <c r="U32" s="219"/>
      <c r="V32" s="220"/>
      <c r="W32" s="37" t="s">
        <v>69</v>
      </c>
      <c r="X32" s="200">
        <f>IFERROR(SUM(X28:X31),"0")</f>
        <v>0</v>
      </c>
      <c r="Y32" s="200">
        <f>IFERROR(SUM(Y28:Y31),"0")</f>
        <v>0</v>
      </c>
      <c r="Z32" s="200">
        <f>IFERROR(IF(Z28="",0,Z28),"0")+IFERROR(IF(Z29="",0,Z29),"0")+IFERROR(IF(Z30="",0,Z30),"0")+IFERROR(IF(Z31="",0,Z31),"0")</f>
        <v>0</v>
      </c>
      <c r="AA32" s="201"/>
      <c r="AB32" s="201"/>
      <c r="AC32" s="201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2"/>
      <c r="P33" s="218" t="s">
        <v>71</v>
      </c>
      <c r="Q33" s="219"/>
      <c r="R33" s="219"/>
      <c r="S33" s="219"/>
      <c r="T33" s="219"/>
      <c r="U33" s="219"/>
      <c r="V33" s="220"/>
      <c r="W33" s="37" t="s">
        <v>72</v>
      </c>
      <c r="X33" s="200">
        <f>IFERROR(SUMPRODUCT(X28:X31*H28:H31),"0")</f>
        <v>0</v>
      </c>
      <c r="Y33" s="200">
        <f>IFERROR(SUMPRODUCT(Y28:Y31*H28:H31),"0")</f>
        <v>0</v>
      </c>
      <c r="Z33" s="37"/>
      <c r="AA33" s="201"/>
      <c r="AB33" s="201"/>
      <c r="AC33" s="201"/>
    </row>
    <row r="34" spans="1:68" ht="16.5" customHeight="1" x14ac:dyDescent="0.25">
      <c r="A34" s="214" t="s">
        <v>86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2"/>
      <c r="AB34" s="192"/>
      <c r="AC34" s="192"/>
    </row>
    <row r="35" spans="1:68" ht="14.25" customHeight="1" x14ac:dyDescent="0.25">
      <c r="A35" s="215" t="s">
        <v>63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1"/>
      <c r="AB35" s="191"/>
      <c r="AC35" s="191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5">
        <v>4607111036285</v>
      </c>
      <c r="E36" s="206"/>
      <c r="F36" s="197">
        <v>0.75</v>
      </c>
      <c r="G36" s="32">
        <v>8</v>
      </c>
      <c r="H36" s="197">
        <v>6</v>
      </c>
      <c r="I36" s="197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3"/>
      <c r="R36" s="203"/>
      <c r="S36" s="203"/>
      <c r="T36" s="204"/>
      <c r="U36" s="34"/>
      <c r="V36" s="34"/>
      <c r="W36" s="35" t="s">
        <v>69</v>
      </c>
      <c r="X36" s="198">
        <v>0</v>
      </c>
      <c r="Y36" s="199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5">
        <v>4607111036308</v>
      </c>
      <c r="E37" s="206"/>
      <c r="F37" s="197">
        <v>0.75</v>
      </c>
      <c r="G37" s="32">
        <v>8</v>
      </c>
      <c r="H37" s="197">
        <v>6</v>
      </c>
      <c r="I37" s="19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35" t="s">
        <v>91</v>
      </c>
      <c r="Q37" s="203"/>
      <c r="R37" s="203"/>
      <c r="S37" s="203"/>
      <c r="T37" s="204"/>
      <c r="U37" s="34"/>
      <c r="V37" s="34"/>
      <c r="W37" s="35" t="s">
        <v>69</v>
      </c>
      <c r="X37" s="198">
        <v>0</v>
      </c>
      <c r="Y37" s="199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5">
        <v>4607111036292</v>
      </c>
      <c r="E38" s="206"/>
      <c r="F38" s="197">
        <v>0.75</v>
      </c>
      <c r="G38" s="32">
        <v>8</v>
      </c>
      <c r="H38" s="197">
        <v>6</v>
      </c>
      <c r="I38" s="197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3"/>
      <c r="R38" s="203"/>
      <c r="S38" s="203"/>
      <c r="T38" s="204"/>
      <c r="U38" s="34"/>
      <c r="V38" s="34"/>
      <c r="W38" s="35" t="s">
        <v>69</v>
      </c>
      <c r="X38" s="198">
        <v>0</v>
      </c>
      <c r="Y38" s="199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0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2"/>
      <c r="P39" s="218" t="s">
        <v>71</v>
      </c>
      <c r="Q39" s="219"/>
      <c r="R39" s="219"/>
      <c r="S39" s="219"/>
      <c r="T39" s="219"/>
      <c r="U39" s="219"/>
      <c r="V39" s="220"/>
      <c r="W39" s="37" t="s">
        <v>69</v>
      </c>
      <c r="X39" s="200">
        <f>IFERROR(SUM(X36:X38),"0")</f>
        <v>0</v>
      </c>
      <c r="Y39" s="200">
        <f>IFERROR(SUM(Y36:Y38),"0")</f>
        <v>0</v>
      </c>
      <c r="Z39" s="200">
        <f>IFERROR(IF(Z36="",0,Z36),"0")+IFERROR(IF(Z37="",0,Z37),"0")+IFERROR(IF(Z38="",0,Z38),"0")</f>
        <v>0</v>
      </c>
      <c r="AA39" s="201"/>
      <c r="AB39" s="201"/>
      <c r="AC39" s="201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2"/>
      <c r="P40" s="218" t="s">
        <v>71</v>
      </c>
      <c r="Q40" s="219"/>
      <c r="R40" s="219"/>
      <c r="S40" s="219"/>
      <c r="T40" s="219"/>
      <c r="U40" s="219"/>
      <c r="V40" s="220"/>
      <c r="W40" s="37" t="s">
        <v>72</v>
      </c>
      <c r="X40" s="200">
        <f>IFERROR(SUMPRODUCT(X36:X38*H36:H38),"0")</f>
        <v>0</v>
      </c>
      <c r="Y40" s="200">
        <f>IFERROR(SUMPRODUCT(Y36:Y38*H36:H38),"0")</f>
        <v>0</v>
      </c>
      <c r="Z40" s="37"/>
      <c r="AA40" s="201"/>
      <c r="AB40" s="201"/>
      <c r="AC40" s="201"/>
    </row>
    <row r="41" spans="1:68" ht="16.5" customHeight="1" x14ac:dyDescent="0.25">
      <c r="A41" s="214" t="s">
        <v>94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2"/>
      <c r="AB41" s="192"/>
      <c r="AC41" s="192"/>
    </row>
    <row r="42" spans="1:68" ht="14.25" customHeight="1" x14ac:dyDescent="0.25">
      <c r="A42" s="215" t="s">
        <v>95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1"/>
      <c r="AB42" s="191"/>
      <c r="AC42" s="191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5">
        <v>4607111038951</v>
      </c>
      <c r="E43" s="206"/>
      <c r="F43" s="197">
        <v>0.2</v>
      </c>
      <c r="G43" s="32">
        <v>6</v>
      </c>
      <c r="H43" s="197">
        <v>1.2</v>
      </c>
      <c r="I43" s="197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1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3"/>
      <c r="R43" s="203"/>
      <c r="S43" s="203"/>
      <c r="T43" s="204"/>
      <c r="U43" s="34"/>
      <c r="V43" s="34"/>
      <c r="W43" s="35" t="s">
        <v>69</v>
      </c>
      <c r="X43" s="198">
        <v>0</v>
      </c>
      <c r="Y43" s="199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5">
        <v>4607111037596</v>
      </c>
      <c r="E44" s="206"/>
      <c r="F44" s="197">
        <v>0.2</v>
      </c>
      <c r="G44" s="32">
        <v>6</v>
      </c>
      <c r="H44" s="197">
        <v>1.2</v>
      </c>
      <c r="I44" s="197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3"/>
      <c r="R44" s="203"/>
      <c r="S44" s="203"/>
      <c r="T44" s="204"/>
      <c r="U44" s="34"/>
      <c r="V44" s="34"/>
      <c r="W44" s="35" t="s">
        <v>69</v>
      </c>
      <c r="X44" s="198">
        <v>0</v>
      </c>
      <c r="Y44" s="199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5">
        <v>4607111037053</v>
      </c>
      <c r="E45" s="206"/>
      <c r="F45" s="197">
        <v>0.2</v>
      </c>
      <c r="G45" s="32">
        <v>6</v>
      </c>
      <c r="H45" s="197">
        <v>1.2</v>
      </c>
      <c r="I45" s="197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3"/>
      <c r="R45" s="203"/>
      <c r="S45" s="203"/>
      <c r="T45" s="204"/>
      <c r="U45" s="34"/>
      <c r="V45" s="34"/>
      <c r="W45" s="35" t="s">
        <v>69</v>
      </c>
      <c r="X45" s="198">
        <v>40</v>
      </c>
      <c r="Y45" s="199">
        <f>IFERROR(IF(X45="","",X45),"")</f>
        <v>40</v>
      </c>
      <c r="Z45" s="36">
        <f>IFERROR(IF(X45="","",X45*0.0095),"")</f>
        <v>0.38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63.672000000000004</v>
      </c>
      <c r="BN45" s="67">
        <f>IFERROR(Y45*I45,"0")</f>
        <v>63.672000000000004</v>
      </c>
      <c r="BO45" s="67">
        <f>IFERROR(X45/J45,"0")</f>
        <v>0.30769230769230771</v>
      </c>
      <c r="BP45" s="67">
        <f>IFERROR(Y45/J45,"0")</f>
        <v>0.30769230769230771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5">
        <v>4607111037060</v>
      </c>
      <c r="E46" s="206"/>
      <c r="F46" s="197">
        <v>0.2</v>
      </c>
      <c r="G46" s="32">
        <v>6</v>
      </c>
      <c r="H46" s="197">
        <v>1.2</v>
      </c>
      <c r="I46" s="197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3"/>
      <c r="R46" s="203"/>
      <c r="S46" s="203"/>
      <c r="T46" s="204"/>
      <c r="U46" s="34"/>
      <c r="V46" s="34"/>
      <c r="W46" s="35" t="s">
        <v>69</v>
      </c>
      <c r="X46" s="198">
        <v>10</v>
      </c>
      <c r="Y46" s="199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10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2"/>
      <c r="P47" s="218" t="s">
        <v>71</v>
      </c>
      <c r="Q47" s="219"/>
      <c r="R47" s="219"/>
      <c r="S47" s="219"/>
      <c r="T47" s="219"/>
      <c r="U47" s="219"/>
      <c r="V47" s="220"/>
      <c r="W47" s="37" t="s">
        <v>69</v>
      </c>
      <c r="X47" s="200">
        <f>IFERROR(SUM(X43:X46),"0")</f>
        <v>50</v>
      </c>
      <c r="Y47" s="200">
        <f>IFERROR(SUM(Y43:Y46),"0")</f>
        <v>50</v>
      </c>
      <c r="Z47" s="200">
        <f>IFERROR(IF(Z43="",0,Z43),"0")+IFERROR(IF(Z44="",0,Z44),"0")+IFERROR(IF(Z45="",0,Z45),"0")+IFERROR(IF(Z46="",0,Z46),"0")</f>
        <v>0.47499999999999998</v>
      </c>
      <c r="AA47" s="201"/>
      <c r="AB47" s="201"/>
      <c r="AC47" s="201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2"/>
      <c r="P48" s="218" t="s">
        <v>71</v>
      </c>
      <c r="Q48" s="219"/>
      <c r="R48" s="219"/>
      <c r="S48" s="219"/>
      <c r="T48" s="219"/>
      <c r="U48" s="219"/>
      <c r="V48" s="220"/>
      <c r="W48" s="37" t="s">
        <v>72</v>
      </c>
      <c r="X48" s="200">
        <f>IFERROR(SUMPRODUCT(X43:X46*H43:H46),"0")</f>
        <v>60</v>
      </c>
      <c r="Y48" s="200">
        <f>IFERROR(SUMPRODUCT(Y43:Y46*H43:H46),"0")</f>
        <v>60</v>
      </c>
      <c r="Z48" s="37"/>
      <c r="AA48" s="201"/>
      <c r="AB48" s="201"/>
      <c r="AC48" s="201"/>
    </row>
    <row r="49" spans="1:68" ht="16.5" customHeight="1" x14ac:dyDescent="0.25">
      <c r="A49" s="214" t="s">
        <v>105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2"/>
      <c r="AB49" s="192"/>
      <c r="AC49" s="192"/>
    </row>
    <row r="50" spans="1:68" ht="14.25" customHeight="1" x14ac:dyDescent="0.25">
      <c r="A50" s="215" t="s">
        <v>63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1"/>
      <c r="AB50" s="191"/>
      <c r="AC50" s="191"/>
    </row>
    <row r="51" spans="1:68" ht="27" customHeight="1" x14ac:dyDescent="0.25">
      <c r="A51" s="54" t="s">
        <v>106</v>
      </c>
      <c r="B51" s="54" t="s">
        <v>107</v>
      </c>
      <c r="C51" s="31">
        <v>4301070989</v>
      </c>
      <c r="D51" s="205">
        <v>4607111037190</v>
      </c>
      <c r="E51" s="206"/>
      <c r="F51" s="197">
        <v>0.43</v>
      </c>
      <c r="G51" s="32">
        <v>16</v>
      </c>
      <c r="H51" s="197">
        <v>6.88</v>
      </c>
      <c r="I51" s="197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3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3"/>
      <c r="R51" s="203"/>
      <c r="S51" s="203"/>
      <c r="T51" s="204"/>
      <c r="U51" s="34"/>
      <c r="V51" s="34"/>
      <c r="W51" s="35" t="s">
        <v>69</v>
      </c>
      <c r="X51" s="198">
        <v>0</v>
      </c>
      <c r="Y51" s="19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108</v>
      </c>
      <c r="B52" s="54" t="s">
        <v>109</v>
      </c>
      <c r="C52" s="31">
        <v>4301071032</v>
      </c>
      <c r="D52" s="205">
        <v>4607111038999</v>
      </c>
      <c r="E52" s="206"/>
      <c r="F52" s="197">
        <v>0.4</v>
      </c>
      <c r="G52" s="32">
        <v>16</v>
      </c>
      <c r="H52" s="197">
        <v>6.4</v>
      </c>
      <c r="I52" s="197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8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3"/>
      <c r="R52" s="203"/>
      <c r="S52" s="203"/>
      <c r="T52" s="204"/>
      <c r="U52" s="34"/>
      <c r="V52" s="34"/>
      <c r="W52" s="35" t="s">
        <v>69</v>
      </c>
      <c r="X52" s="198">
        <v>0</v>
      </c>
      <c r="Y52" s="199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5">
        <v>4607111037183</v>
      </c>
      <c r="E53" s="206"/>
      <c r="F53" s="197">
        <v>0.9</v>
      </c>
      <c r="G53" s="32">
        <v>8</v>
      </c>
      <c r="H53" s="197">
        <v>7.2</v>
      </c>
      <c r="I53" s="197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0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3"/>
      <c r="R53" s="203"/>
      <c r="S53" s="203"/>
      <c r="T53" s="204"/>
      <c r="U53" s="34"/>
      <c r="V53" s="34"/>
      <c r="W53" s="35" t="s">
        <v>69</v>
      </c>
      <c r="X53" s="198">
        <v>0</v>
      </c>
      <c r="Y53" s="199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4301071044</v>
      </c>
      <c r="D54" s="205">
        <v>4607111039385</v>
      </c>
      <c r="E54" s="206"/>
      <c r="F54" s="197">
        <v>0.7</v>
      </c>
      <c r="G54" s="32">
        <v>10</v>
      </c>
      <c r="H54" s="197">
        <v>7</v>
      </c>
      <c r="I54" s="197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3"/>
      <c r="R54" s="203"/>
      <c r="S54" s="203"/>
      <c r="T54" s="204"/>
      <c r="U54" s="34"/>
      <c r="V54" s="34"/>
      <c r="W54" s="35" t="s">
        <v>69</v>
      </c>
      <c r="X54" s="198">
        <v>0</v>
      </c>
      <c r="Y54" s="199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4301070970</v>
      </c>
      <c r="D55" s="205">
        <v>4607111037091</v>
      </c>
      <c r="E55" s="206"/>
      <c r="F55" s="197">
        <v>0.43</v>
      </c>
      <c r="G55" s="32">
        <v>16</v>
      </c>
      <c r="H55" s="197">
        <v>6.88</v>
      </c>
      <c r="I55" s="197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9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3"/>
      <c r="R55" s="203"/>
      <c r="S55" s="203"/>
      <c r="T55" s="204"/>
      <c r="U55" s="34"/>
      <c r="V55" s="34"/>
      <c r="W55" s="35" t="s">
        <v>69</v>
      </c>
      <c r="X55" s="198">
        <v>0</v>
      </c>
      <c r="Y55" s="199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4301071045</v>
      </c>
      <c r="D56" s="205">
        <v>4607111039392</v>
      </c>
      <c r="E56" s="206"/>
      <c r="F56" s="197">
        <v>0.4</v>
      </c>
      <c r="G56" s="32">
        <v>16</v>
      </c>
      <c r="H56" s="197">
        <v>6.4</v>
      </c>
      <c r="I56" s="197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38" t="s">
        <v>118</v>
      </c>
      <c r="Q56" s="203"/>
      <c r="R56" s="203"/>
      <c r="S56" s="203"/>
      <c r="T56" s="204"/>
      <c r="U56" s="34"/>
      <c r="V56" s="34"/>
      <c r="W56" s="35" t="s">
        <v>69</v>
      </c>
      <c r="X56" s="198">
        <v>0</v>
      </c>
      <c r="Y56" s="199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5">
        <v>4607111036902</v>
      </c>
      <c r="E57" s="206"/>
      <c r="F57" s="197">
        <v>0.9</v>
      </c>
      <c r="G57" s="32">
        <v>8</v>
      </c>
      <c r="H57" s="197">
        <v>7.2</v>
      </c>
      <c r="I57" s="197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3"/>
      <c r="R57" s="203"/>
      <c r="S57" s="203"/>
      <c r="T57" s="204"/>
      <c r="U57" s="34"/>
      <c r="V57" s="34"/>
      <c r="W57" s="35" t="s">
        <v>69</v>
      </c>
      <c r="X57" s="198">
        <v>0</v>
      </c>
      <c r="Y57" s="199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121</v>
      </c>
      <c r="B58" s="54" t="s">
        <v>122</v>
      </c>
      <c r="C58" s="31">
        <v>4301071031</v>
      </c>
      <c r="D58" s="205">
        <v>4607111038982</v>
      </c>
      <c r="E58" s="206"/>
      <c r="F58" s="197">
        <v>0.7</v>
      </c>
      <c r="G58" s="32">
        <v>10</v>
      </c>
      <c r="H58" s="197">
        <v>7</v>
      </c>
      <c r="I58" s="197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3"/>
      <c r="R58" s="203"/>
      <c r="S58" s="203"/>
      <c r="T58" s="204"/>
      <c r="U58" s="34"/>
      <c r="V58" s="34"/>
      <c r="W58" s="35" t="s">
        <v>69</v>
      </c>
      <c r="X58" s="198">
        <v>0</v>
      </c>
      <c r="Y58" s="199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4301070969</v>
      </c>
      <c r="D59" s="205">
        <v>4607111036858</v>
      </c>
      <c r="E59" s="206"/>
      <c r="F59" s="197">
        <v>0.43</v>
      </c>
      <c r="G59" s="32">
        <v>16</v>
      </c>
      <c r="H59" s="197">
        <v>6.88</v>
      </c>
      <c r="I59" s="197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3"/>
      <c r="R59" s="203"/>
      <c r="S59" s="203"/>
      <c r="T59" s="204"/>
      <c r="U59" s="34"/>
      <c r="V59" s="34"/>
      <c r="W59" s="35" t="s">
        <v>69</v>
      </c>
      <c r="X59" s="198">
        <v>0</v>
      </c>
      <c r="Y59" s="199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125</v>
      </c>
      <c r="B60" s="54" t="s">
        <v>126</v>
      </c>
      <c r="C60" s="31">
        <v>4301071046</v>
      </c>
      <c r="D60" s="205">
        <v>4607111039354</v>
      </c>
      <c r="E60" s="206"/>
      <c r="F60" s="197">
        <v>0.4</v>
      </c>
      <c r="G60" s="32">
        <v>16</v>
      </c>
      <c r="H60" s="197">
        <v>6.4</v>
      </c>
      <c r="I60" s="197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3"/>
      <c r="R60" s="203"/>
      <c r="S60" s="203"/>
      <c r="T60" s="204"/>
      <c r="U60" s="34"/>
      <c r="V60" s="34"/>
      <c r="W60" s="35" t="s">
        <v>69</v>
      </c>
      <c r="X60" s="198">
        <v>0</v>
      </c>
      <c r="Y60" s="199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127</v>
      </c>
      <c r="B61" s="54" t="s">
        <v>128</v>
      </c>
      <c r="C61" s="31">
        <v>4301070968</v>
      </c>
      <c r="D61" s="205">
        <v>4607111036889</v>
      </c>
      <c r="E61" s="206"/>
      <c r="F61" s="197">
        <v>0.9</v>
      </c>
      <c r="G61" s="32">
        <v>8</v>
      </c>
      <c r="H61" s="197">
        <v>7.2</v>
      </c>
      <c r="I61" s="197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3"/>
      <c r="R61" s="203"/>
      <c r="S61" s="203"/>
      <c r="T61" s="204"/>
      <c r="U61" s="34"/>
      <c r="V61" s="34"/>
      <c r="W61" s="35" t="s">
        <v>69</v>
      </c>
      <c r="X61" s="198">
        <v>0</v>
      </c>
      <c r="Y61" s="199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129</v>
      </c>
      <c r="B62" s="54" t="s">
        <v>130</v>
      </c>
      <c r="C62" s="31">
        <v>4301071047</v>
      </c>
      <c r="D62" s="205">
        <v>4607111039330</v>
      </c>
      <c r="E62" s="206"/>
      <c r="F62" s="197">
        <v>0.7</v>
      </c>
      <c r="G62" s="32">
        <v>10</v>
      </c>
      <c r="H62" s="197">
        <v>7</v>
      </c>
      <c r="I62" s="197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3"/>
      <c r="R62" s="203"/>
      <c r="S62" s="203"/>
      <c r="T62" s="204"/>
      <c r="U62" s="34"/>
      <c r="V62" s="34"/>
      <c r="W62" s="35" t="s">
        <v>69</v>
      </c>
      <c r="X62" s="198">
        <v>0</v>
      </c>
      <c r="Y62" s="199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0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2"/>
      <c r="P63" s="218" t="s">
        <v>71</v>
      </c>
      <c r="Q63" s="219"/>
      <c r="R63" s="219"/>
      <c r="S63" s="219"/>
      <c r="T63" s="219"/>
      <c r="U63" s="219"/>
      <c r="V63" s="220"/>
      <c r="W63" s="37" t="s">
        <v>69</v>
      </c>
      <c r="X63" s="200">
        <f>IFERROR(SUM(X51:X62),"0")</f>
        <v>0</v>
      </c>
      <c r="Y63" s="200">
        <f>IFERROR(SUM(Y51:Y62),"0")</f>
        <v>0</v>
      </c>
      <c r="Z63" s="20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201"/>
      <c r="AB63" s="201"/>
      <c r="AC63" s="201"/>
    </row>
    <row r="64" spans="1:68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2"/>
      <c r="P64" s="218" t="s">
        <v>71</v>
      </c>
      <c r="Q64" s="219"/>
      <c r="R64" s="219"/>
      <c r="S64" s="219"/>
      <c r="T64" s="219"/>
      <c r="U64" s="219"/>
      <c r="V64" s="220"/>
      <c r="W64" s="37" t="s">
        <v>72</v>
      </c>
      <c r="X64" s="200">
        <f>IFERROR(SUMPRODUCT(X51:X62*H51:H62),"0")</f>
        <v>0</v>
      </c>
      <c r="Y64" s="200">
        <f>IFERROR(SUMPRODUCT(Y51:Y62*H51:H62),"0")</f>
        <v>0</v>
      </c>
      <c r="Z64" s="37"/>
      <c r="AA64" s="201"/>
      <c r="AB64" s="201"/>
      <c r="AC64" s="201"/>
    </row>
    <row r="65" spans="1:68" ht="16.5" customHeight="1" x14ac:dyDescent="0.25">
      <c r="A65" s="214" t="s">
        <v>131</v>
      </c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192"/>
      <c r="AB65" s="192"/>
      <c r="AC65" s="192"/>
    </row>
    <row r="66" spans="1:68" ht="14.25" customHeight="1" x14ac:dyDescent="0.25">
      <c r="A66" s="215" t="s">
        <v>63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1"/>
      <c r="AB66" s="191"/>
      <c r="AC66" s="191"/>
    </row>
    <row r="67" spans="1:68" ht="27" customHeight="1" x14ac:dyDescent="0.25">
      <c r="A67" s="54" t="s">
        <v>132</v>
      </c>
      <c r="B67" s="54" t="s">
        <v>133</v>
      </c>
      <c r="C67" s="31">
        <v>4301070977</v>
      </c>
      <c r="D67" s="205">
        <v>4607111037411</v>
      </c>
      <c r="E67" s="206"/>
      <c r="F67" s="197">
        <v>2.7</v>
      </c>
      <c r="G67" s="32">
        <v>1</v>
      </c>
      <c r="H67" s="197">
        <v>2.7</v>
      </c>
      <c r="I67" s="197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3"/>
      <c r="R67" s="203"/>
      <c r="S67" s="203"/>
      <c r="T67" s="204"/>
      <c r="U67" s="34"/>
      <c r="V67" s="34"/>
      <c r="W67" s="35" t="s">
        <v>69</v>
      </c>
      <c r="X67" s="198">
        <v>0</v>
      </c>
      <c r="Y67" s="199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5">
        <v>4607111036728</v>
      </c>
      <c r="E68" s="206"/>
      <c r="F68" s="197">
        <v>5</v>
      </c>
      <c r="G68" s="32">
        <v>1</v>
      </c>
      <c r="H68" s="197">
        <v>5</v>
      </c>
      <c r="I68" s="197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3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3"/>
      <c r="R68" s="203"/>
      <c r="S68" s="203"/>
      <c r="T68" s="204"/>
      <c r="U68" s="34"/>
      <c r="V68" s="34"/>
      <c r="W68" s="35" t="s">
        <v>69</v>
      </c>
      <c r="X68" s="198">
        <v>288</v>
      </c>
      <c r="Y68" s="199">
        <f>IFERROR(IF(X68="","",X68),"")</f>
        <v>288</v>
      </c>
      <c r="Z68" s="36">
        <f>IFERROR(IF(X68="","",X68*0.00866),"")</f>
        <v>2.4940799999999999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1501.4015999999999</v>
      </c>
      <c r="BN68" s="67">
        <f>IFERROR(Y68*I68,"0")</f>
        <v>1501.4015999999999</v>
      </c>
      <c r="BO68" s="67">
        <f>IFERROR(X68/J68,"0")</f>
        <v>2</v>
      </c>
      <c r="BP68" s="67">
        <f>IFERROR(Y68/J68,"0")</f>
        <v>2</v>
      </c>
    </row>
    <row r="69" spans="1:68" x14ac:dyDescent="0.2">
      <c r="A69" s="210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2"/>
      <c r="P69" s="218" t="s">
        <v>71</v>
      </c>
      <c r="Q69" s="219"/>
      <c r="R69" s="219"/>
      <c r="S69" s="219"/>
      <c r="T69" s="219"/>
      <c r="U69" s="219"/>
      <c r="V69" s="220"/>
      <c r="W69" s="37" t="s">
        <v>69</v>
      </c>
      <c r="X69" s="200">
        <f>IFERROR(SUM(X67:X68),"0")</f>
        <v>288</v>
      </c>
      <c r="Y69" s="200">
        <f>IFERROR(SUM(Y67:Y68),"0")</f>
        <v>288</v>
      </c>
      <c r="Z69" s="200">
        <f>IFERROR(IF(Z67="",0,Z67),"0")+IFERROR(IF(Z68="",0,Z68),"0")</f>
        <v>2.4940799999999999</v>
      </c>
      <c r="AA69" s="201"/>
      <c r="AB69" s="201"/>
      <c r="AC69" s="201"/>
    </row>
    <row r="70" spans="1:68" x14ac:dyDescent="0.2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2"/>
      <c r="P70" s="218" t="s">
        <v>71</v>
      </c>
      <c r="Q70" s="219"/>
      <c r="R70" s="219"/>
      <c r="S70" s="219"/>
      <c r="T70" s="219"/>
      <c r="U70" s="219"/>
      <c r="V70" s="220"/>
      <c r="W70" s="37" t="s">
        <v>72</v>
      </c>
      <c r="X70" s="200">
        <f>IFERROR(SUMPRODUCT(X67:X68*H67:H68),"0")</f>
        <v>1440</v>
      </c>
      <c r="Y70" s="200">
        <f>IFERROR(SUMPRODUCT(Y67:Y68*H67:H68),"0")</f>
        <v>1440</v>
      </c>
      <c r="Z70" s="37"/>
      <c r="AA70" s="201"/>
      <c r="AB70" s="201"/>
      <c r="AC70" s="201"/>
    </row>
    <row r="71" spans="1:68" ht="16.5" customHeight="1" x14ac:dyDescent="0.25">
      <c r="A71" s="214" t="s">
        <v>137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192"/>
      <c r="AB71" s="192"/>
      <c r="AC71" s="192"/>
    </row>
    <row r="72" spans="1:68" ht="14.25" customHeight="1" x14ac:dyDescent="0.25">
      <c r="A72" s="215" t="s">
        <v>138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1"/>
      <c r="AB72" s="191"/>
      <c r="AC72" s="191"/>
    </row>
    <row r="73" spans="1:68" ht="27" customHeight="1" x14ac:dyDescent="0.25">
      <c r="A73" s="54" t="s">
        <v>139</v>
      </c>
      <c r="B73" s="54" t="s">
        <v>140</v>
      </c>
      <c r="C73" s="31">
        <v>4301135271</v>
      </c>
      <c r="D73" s="205">
        <v>4607111033659</v>
      </c>
      <c r="E73" s="206"/>
      <c r="F73" s="197">
        <v>0.3</v>
      </c>
      <c r="G73" s="32">
        <v>12</v>
      </c>
      <c r="H73" s="197">
        <v>3.6</v>
      </c>
      <c r="I73" s="197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20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3"/>
      <c r="R73" s="203"/>
      <c r="S73" s="203"/>
      <c r="T73" s="204"/>
      <c r="U73" s="34"/>
      <c r="V73" s="34"/>
      <c r="W73" s="35" t="s">
        <v>69</v>
      </c>
      <c r="X73" s="198">
        <v>28</v>
      </c>
      <c r="Y73" s="199">
        <f>IFERROR(IF(X73="","",X73),"")</f>
        <v>28</v>
      </c>
      <c r="Z73" s="36">
        <f>IFERROR(IF(X73="","",X73*0.01788),"")</f>
        <v>0.50063999999999997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120.50080000000001</v>
      </c>
      <c r="BN73" s="67">
        <f>IFERROR(Y73*I73,"0")</f>
        <v>120.50080000000001</v>
      </c>
      <c r="BO73" s="67">
        <f>IFERROR(X73/J73,"0")</f>
        <v>0.4</v>
      </c>
      <c r="BP73" s="67">
        <f>IFERROR(Y73/J73,"0")</f>
        <v>0.4</v>
      </c>
    </row>
    <row r="74" spans="1:68" x14ac:dyDescent="0.2">
      <c r="A74" s="210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2"/>
      <c r="P74" s="218" t="s">
        <v>71</v>
      </c>
      <c r="Q74" s="219"/>
      <c r="R74" s="219"/>
      <c r="S74" s="219"/>
      <c r="T74" s="219"/>
      <c r="U74" s="219"/>
      <c r="V74" s="220"/>
      <c r="W74" s="37" t="s">
        <v>69</v>
      </c>
      <c r="X74" s="200">
        <f>IFERROR(SUM(X73:X73),"0")</f>
        <v>28</v>
      </c>
      <c r="Y74" s="200">
        <f>IFERROR(SUM(Y73:Y73),"0")</f>
        <v>28</v>
      </c>
      <c r="Z74" s="200">
        <f>IFERROR(IF(Z73="",0,Z73),"0")</f>
        <v>0.50063999999999997</v>
      </c>
      <c r="AA74" s="201"/>
      <c r="AB74" s="201"/>
      <c r="AC74" s="201"/>
    </row>
    <row r="75" spans="1:68" x14ac:dyDescent="0.2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2"/>
      <c r="P75" s="218" t="s">
        <v>71</v>
      </c>
      <c r="Q75" s="219"/>
      <c r="R75" s="219"/>
      <c r="S75" s="219"/>
      <c r="T75" s="219"/>
      <c r="U75" s="219"/>
      <c r="V75" s="220"/>
      <c r="W75" s="37" t="s">
        <v>72</v>
      </c>
      <c r="X75" s="200">
        <f>IFERROR(SUMPRODUCT(X73:X73*H73:H73),"0")</f>
        <v>100.8</v>
      </c>
      <c r="Y75" s="200">
        <f>IFERROR(SUMPRODUCT(Y73:Y73*H73:H73),"0")</f>
        <v>100.8</v>
      </c>
      <c r="Z75" s="37"/>
      <c r="AA75" s="201"/>
      <c r="AB75" s="201"/>
      <c r="AC75" s="201"/>
    </row>
    <row r="76" spans="1:68" ht="16.5" customHeight="1" x14ac:dyDescent="0.25">
      <c r="A76" s="214" t="s">
        <v>141</v>
      </c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192"/>
      <c r="AB76" s="192"/>
      <c r="AC76" s="192"/>
    </row>
    <row r="77" spans="1:68" ht="14.25" customHeight="1" x14ac:dyDescent="0.25">
      <c r="A77" s="215" t="s">
        <v>142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1"/>
      <c r="AB77" s="191"/>
      <c r="AC77" s="191"/>
    </row>
    <row r="78" spans="1:68" ht="27" customHeight="1" x14ac:dyDescent="0.25">
      <c r="A78" s="54" t="s">
        <v>143</v>
      </c>
      <c r="B78" s="54" t="s">
        <v>144</v>
      </c>
      <c r="C78" s="31">
        <v>4301131021</v>
      </c>
      <c r="D78" s="205">
        <v>4607111034137</v>
      </c>
      <c r="E78" s="206"/>
      <c r="F78" s="197">
        <v>0.3</v>
      </c>
      <c r="G78" s="32">
        <v>12</v>
      </c>
      <c r="H78" s="197">
        <v>3.6</v>
      </c>
      <c r="I78" s="197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28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3"/>
      <c r="R78" s="203"/>
      <c r="S78" s="203"/>
      <c r="T78" s="204"/>
      <c r="U78" s="34"/>
      <c r="V78" s="34"/>
      <c r="W78" s="35" t="s">
        <v>69</v>
      </c>
      <c r="X78" s="198">
        <v>70</v>
      </c>
      <c r="Y78" s="199">
        <f>IFERROR(IF(X78="","",X78),"")</f>
        <v>70</v>
      </c>
      <c r="Z78" s="36">
        <f>IFERROR(IF(X78="","",X78*0.01788),"")</f>
        <v>1.2516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301.25200000000001</v>
      </c>
      <c r="BN78" s="67">
        <f>IFERROR(Y78*I78,"0")</f>
        <v>301.25200000000001</v>
      </c>
      <c r="BO78" s="67">
        <f>IFERROR(X78/J78,"0")</f>
        <v>1</v>
      </c>
      <c r="BP78" s="67">
        <f>IFERROR(Y78/J78,"0")</f>
        <v>1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5">
        <v>4607111034120</v>
      </c>
      <c r="E79" s="206"/>
      <c r="F79" s="197">
        <v>0.3</v>
      </c>
      <c r="G79" s="32">
        <v>12</v>
      </c>
      <c r="H79" s="197">
        <v>3.6</v>
      </c>
      <c r="I79" s="197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2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3"/>
      <c r="R79" s="203"/>
      <c r="S79" s="203"/>
      <c r="T79" s="204"/>
      <c r="U79" s="34"/>
      <c r="V79" s="34"/>
      <c r="W79" s="35" t="s">
        <v>69</v>
      </c>
      <c r="X79" s="198">
        <v>42</v>
      </c>
      <c r="Y79" s="199">
        <f>IFERROR(IF(X79="","",X79),"")</f>
        <v>42</v>
      </c>
      <c r="Z79" s="36">
        <f>IFERROR(IF(X79="","",X79*0.01788),"")</f>
        <v>0.75095999999999996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x14ac:dyDescent="0.2">
      <c r="A80" s="210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2"/>
      <c r="P80" s="218" t="s">
        <v>71</v>
      </c>
      <c r="Q80" s="219"/>
      <c r="R80" s="219"/>
      <c r="S80" s="219"/>
      <c r="T80" s="219"/>
      <c r="U80" s="219"/>
      <c r="V80" s="220"/>
      <c r="W80" s="37" t="s">
        <v>69</v>
      </c>
      <c r="X80" s="200">
        <f>IFERROR(SUM(X78:X79),"0")</f>
        <v>112</v>
      </c>
      <c r="Y80" s="200">
        <f>IFERROR(SUM(Y78:Y79),"0")</f>
        <v>112</v>
      </c>
      <c r="Z80" s="200">
        <f>IFERROR(IF(Z78="",0,Z78),"0")+IFERROR(IF(Z79="",0,Z79),"0")</f>
        <v>2.0025599999999999</v>
      </c>
      <c r="AA80" s="201"/>
      <c r="AB80" s="201"/>
      <c r="AC80" s="201"/>
    </row>
    <row r="81" spans="1:68" x14ac:dyDescent="0.2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2"/>
      <c r="P81" s="218" t="s">
        <v>71</v>
      </c>
      <c r="Q81" s="219"/>
      <c r="R81" s="219"/>
      <c r="S81" s="219"/>
      <c r="T81" s="219"/>
      <c r="U81" s="219"/>
      <c r="V81" s="220"/>
      <c r="W81" s="37" t="s">
        <v>72</v>
      </c>
      <c r="X81" s="200">
        <f>IFERROR(SUMPRODUCT(X78:X79*H78:H79),"0")</f>
        <v>403.20000000000005</v>
      </c>
      <c r="Y81" s="200">
        <f>IFERROR(SUMPRODUCT(Y78:Y79*H78:H79),"0")</f>
        <v>403.20000000000005</v>
      </c>
      <c r="Z81" s="37"/>
      <c r="AA81" s="201"/>
      <c r="AB81" s="201"/>
      <c r="AC81" s="201"/>
    </row>
    <row r="82" spans="1:68" ht="16.5" customHeight="1" x14ac:dyDescent="0.25">
      <c r="A82" s="214" t="s">
        <v>147</v>
      </c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192"/>
      <c r="AB82" s="192"/>
      <c r="AC82" s="192"/>
    </row>
    <row r="83" spans="1:68" ht="14.25" customHeight="1" x14ac:dyDescent="0.25">
      <c r="A83" s="215" t="s">
        <v>138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1"/>
      <c r="AB83" s="191"/>
      <c r="AC83" s="191"/>
    </row>
    <row r="84" spans="1:68" ht="27" customHeight="1" x14ac:dyDescent="0.25">
      <c r="A84" s="54" t="s">
        <v>148</v>
      </c>
      <c r="B84" s="54" t="s">
        <v>149</v>
      </c>
      <c r="C84" s="31">
        <v>4301135285</v>
      </c>
      <c r="D84" s="205">
        <v>4607111036407</v>
      </c>
      <c r="E84" s="206"/>
      <c r="F84" s="197">
        <v>0.3</v>
      </c>
      <c r="G84" s="32">
        <v>14</v>
      </c>
      <c r="H84" s="197">
        <v>4.2</v>
      </c>
      <c r="I84" s="197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3"/>
      <c r="R84" s="203"/>
      <c r="S84" s="203"/>
      <c r="T84" s="204"/>
      <c r="U84" s="34"/>
      <c r="V84" s="34"/>
      <c r="W84" s="35" t="s">
        <v>69</v>
      </c>
      <c r="X84" s="198">
        <v>0</v>
      </c>
      <c r="Y84" s="199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4301135286</v>
      </c>
      <c r="D85" s="205">
        <v>4607111033628</v>
      </c>
      <c r="E85" s="206"/>
      <c r="F85" s="197">
        <v>0.3</v>
      </c>
      <c r="G85" s="32">
        <v>12</v>
      </c>
      <c r="H85" s="197">
        <v>3.6</v>
      </c>
      <c r="I85" s="197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3"/>
      <c r="R85" s="203"/>
      <c r="S85" s="203"/>
      <c r="T85" s="204"/>
      <c r="U85" s="34"/>
      <c r="V85" s="34"/>
      <c r="W85" s="35" t="s">
        <v>69</v>
      </c>
      <c r="X85" s="198">
        <v>0</v>
      </c>
      <c r="Y85" s="199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5">
        <v>4607111033451</v>
      </c>
      <c r="E86" s="206"/>
      <c r="F86" s="197">
        <v>0.3</v>
      </c>
      <c r="G86" s="32">
        <v>12</v>
      </c>
      <c r="H86" s="197">
        <v>3.6</v>
      </c>
      <c r="I86" s="197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3"/>
      <c r="R86" s="203"/>
      <c r="S86" s="203"/>
      <c r="T86" s="204"/>
      <c r="U86" s="34"/>
      <c r="V86" s="34"/>
      <c r="W86" s="35" t="s">
        <v>69</v>
      </c>
      <c r="X86" s="198">
        <v>56</v>
      </c>
      <c r="Y86" s="199">
        <f t="shared" si="6"/>
        <v>56</v>
      </c>
      <c r="Z86" s="36">
        <f t="shared" si="7"/>
        <v>1.0012799999999999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241.00160000000002</v>
      </c>
      <c r="BN86" s="67">
        <f t="shared" si="9"/>
        <v>241.00160000000002</v>
      </c>
      <c r="BO86" s="67">
        <f t="shared" si="10"/>
        <v>0.8</v>
      </c>
      <c r="BP86" s="67">
        <f t="shared" si="11"/>
        <v>0.8</v>
      </c>
    </row>
    <row r="87" spans="1:68" ht="27" customHeight="1" x14ac:dyDescent="0.25">
      <c r="A87" s="54" t="s">
        <v>154</v>
      </c>
      <c r="B87" s="54" t="s">
        <v>155</v>
      </c>
      <c r="C87" s="31">
        <v>4301135295</v>
      </c>
      <c r="D87" s="205">
        <v>4607111035141</v>
      </c>
      <c r="E87" s="206"/>
      <c r="F87" s="197">
        <v>0.3</v>
      </c>
      <c r="G87" s="32">
        <v>12</v>
      </c>
      <c r="H87" s="197">
        <v>3.6</v>
      </c>
      <c r="I87" s="197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3"/>
      <c r="R87" s="203"/>
      <c r="S87" s="203"/>
      <c r="T87" s="204"/>
      <c r="U87" s="34"/>
      <c r="V87" s="34"/>
      <c r="W87" s="35" t="s">
        <v>69</v>
      </c>
      <c r="X87" s="198">
        <v>0</v>
      </c>
      <c r="Y87" s="199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5">
        <v>4607111033444</v>
      </c>
      <c r="E88" s="206"/>
      <c r="F88" s="197">
        <v>0.3</v>
      </c>
      <c r="G88" s="32">
        <v>12</v>
      </c>
      <c r="H88" s="197">
        <v>3.6</v>
      </c>
      <c r="I88" s="197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3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3"/>
      <c r="R88" s="203"/>
      <c r="S88" s="203"/>
      <c r="T88" s="204"/>
      <c r="U88" s="34"/>
      <c r="V88" s="34"/>
      <c r="W88" s="35" t="s">
        <v>69</v>
      </c>
      <c r="X88" s="198">
        <v>126</v>
      </c>
      <c r="Y88" s="199">
        <f t="shared" si="6"/>
        <v>126</v>
      </c>
      <c r="Z88" s="36">
        <f t="shared" si="7"/>
        <v>2.2528800000000002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542.25360000000001</v>
      </c>
      <c r="BN88" s="67">
        <f t="shared" si="9"/>
        <v>542.25360000000001</v>
      </c>
      <c r="BO88" s="67">
        <f t="shared" si="10"/>
        <v>1.8</v>
      </c>
      <c r="BP88" s="67">
        <f t="shared" si="11"/>
        <v>1.8</v>
      </c>
    </row>
    <row r="89" spans="1:68" ht="27" customHeight="1" x14ac:dyDescent="0.25">
      <c r="A89" s="54" t="s">
        <v>158</v>
      </c>
      <c r="B89" s="54" t="s">
        <v>159</v>
      </c>
      <c r="C89" s="31">
        <v>4301135290</v>
      </c>
      <c r="D89" s="205">
        <v>4607111035028</v>
      </c>
      <c r="E89" s="206"/>
      <c r="F89" s="197">
        <v>0.48</v>
      </c>
      <c r="G89" s="32">
        <v>8</v>
      </c>
      <c r="H89" s="197">
        <v>3.84</v>
      </c>
      <c r="I89" s="197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3"/>
      <c r="R89" s="203"/>
      <c r="S89" s="203"/>
      <c r="T89" s="204"/>
      <c r="U89" s="34"/>
      <c r="V89" s="34"/>
      <c r="W89" s="35" t="s">
        <v>69</v>
      </c>
      <c r="X89" s="198">
        <v>0</v>
      </c>
      <c r="Y89" s="199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0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2"/>
      <c r="P90" s="218" t="s">
        <v>71</v>
      </c>
      <c r="Q90" s="219"/>
      <c r="R90" s="219"/>
      <c r="S90" s="219"/>
      <c r="T90" s="219"/>
      <c r="U90" s="219"/>
      <c r="V90" s="220"/>
      <c r="W90" s="37" t="s">
        <v>69</v>
      </c>
      <c r="X90" s="200">
        <f>IFERROR(SUM(X84:X89),"0")</f>
        <v>182</v>
      </c>
      <c r="Y90" s="200">
        <f>IFERROR(SUM(Y84:Y89),"0")</f>
        <v>182</v>
      </c>
      <c r="Z90" s="200">
        <f>IFERROR(IF(Z84="",0,Z84),"0")+IFERROR(IF(Z85="",0,Z85),"0")+IFERROR(IF(Z86="",0,Z86),"0")+IFERROR(IF(Z87="",0,Z87),"0")+IFERROR(IF(Z88="",0,Z88),"0")+IFERROR(IF(Z89="",0,Z89),"0")</f>
        <v>3.2541600000000002</v>
      </c>
      <c r="AA90" s="201"/>
      <c r="AB90" s="201"/>
      <c r="AC90" s="201"/>
    </row>
    <row r="91" spans="1:68" x14ac:dyDescent="0.2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2"/>
      <c r="P91" s="218" t="s">
        <v>71</v>
      </c>
      <c r="Q91" s="219"/>
      <c r="R91" s="219"/>
      <c r="S91" s="219"/>
      <c r="T91" s="219"/>
      <c r="U91" s="219"/>
      <c r="V91" s="220"/>
      <c r="W91" s="37" t="s">
        <v>72</v>
      </c>
      <c r="X91" s="200">
        <f>IFERROR(SUMPRODUCT(X84:X89*H84:H89),"0")</f>
        <v>655.20000000000005</v>
      </c>
      <c r="Y91" s="200">
        <f>IFERROR(SUMPRODUCT(Y84:Y89*H84:H89),"0")</f>
        <v>655.20000000000005</v>
      </c>
      <c r="Z91" s="37"/>
      <c r="AA91" s="201"/>
      <c r="AB91" s="201"/>
      <c r="AC91" s="201"/>
    </row>
    <row r="92" spans="1:68" ht="16.5" customHeight="1" x14ac:dyDescent="0.25">
      <c r="A92" s="214" t="s">
        <v>160</v>
      </c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192"/>
      <c r="AB92" s="192"/>
      <c r="AC92" s="192"/>
    </row>
    <row r="93" spans="1:68" ht="14.25" customHeight="1" x14ac:dyDescent="0.25">
      <c r="A93" s="215" t="s">
        <v>161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1"/>
      <c r="AB93" s="191"/>
      <c r="AC93" s="191"/>
    </row>
    <row r="94" spans="1:68" ht="27" customHeight="1" x14ac:dyDescent="0.25">
      <c r="A94" s="54" t="s">
        <v>162</v>
      </c>
      <c r="B94" s="54" t="s">
        <v>163</v>
      </c>
      <c r="C94" s="31">
        <v>4301136042</v>
      </c>
      <c r="D94" s="205">
        <v>4607025784012</v>
      </c>
      <c r="E94" s="206"/>
      <c r="F94" s="197">
        <v>0.09</v>
      </c>
      <c r="G94" s="32">
        <v>24</v>
      </c>
      <c r="H94" s="197">
        <v>2.16</v>
      </c>
      <c r="I94" s="197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24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3"/>
      <c r="R94" s="203"/>
      <c r="S94" s="203"/>
      <c r="T94" s="204"/>
      <c r="U94" s="34"/>
      <c r="V94" s="34"/>
      <c r="W94" s="35" t="s">
        <v>69</v>
      </c>
      <c r="X94" s="198">
        <v>0</v>
      </c>
      <c r="Y94" s="199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4301136040</v>
      </c>
      <c r="D95" s="205">
        <v>4607025784319</v>
      </c>
      <c r="E95" s="206"/>
      <c r="F95" s="197">
        <v>0.36</v>
      </c>
      <c r="G95" s="32">
        <v>10</v>
      </c>
      <c r="H95" s="197">
        <v>3.6</v>
      </c>
      <c r="I95" s="197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5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3"/>
      <c r="R95" s="203"/>
      <c r="S95" s="203"/>
      <c r="T95" s="204"/>
      <c r="U95" s="34"/>
      <c r="V95" s="34"/>
      <c r="W95" s="35" t="s">
        <v>69</v>
      </c>
      <c r="X95" s="198">
        <v>0</v>
      </c>
      <c r="Y95" s="199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166</v>
      </c>
      <c r="B96" s="54" t="s">
        <v>167</v>
      </c>
      <c r="C96" s="31">
        <v>4301136039</v>
      </c>
      <c r="D96" s="205">
        <v>4607111035370</v>
      </c>
      <c r="E96" s="206"/>
      <c r="F96" s="197">
        <v>0.14000000000000001</v>
      </c>
      <c r="G96" s="32">
        <v>22</v>
      </c>
      <c r="H96" s="197">
        <v>3.08</v>
      </c>
      <c r="I96" s="197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3"/>
      <c r="R96" s="203"/>
      <c r="S96" s="203"/>
      <c r="T96" s="204"/>
      <c r="U96" s="34"/>
      <c r="V96" s="34"/>
      <c r="W96" s="35" t="s">
        <v>69</v>
      </c>
      <c r="X96" s="198">
        <v>0</v>
      </c>
      <c r="Y96" s="199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10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2"/>
      <c r="P97" s="218" t="s">
        <v>71</v>
      </c>
      <c r="Q97" s="219"/>
      <c r="R97" s="219"/>
      <c r="S97" s="219"/>
      <c r="T97" s="219"/>
      <c r="U97" s="219"/>
      <c r="V97" s="220"/>
      <c r="W97" s="37" t="s">
        <v>69</v>
      </c>
      <c r="X97" s="200">
        <f>IFERROR(SUM(X94:X96),"0")</f>
        <v>0</v>
      </c>
      <c r="Y97" s="200">
        <f>IFERROR(SUM(Y94:Y96),"0")</f>
        <v>0</v>
      </c>
      <c r="Z97" s="200">
        <f>IFERROR(IF(Z94="",0,Z94),"0")+IFERROR(IF(Z95="",0,Z95),"0")+IFERROR(IF(Z96="",0,Z96),"0")</f>
        <v>0</v>
      </c>
      <c r="AA97" s="201"/>
      <c r="AB97" s="201"/>
      <c r="AC97" s="201"/>
    </row>
    <row r="98" spans="1:68" x14ac:dyDescent="0.2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2"/>
      <c r="P98" s="218" t="s">
        <v>71</v>
      </c>
      <c r="Q98" s="219"/>
      <c r="R98" s="219"/>
      <c r="S98" s="219"/>
      <c r="T98" s="219"/>
      <c r="U98" s="219"/>
      <c r="V98" s="220"/>
      <c r="W98" s="37" t="s">
        <v>72</v>
      </c>
      <c r="X98" s="200">
        <f>IFERROR(SUMPRODUCT(X94:X96*H94:H96),"0")</f>
        <v>0</v>
      </c>
      <c r="Y98" s="200">
        <f>IFERROR(SUMPRODUCT(Y94:Y96*H94:H96),"0")</f>
        <v>0</v>
      </c>
      <c r="Z98" s="37"/>
      <c r="AA98" s="201"/>
      <c r="AB98" s="201"/>
      <c r="AC98" s="201"/>
    </row>
    <row r="99" spans="1:68" ht="16.5" customHeight="1" x14ac:dyDescent="0.25">
      <c r="A99" s="214" t="s">
        <v>168</v>
      </c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192"/>
      <c r="AB99" s="192"/>
      <c r="AC99" s="192"/>
    </row>
    <row r="100" spans="1:68" ht="14.25" customHeight="1" x14ac:dyDescent="0.25">
      <c r="A100" s="215" t="s">
        <v>63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1"/>
      <c r="AB100" s="191"/>
      <c r="AC100" s="191"/>
    </row>
    <row r="101" spans="1:68" ht="27" customHeight="1" x14ac:dyDescent="0.25">
      <c r="A101" s="54" t="s">
        <v>169</v>
      </c>
      <c r="B101" s="54" t="s">
        <v>170</v>
      </c>
      <c r="C101" s="31">
        <v>4301070975</v>
      </c>
      <c r="D101" s="205">
        <v>4607111033970</v>
      </c>
      <c r="E101" s="206"/>
      <c r="F101" s="197">
        <v>0.43</v>
      </c>
      <c r="G101" s="32">
        <v>16</v>
      </c>
      <c r="H101" s="197">
        <v>6.88</v>
      </c>
      <c r="I101" s="197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38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3"/>
      <c r="R101" s="203"/>
      <c r="S101" s="203"/>
      <c r="T101" s="204"/>
      <c r="U101" s="34"/>
      <c r="V101" s="34"/>
      <c r="W101" s="35" t="s">
        <v>69</v>
      </c>
      <c r="X101" s="198">
        <v>0</v>
      </c>
      <c r="Y101" s="199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172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173</v>
      </c>
      <c r="B102" s="54" t="s">
        <v>174</v>
      </c>
      <c r="C102" s="31">
        <v>4301071051</v>
      </c>
      <c r="D102" s="205">
        <v>4607111039262</v>
      </c>
      <c r="E102" s="206"/>
      <c r="F102" s="197">
        <v>0.4</v>
      </c>
      <c r="G102" s="32">
        <v>16</v>
      </c>
      <c r="H102" s="197">
        <v>6.4</v>
      </c>
      <c r="I102" s="197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3"/>
      <c r="R102" s="203"/>
      <c r="S102" s="203"/>
      <c r="T102" s="204"/>
      <c r="U102" s="34"/>
      <c r="V102" s="34"/>
      <c r="W102" s="35" t="s">
        <v>69</v>
      </c>
      <c r="X102" s="198">
        <v>0</v>
      </c>
      <c r="Y102" s="199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175</v>
      </c>
      <c r="B103" s="54" t="s">
        <v>176</v>
      </c>
      <c r="C103" s="31">
        <v>4301070976</v>
      </c>
      <c r="D103" s="205">
        <v>4607111034144</v>
      </c>
      <c r="E103" s="206"/>
      <c r="F103" s="197">
        <v>0.9</v>
      </c>
      <c r="G103" s="32">
        <v>8</v>
      </c>
      <c r="H103" s="197">
        <v>7.2</v>
      </c>
      <c r="I103" s="197">
        <v>7.4859999999999998</v>
      </c>
      <c r="J103" s="32">
        <v>84</v>
      </c>
      <c r="K103" s="32" t="s">
        <v>66</v>
      </c>
      <c r="L103" s="32" t="s">
        <v>177</v>
      </c>
      <c r="M103" s="33" t="s">
        <v>68</v>
      </c>
      <c r="N103" s="33"/>
      <c r="O103" s="32">
        <v>180</v>
      </c>
      <c r="P103" s="26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3"/>
      <c r="R103" s="203"/>
      <c r="S103" s="203"/>
      <c r="T103" s="204"/>
      <c r="U103" s="34"/>
      <c r="V103" s="34"/>
      <c r="W103" s="35" t="s">
        <v>69</v>
      </c>
      <c r="X103" s="198">
        <v>72</v>
      </c>
      <c r="Y103" s="199">
        <f t="shared" si="12"/>
        <v>72</v>
      </c>
      <c r="Z103" s="36">
        <f t="shared" si="13"/>
        <v>1.1160000000000001</v>
      </c>
      <c r="AA103" s="56"/>
      <c r="AB103" s="57"/>
      <c r="AC103" s="68"/>
      <c r="AG103" s="67"/>
      <c r="AJ103" s="69" t="s">
        <v>178</v>
      </c>
      <c r="AK103" s="69">
        <v>84</v>
      </c>
      <c r="BB103" s="110" t="s">
        <v>1</v>
      </c>
      <c r="BM103" s="67">
        <f t="shared" si="14"/>
        <v>538.99199999999996</v>
      </c>
      <c r="BN103" s="67">
        <f t="shared" si="15"/>
        <v>538.99199999999996</v>
      </c>
      <c r="BO103" s="67">
        <f t="shared" si="16"/>
        <v>0.8571428571428571</v>
      </c>
      <c r="BP103" s="67">
        <f t="shared" si="17"/>
        <v>0.8571428571428571</v>
      </c>
    </row>
    <row r="104" spans="1:68" ht="27" customHeight="1" x14ac:dyDescent="0.25">
      <c r="A104" s="54" t="s">
        <v>179</v>
      </c>
      <c r="B104" s="54" t="s">
        <v>180</v>
      </c>
      <c r="C104" s="31">
        <v>4301071038</v>
      </c>
      <c r="D104" s="205">
        <v>4607111039248</v>
      </c>
      <c r="E104" s="206"/>
      <c r="F104" s="197">
        <v>0.7</v>
      </c>
      <c r="G104" s="32">
        <v>10</v>
      </c>
      <c r="H104" s="197">
        <v>7</v>
      </c>
      <c r="I104" s="197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3"/>
      <c r="R104" s="203"/>
      <c r="S104" s="203"/>
      <c r="T104" s="204"/>
      <c r="U104" s="34"/>
      <c r="V104" s="34"/>
      <c r="W104" s="35" t="s">
        <v>69</v>
      </c>
      <c r="X104" s="198">
        <v>0</v>
      </c>
      <c r="Y104" s="199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4301070973</v>
      </c>
      <c r="D105" s="205">
        <v>4607111033987</v>
      </c>
      <c r="E105" s="206"/>
      <c r="F105" s="197">
        <v>0.43</v>
      </c>
      <c r="G105" s="32">
        <v>16</v>
      </c>
      <c r="H105" s="197">
        <v>6.88</v>
      </c>
      <c r="I105" s="197">
        <v>7.1996000000000002</v>
      </c>
      <c r="J105" s="32">
        <v>84</v>
      </c>
      <c r="K105" s="32" t="s">
        <v>66</v>
      </c>
      <c r="L105" s="32" t="s">
        <v>171</v>
      </c>
      <c r="M105" s="33" t="s">
        <v>68</v>
      </c>
      <c r="N105" s="33"/>
      <c r="O105" s="32">
        <v>180</v>
      </c>
      <c r="P105" s="37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3"/>
      <c r="R105" s="203"/>
      <c r="S105" s="203"/>
      <c r="T105" s="204"/>
      <c r="U105" s="34"/>
      <c r="V105" s="34"/>
      <c r="W105" s="35" t="s">
        <v>69</v>
      </c>
      <c r="X105" s="198">
        <v>0</v>
      </c>
      <c r="Y105" s="199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172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4301071049</v>
      </c>
      <c r="D106" s="205">
        <v>4607111039293</v>
      </c>
      <c r="E106" s="206"/>
      <c r="F106" s="197">
        <v>0.4</v>
      </c>
      <c r="G106" s="32">
        <v>16</v>
      </c>
      <c r="H106" s="197">
        <v>6.4</v>
      </c>
      <c r="I106" s="197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3"/>
      <c r="R106" s="203"/>
      <c r="S106" s="203"/>
      <c r="T106" s="204"/>
      <c r="U106" s="34"/>
      <c r="V106" s="34"/>
      <c r="W106" s="35" t="s">
        <v>69</v>
      </c>
      <c r="X106" s="198">
        <v>0</v>
      </c>
      <c r="Y106" s="199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5">
        <v>4607111034151</v>
      </c>
      <c r="E107" s="206"/>
      <c r="F107" s="197">
        <v>0.9</v>
      </c>
      <c r="G107" s="32">
        <v>8</v>
      </c>
      <c r="H107" s="197">
        <v>7.2</v>
      </c>
      <c r="I107" s="197">
        <v>7.4859999999999998</v>
      </c>
      <c r="J107" s="32">
        <v>84</v>
      </c>
      <c r="K107" s="32" t="s">
        <v>66</v>
      </c>
      <c r="L107" s="32" t="s">
        <v>177</v>
      </c>
      <c r="M107" s="33" t="s">
        <v>68</v>
      </c>
      <c r="N107" s="33"/>
      <c r="O107" s="32">
        <v>180</v>
      </c>
      <c r="P107" s="38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3"/>
      <c r="R107" s="203"/>
      <c r="S107" s="203"/>
      <c r="T107" s="204"/>
      <c r="U107" s="34"/>
      <c r="V107" s="34"/>
      <c r="W107" s="35" t="s">
        <v>69</v>
      </c>
      <c r="X107" s="198">
        <v>108</v>
      </c>
      <c r="Y107" s="199">
        <f t="shared" si="12"/>
        <v>108</v>
      </c>
      <c r="Z107" s="36">
        <f t="shared" si="13"/>
        <v>1.6739999999999999</v>
      </c>
      <c r="AA107" s="56"/>
      <c r="AB107" s="57"/>
      <c r="AC107" s="68"/>
      <c r="AG107" s="67"/>
      <c r="AJ107" s="69" t="s">
        <v>178</v>
      </c>
      <c r="AK107" s="69">
        <v>84</v>
      </c>
      <c r="BB107" s="114" t="s">
        <v>1</v>
      </c>
      <c r="BM107" s="67">
        <f t="shared" si="14"/>
        <v>808.48799999999994</v>
      </c>
      <c r="BN107" s="67">
        <f t="shared" si="15"/>
        <v>808.48799999999994</v>
      </c>
      <c r="BO107" s="67">
        <f t="shared" si="16"/>
        <v>1.2857142857142858</v>
      </c>
      <c r="BP107" s="67">
        <f t="shared" si="17"/>
        <v>1.2857142857142858</v>
      </c>
    </row>
    <row r="108" spans="1:68" ht="27" customHeight="1" x14ac:dyDescent="0.25">
      <c r="A108" s="54" t="s">
        <v>187</v>
      </c>
      <c r="B108" s="54" t="s">
        <v>188</v>
      </c>
      <c r="C108" s="31">
        <v>4301071039</v>
      </c>
      <c r="D108" s="205">
        <v>4607111039279</v>
      </c>
      <c r="E108" s="206"/>
      <c r="F108" s="197">
        <v>0.7</v>
      </c>
      <c r="G108" s="32">
        <v>10</v>
      </c>
      <c r="H108" s="197">
        <v>7</v>
      </c>
      <c r="I108" s="19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3"/>
      <c r="R108" s="203"/>
      <c r="S108" s="203"/>
      <c r="T108" s="204"/>
      <c r="U108" s="34"/>
      <c r="V108" s="34"/>
      <c r="W108" s="35" t="s">
        <v>69</v>
      </c>
      <c r="X108" s="198">
        <v>0</v>
      </c>
      <c r="Y108" s="199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10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2"/>
      <c r="P109" s="218" t="s">
        <v>71</v>
      </c>
      <c r="Q109" s="219"/>
      <c r="R109" s="219"/>
      <c r="S109" s="219"/>
      <c r="T109" s="219"/>
      <c r="U109" s="219"/>
      <c r="V109" s="220"/>
      <c r="W109" s="37" t="s">
        <v>69</v>
      </c>
      <c r="X109" s="200">
        <f>IFERROR(SUM(X101:X108),"0")</f>
        <v>180</v>
      </c>
      <c r="Y109" s="200">
        <f>IFERROR(SUM(Y101:Y108),"0")</f>
        <v>180</v>
      </c>
      <c r="Z109" s="200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2.79</v>
      </c>
      <c r="AA109" s="201"/>
      <c r="AB109" s="201"/>
      <c r="AC109" s="201"/>
    </row>
    <row r="110" spans="1:68" x14ac:dyDescent="0.2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2"/>
      <c r="P110" s="218" t="s">
        <v>71</v>
      </c>
      <c r="Q110" s="219"/>
      <c r="R110" s="219"/>
      <c r="S110" s="219"/>
      <c r="T110" s="219"/>
      <c r="U110" s="219"/>
      <c r="V110" s="220"/>
      <c r="W110" s="37" t="s">
        <v>72</v>
      </c>
      <c r="X110" s="200">
        <f>IFERROR(SUMPRODUCT(X101:X108*H101:H108),"0")</f>
        <v>1296</v>
      </c>
      <c r="Y110" s="200">
        <f>IFERROR(SUMPRODUCT(Y101:Y108*H101:H108),"0")</f>
        <v>1296</v>
      </c>
      <c r="Z110" s="37"/>
      <c r="AA110" s="201"/>
      <c r="AB110" s="201"/>
      <c r="AC110" s="201"/>
    </row>
    <row r="111" spans="1:68" ht="16.5" customHeight="1" x14ac:dyDescent="0.25">
      <c r="A111" s="214" t="s">
        <v>189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192"/>
      <c r="AB111" s="192"/>
      <c r="AC111" s="192"/>
    </row>
    <row r="112" spans="1:68" ht="14.25" customHeight="1" x14ac:dyDescent="0.25">
      <c r="A112" s="215" t="s">
        <v>138</v>
      </c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191"/>
      <c r="AB112" s="191"/>
      <c r="AC112" s="191"/>
    </row>
    <row r="113" spans="1:68" ht="27" customHeight="1" x14ac:dyDescent="0.25">
      <c r="A113" s="54" t="s">
        <v>190</v>
      </c>
      <c r="B113" s="54" t="s">
        <v>191</v>
      </c>
      <c r="C113" s="31">
        <v>4301135289</v>
      </c>
      <c r="D113" s="205">
        <v>4607111034014</v>
      </c>
      <c r="E113" s="206"/>
      <c r="F113" s="197">
        <v>0.25</v>
      </c>
      <c r="G113" s="32">
        <v>12</v>
      </c>
      <c r="H113" s="197">
        <v>3</v>
      </c>
      <c r="I113" s="197">
        <v>3.7035999999999998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7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03"/>
      <c r="R113" s="203"/>
      <c r="S113" s="203"/>
      <c r="T113" s="204"/>
      <c r="U113" s="34"/>
      <c r="V113" s="34"/>
      <c r="W113" s="35" t="s">
        <v>69</v>
      </c>
      <c r="X113" s="198">
        <v>196</v>
      </c>
      <c r="Y113" s="199">
        <f>IFERROR(IF(X113="","",X113),"")</f>
        <v>196</v>
      </c>
      <c r="Z113" s="36">
        <f>IFERROR(IF(X113="","",X113*0.01788),"")</f>
        <v>3.50448</v>
      </c>
      <c r="AA113" s="56"/>
      <c r="AB113" s="57"/>
      <c r="AC113" s="68"/>
      <c r="AG113" s="67"/>
      <c r="AJ113" s="69" t="s">
        <v>70</v>
      </c>
      <c r="AK113" s="69">
        <v>1</v>
      </c>
      <c r="BB113" s="116" t="s">
        <v>79</v>
      </c>
      <c r="BM113" s="67">
        <f>IFERROR(X113*I113,"0")</f>
        <v>725.90559999999994</v>
      </c>
      <c r="BN113" s="67">
        <f>IFERROR(Y113*I113,"0")</f>
        <v>725.90559999999994</v>
      </c>
      <c r="BO113" s="67">
        <f>IFERROR(X113/J113,"0")</f>
        <v>2.8</v>
      </c>
      <c r="BP113" s="67">
        <f>IFERROR(Y113/J113,"0")</f>
        <v>2.8</v>
      </c>
    </row>
    <row r="114" spans="1:68" ht="27" customHeight="1" x14ac:dyDescent="0.25">
      <c r="A114" s="54" t="s">
        <v>192</v>
      </c>
      <c r="B114" s="54" t="s">
        <v>193</v>
      </c>
      <c r="C114" s="31">
        <v>4301135299</v>
      </c>
      <c r="D114" s="205">
        <v>4607111033994</v>
      </c>
      <c r="E114" s="206"/>
      <c r="F114" s="197">
        <v>0.25</v>
      </c>
      <c r="G114" s="32">
        <v>12</v>
      </c>
      <c r="H114" s="197">
        <v>3</v>
      </c>
      <c r="I114" s="197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7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03"/>
      <c r="R114" s="203"/>
      <c r="S114" s="203"/>
      <c r="T114" s="204"/>
      <c r="U114" s="34"/>
      <c r="V114" s="34"/>
      <c r="W114" s="35" t="s">
        <v>69</v>
      </c>
      <c r="X114" s="198">
        <v>42</v>
      </c>
      <c r="Y114" s="199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155.55119999999999</v>
      </c>
      <c r="BN114" s="67">
        <f>IFERROR(Y114*I114,"0")</f>
        <v>155.55119999999999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210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2"/>
      <c r="P115" s="218" t="s">
        <v>71</v>
      </c>
      <c r="Q115" s="219"/>
      <c r="R115" s="219"/>
      <c r="S115" s="219"/>
      <c r="T115" s="219"/>
      <c r="U115" s="219"/>
      <c r="V115" s="220"/>
      <c r="W115" s="37" t="s">
        <v>69</v>
      </c>
      <c r="X115" s="200">
        <f>IFERROR(SUM(X113:X114),"0")</f>
        <v>238</v>
      </c>
      <c r="Y115" s="200">
        <f>IFERROR(SUM(Y113:Y114),"0")</f>
        <v>238</v>
      </c>
      <c r="Z115" s="200">
        <f>IFERROR(IF(Z113="",0,Z113),"0")+IFERROR(IF(Z114="",0,Z114),"0")</f>
        <v>4.2554400000000001</v>
      </c>
      <c r="AA115" s="201"/>
      <c r="AB115" s="201"/>
      <c r="AC115" s="201"/>
    </row>
    <row r="116" spans="1:68" x14ac:dyDescent="0.2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2"/>
      <c r="P116" s="218" t="s">
        <v>71</v>
      </c>
      <c r="Q116" s="219"/>
      <c r="R116" s="219"/>
      <c r="S116" s="219"/>
      <c r="T116" s="219"/>
      <c r="U116" s="219"/>
      <c r="V116" s="220"/>
      <c r="W116" s="37" t="s">
        <v>72</v>
      </c>
      <c r="X116" s="200">
        <f>IFERROR(SUMPRODUCT(X113:X114*H113:H114),"0")</f>
        <v>714</v>
      </c>
      <c r="Y116" s="200">
        <f>IFERROR(SUMPRODUCT(Y113:Y114*H113:H114),"0")</f>
        <v>714</v>
      </c>
      <c r="Z116" s="37"/>
      <c r="AA116" s="201"/>
      <c r="AB116" s="201"/>
      <c r="AC116" s="201"/>
    </row>
    <row r="117" spans="1:68" ht="16.5" customHeight="1" x14ac:dyDescent="0.25">
      <c r="A117" s="214" t="s">
        <v>194</v>
      </c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192"/>
      <c r="AB117" s="192"/>
      <c r="AC117" s="192"/>
    </row>
    <row r="118" spans="1:68" ht="14.25" customHeight="1" x14ac:dyDescent="0.25">
      <c r="A118" s="215" t="s">
        <v>138</v>
      </c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191"/>
      <c r="AB118" s="191"/>
      <c r="AC118" s="191"/>
    </row>
    <row r="119" spans="1:68" ht="27" customHeight="1" x14ac:dyDescent="0.25">
      <c r="A119" s="54" t="s">
        <v>195</v>
      </c>
      <c r="B119" s="54" t="s">
        <v>196</v>
      </c>
      <c r="C119" s="31">
        <v>4301135311</v>
      </c>
      <c r="D119" s="205">
        <v>4607111039095</v>
      </c>
      <c r="E119" s="206"/>
      <c r="F119" s="197">
        <v>0.25</v>
      </c>
      <c r="G119" s="32">
        <v>12</v>
      </c>
      <c r="H119" s="197">
        <v>3</v>
      </c>
      <c r="I119" s="197">
        <v>3.7480000000000002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03"/>
      <c r="R119" s="203"/>
      <c r="S119" s="203"/>
      <c r="T119" s="204"/>
      <c r="U119" s="34"/>
      <c r="V119" s="34"/>
      <c r="W119" s="35" t="s">
        <v>69</v>
      </c>
      <c r="X119" s="198">
        <v>0</v>
      </c>
      <c r="Y119" s="199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8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197</v>
      </c>
      <c r="B120" s="54" t="s">
        <v>198</v>
      </c>
      <c r="C120" s="31">
        <v>4301135282</v>
      </c>
      <c r="D120" s="205">
        <v>4607111034199</v>
      </c>
      <c r="E120" s="206"/>
      <c r="F120" s="197">
        <v>0.25</v>
      </c>
      <c r="G120" s="32">
        <v>12</v>
      </c>
      <c r="H120" s="197">
        <v>3</v>
      </c>
      <c r="I120" s="197">
        <v>3.7035999999999998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03"/>
      <c r="R120" s="203"/>
      <c r="S120" s="203"/>
      <c r="T120" s="204"/>
      <c r="U120" s="34"/>
      <c r="V120" s="34"/>
      <c r="W120" s="35" t="s">
        <v>69</v>
      </c>
      <c r="X120" s="198">
        <v>70</v>
      </c>
      <c r="Y120" s="199">
        <f>IFERROR(IF(X120="","",X120),"")</f>
        <v>70</v>
      </c>
      <c r="Z120" s="36">
        <f>IFERROR(IF(X120="","",X120*0.01788),"")</f>
        <v>1.2516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259.25200000000001</v>
      </c>
      <c r="BN120" s="67">
        <f>IFERROR(Y120*I120,"0")</f>
        <v>259.25200000000001</v>
      </c>
      <c r="BO120" s="67">
        <f>IFERROR(X120/J120,"0")</f>
        <v>1</v>
      </c>
      <c r="BP120" s="67">
        <f>IFERROR(Y120/J120,"0")</f>
        <v>1</v>
      </c>
    </row>
    <row r="121" spans="1:68" x14ac:dyDescent="0.2">
      <c r="A121" s="210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2"/>
      <c r="P121" s="218" t="s">
        <v>71</v>
      </c>
      <c r="Q121" s="219"/>
      <c r="R121" s="219"/>
      <c r="S121" s="219"/>
      <c r="T121" s="219"/>
      <c r="U121" s="219"/>
      <c r="V121" s="220"/>
      <c r="W121" s="37" t="s">
        <v>69</v>
      </c>
      <c r="X121" s="200">
        <f>IFERROR(SUM(X119:X120),"0")</f>
        <v>70</v>
      </c>
      <c r="Y121" s="200">
        <f>IFERROR(SUM(Y119:Y120),"0")</f>
        <v>70</v>
      </c>
      <c r="Z121" s="200">
        <f>IFERROR(IF(Z119="",0,Z119),"0")+IFERROR(IF(Z120="",0,Z120),"0")</f>
        <v>1.2516</v>
      </c>
      <c r="AA121" s="201"/>
      <c r="AB121" s="201"/>
      <c r="AC121" s="201"/>
    </row>
    <row r="122" spans="1:68" x14ac:dyDescent="0.2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2"/>
      <c r="P122" s="218" t="s">
        <v>71</v>
      </c>
      <c r="Q122" s="219"/>
      <c r="R122" s="219"/>
      <c r="S122" s="219"/>
      <c r="T122" s="219"/>
      <c r="U122" s="219"/>
      <c r="V122" s="220"/>
      <c r="W122" s="37" t="s">
        <v>72</v>
      </c>
      <c r="X122" s="200">
        <f>IFERROR(SUMPRODUCT(X119:X120*H119:H120),"0")</f>
        <v>210</v>
      </c>
      <c r="Y122" s="200">
        <f>IFERROR(SUMPRODUCT(Y119:Y120*H119:H120),"0")</f>
        <v>210</v>
      </c>
      <c r="Z122" s="37"/>
      <c r="AA122" s="201"/>
      <c r="AB122" s="201"/>
      <c r="AC122" s="201"/>
    </row>
    <row r="123" spans="1:68" ht="16.5" customHeight="1" x14ac:dyDescent="0.25">
      <c r="A123" s="214" t="s">
        <v>199</v>
      </c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192"/>
      <c r="AB123" s="192"/>
      <c r="AC123" s="192"/>
    </row>
    <row r="124" spans="1:68" ht="14.25" customHeight="1" x14ac:dyDescent="0.25">
      <c r="A124" s="215" t="s">
        <v>138</v>
      </c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191"/>
      <c r="AB124" s="191"/>
      <c r="AC124" s="191"/>
    </row>
    <row r="125" spans="1:68" ht="27" customHeight="1" x14ac:dyDescent="0.25">
      <c r="A125" s="54" t="s">
        <v>200</v>
      </c>
      <c r="B125" s="54" t="s">
        <v>201</v>
      </c>
      <c r="C125" s="31">
        <v>4301135178</v>
      </c>
      <c r="D125" s="205">
        <v>4607111034816</v>
      </c>
      <c r="E125" s="206"/>
      <c r="F125" s="197">
        <v>0.25</v>
      </c>
      <c r="G125" s="32">
        <v>6</v>
      </c>
      <c r="H125" s="197">
        <v>1.5</v>
      </c>
      <c r="I125" s="197">
        <v>1.9218</v>
      </c>
      <c r="J125" s="32">
        <v>140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7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03"/>
      <c r="R125" s="203"/>
      <c r="S125" s="203"/>
      <c r="T125" s="204"/>
      <c r="U125" s="34"/>
      <c r="V125" s="34"/>
      <c r="W125" s="35" t="s">
        <v>69</v>
      </c>
      <c r="X125" s="198">
        <v>0</v>
      </c>
      <c r="Y125" s="199">
        <f>IFERROR(IF(X125="","",X125),"")</f>
        <v>0</v>
      </c>
      <c r="Z125" s="36">
        <f>IFERROR(IF(X125="","",X125*0.00941),"")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20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202</v>
      </c>
      <c r="B126" s="54" t="s">
        <v>203</v>
      </c>
      <c r="C126" s="31">
        <v>4301135275</v>
      </c>
      <c r="D126" s="205">
        <v>4607111034380</v>
      </c>
      <c r="E126" s="206"/>
      <c r="F126" s="197">
        <v>0.25</v>
      </c>
      <c r="G126" s="32">
        <v>12</v>
      </c>
      <c r="H126" s="197">
        <v>3</v>
      </c>
      <c r="I126" s="197">
        <v>3.28</v>
      </c>
      <c r="J126" s="32">
        <v>70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03"/>
      <c r="R126" s="203"/>
      <c r="S126" s="203"/>
      <c r="T126" s="204"/>
      <c r="U126" s="34"/>
      <c r="V126" s="34"/>
      <c r="W126" s="35" t="s">
        <v>69</v>
      </c>
      <c r="X126" s="198">
        <v>0</v>
      </c>
      <c r="Y126" s="199">
        <f>IFERROR(IF(X126="","",X126),"")</f>
        <v>0</v>
      </c>
      <c r="Z126" s="36">
        <f>IFERROR(IF(X126="","",X126*0.01788),"")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204</v>
      </c>
      <c r="B127" s="54" t="s">
        <v>205</v>
      </c>
      <c r="C127" s="31">
        <v>4301135277</v>
      </c>
      <c r="D127" s="205">
        <v>4607111034397</v>
      </c>
      <c r="E127" s="206"/>
      <c r="F127" s="197">
        <v>0.25</v>
      </c>
      <c r="G127" s="32">
        <v>12</v>
      </c>
      <c r="H127" s="197">
        <v>3</v>
      </c>
      <c r="I127" s="197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8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03"/>
      <c r="R127" s="203"/>
      <c r="S127" s="203"/>
      <c r="T127" s="204"/>
      <c r="U127" s="34"/>
      <c r="V127" s="34"/>
      <c r="W127" s="35" t="s">
        <v>69</v>
      </c>
      <c r="X127" s="198">
        <v>0</v>
      </c>
      <c r="Y127" s="199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210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2"/>
      <c r="P128" s="218" t="s">
        <v>71</v>
      </c>
      <c r="Q128" s="219"/>
      <c r="R128" s="219"/>
      <c r="S128" s="219"/>
      <c r="T128" s="219"/>
      <c r="U128" s="219"/>
      <c r="V128" s="220"/>
      <c r="W128" s="37" t="s">
        <v>69</v>
      </c>
      <c r="X128" s="200">
        <f>IFERROR(SUM(X125:X127),"0")</f>
        <v>0</v>
      </c>
      <c r="Y128" s="200">
        <f>IFERROR(SUM(Y125:Y127),"0")</f>
        <v>0</v>
      </c>
      <c r="Z128" s="200">
        <f>IFERROR(IF(Z125="",0,Z125),"0")+IFERROR(IF(Z126="",0,Z126),"0")+IFERROR(IF(Z127="",0,Z127),"0")</f>
        <v>0</v>
      </c>
      <c r="AA128" s="201"/>
      <c r="AB128" s="201"/>
      <c r="AC128" s="201"/>
    </row>
    <row r="129" spans="1:68" x14ac:dyDescent="0.2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2"/>
      <c r="P129" s="218" t="s">
        <v>71</v>
      </c>
      <c r="Q129" s="219"/>
      <c r="R129" s="219"/>
      <c r="S129" s="219"/>
      <c r="T129" s="219"/>
      <c r="U129" s="219"/>
      <c r="V129" s="220"/>
      <c r="W129" s="37" t="s">
        <v>72</v>
      </c>
      <c r="X129" s="200">
        <f>IFERROR(SUMPRODUCT(X125:X127*H125:H127),"0")</f>
        <v>0</v>
      </c>
      <c r="Y129" s="200">
        <f>IFERROR(SUMPRODUCT(Y125:Y127*H125:H127),"0")</f>
        <v>0</v>
      </c>
      <c r="Z129" s="37"/>
      <c r="AA129" s="201"/>
      <c r="AB129" s="201"/>
      <c r="AC129" s="201"/>
    </row>
    <row r="130" spans="1:68" ht="16.5" customHeight="1" x14ac:dyDescent="0.25">
      <c r="A130" s="214" t="s">
        <v>206</v>
      </c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  <c r="AA130" s="192"/>
      <c r="AB130" s="192"/>
      <c r="AC130" s="192"/>
    </row>
    <row r="131" spans="1:68" ht="14.25" customHeight="1" x14ac:dyDescent="0.25">
      <c r="A131" s="215" t="s">
        <v>138</v>
      </c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191"/>
      <c r="AB131" s="191"/>
      <c r="AC131" s="191"/>
    </row>
    <row r="132" spans="1:68" ht="27" customHeight="1" x14ac:dyDescent="0.25">
      <c r="A132" s="54" t="s">
        <v>207</v>
      </c>
      <c r="B132" s="54" t="s">
        <v>208</v>
      </c>
      <c r="C132" s="31">
        <v>4301135183</v>
      </c>
      <c r="D132" s="205">
        <v>4607111035806</v>
      </c>
      <c r="E132" s="206"/>
      <c r="F132" s="197">
        <v>0.25</v>
      </c>
      <c r="G132" s="32">
        <v>12</v>
      </c>
      <c r="H132" s="197">
        <v>3</v>
      </c>
      <c r="I132" s="197">
        <v>3.7035999999999998</v>
      </c>
      <c r="J132" s="32">
        <v>70</v>
      </c>
      <c r="K132" s="32" t="s">
        <v>78</v>
      </c>
      <c r="L132" s="32" t="s">
        <v>67</v>
      </c>
      <c r="M132" s="33" t="s">
        <v>68</v>
      </c>
      <c r="N132" s="33"/>
      <c r="O132" s="32">
        <v>180</v>
      </c>
      <c r="P132" s="308" t="s">
        <v>209</v>
      </c>
      <c r="Q132" s="203"/>
      <c r="R132" s="203"/>
      <c r="S132" s="203"/>
      <c r="T132" s="204"/>
      <c r="U132" s="34"/>
      <c r="V132" s="34"/>
      <c r="W132" s="35" t="s">
        <v>69</v>
      </c>
      <c r="X132" s="198">
        <v>0</v>
      </c>
      <c r="Y132" s="199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70</v>
      </c>
      <c r="AK132" s="69">
        <v>1</v>
      </c>
      <c r="BB132" s="123" t="s">
        <v>79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210</v>
      </c>
      <c r="B133" s="54" t="s">
        <v>211</v>
      </c>
      <c r="C133" s="31">
        <v>4301135279</v>
      </c>
      <c r="D133" s="205">
        <v>4607111035806</v>
      </c>
      <c r="E133" s="206"/>
      <c r="F133" s="197">
        <v>0.25</v>
      </c>
      <c r="G133" s="32">
        <v>12</v>
      </c>
      <c r="H133" s="197">
        <v>3</v>
      </c>
      <c r="I133" s="197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203"/>
      <c r="R133" s="203"/>
      <c r="S133" s="203"/>
      <c r="T133" s="204"/>
      <c r="U133" s="34"/>
      <c r="V133" s="34"/>
      <c r="W133" s="35" t="s">
        <v>69</v>
      </c>
      <c r="X133" s="198">
        <v>0</v>
      </c>
      <c r="Y133" s="199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210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2"/>
      <c r="P134" s="218" t="s">
        <v>71</v>
      </c>
      <c r="Q134" s="219"/>
      <c r="R134" s="219"/>
      <c r="S134" s="219"/>
      <c r="T134" s="219"/>
      <c r="U134" s="219"/>
      <c r="V134" s="220"/>
      <c r="W134" s="37" t="s">
        <v>69</v>
      </c>
      <c r="X134" s="200">
        <f>IFERROR(SUM(X132:X133),"0")</f>
        <v>0</v>
      </c>
      <c r="Y134" s="200">
        <f>IFERROR(SUM(Y132:Y133),"0")</f>
        <v>0</v>
      </c>
      <c r="Z134" s="200">
        <f>IFERROR(IF(Z132="",0,Z132),"0")+IFERROR(IF(Z133="",0,Z133),"0")</f>
        <v>0</v>
      </c>
      <c r="AA134" s="201"/>
      <c r="AB134" s="201"/>
      <c r="AC134" s="201"/>
    </row>
    <row r="135" spans="1:68" x14ac:dyDescent="0.2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2"/>
      <c r="P135" s="218" t="s">
        <v>71</v>
      </c>
      <c r="Q135" s="219"/>
      <c r="R135" s="219"/>
      <c r="S135" s="219"/>
      <c r="T135" s="219"/>
      <c r="U135" s="219"/>
      <c r="V135" s="220"/>
      <c r="W135" s="37" t="s">
        <v>72</v>
      </c>
      <c r="X135" s="200">
        <f>IFERROR(SUMPRODUCT(X132:X133*H132:H133),"0")</f>
        <v>0</v>
      </c>
      <c r="Y135" s="200">
        <f>IFERROR(SUMPRODUCT(Y132:Y133*H132:H133),"0")</f>
        <v>0</v>
      </c>
      <c r="Z135" s="37"/>
      <c r="AA135" s="201"/>
      <c r="AB135" s="201"/>
      <c r="AC135" s="201"/>
    </row>
    <row r="136" spans="1:68" ht="16.5" customHeight="1" x14ac:dyDescent="0.25">
      <c r="A136" s="214" t="s">
        <v>212</v>
      </c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  <c r="AA136" s="192"/>
      <c r="AB136" s="192"/>
      <c r="AC136" s="192"/>
    </row>
    <row r="137" spans="1:68" ht="14.25" customHeight="1" x14ac:dyDescent="0.25">
      <c r="A137" s="215" t="s">
        <v>213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1"/>
      <c r="AB137" s="191"/>
      <c r="AC137" s="191"/>
    </row>
    <row r="138" spans="1:68" ht="27" customHeight="1" x14ac:dyDescent="0.25">
      <c r="A138" s="54" t="s">
        <v>214</v>
      </c>
      <c r="B138" s="54" t="s">
        <v>215</v>
      </c>
      <c r="C138" s="31">
        <v>4301071054</v>
      </c>
      <c r="D138" s="205">
        <v>4607111035639</v>
      </c>
      <c r="E138" s="206"/>
      <c r="F138" s="197">
        <v>0.2</v>
      </c>
      <c r="G138" s="32">
        <v>8</v>
      </c>
      <c r="H138" s="197">
        <v>1.6</v>
      </c>
      <c r="I138" s="197">
        <v>2.12</v>
      </c>
      <c r="J138" s="32">
        <v>72</v>
      </c>
      <c r="K138" s="32" t="s">
        <v>216</v>
      </c>
      <c r="L138" s="32" t="s">
        <v>67</v>
      </c>
      <c r="M138" s="33" t="s">
        <v>68</v>
      </c>
      <c r="N138" s="33"/>
      <c r="O138" s="32">
        <v>180</v>
      </c>
      <c r="P138" s="318" t="s">
        <v>217</v>
      </c>
      <c r="Q138" s="203"/>
      <c r="R138" s="203"/>
      <c r="S138" s="203"/>
      <c r="T138" s="204"/>
      <c r="U138" s="34"/>
      <c r="V138" s="34"/>
      <c r="W138" s="35" t="s">
        <v>69</v>
      </c>
      <c r="X138" s="198">
        <v>0</v>
      </c>
      <c r="Y138" s="199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70</v>
      </c>
      <c r="AK138" s="69">
        <v>1</v>
      </c>
      <c r="BB138" s="125" t="s">
        <v>79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218</v>
      </c>
      <c r="B139" s="54" t="s">
        <v>219</v>
      </c>
      <c r="C139" s="31">
        <v>4301135540</v>
      </c>
      <c r="D139" s="205">
        <v>4607111035646</v>
      </c>
      <c r="E139" s="206"/>
      <c r="F139" s="197">
        <v>0.2</v>
      </c>
      <c r="G139" s="32">
        <v>8</v>
      </c>
      <c r="H139" s="197">
        <v>1.6</v>
      </c>
      <c r="I139" s="197">
        <v>2.12</v>
      </c>
      <c r="J139" s="32">
        <v>72</v>
      </c>
      <c r="K139" s="32" t="s">
        <v>216</v>
      </c>
      <c r="L139" s="32" t="s">
        <v>67</v>
      </c>
      <c r="M139" s="33" t="s">
        <v>68</v>
      </c>
      <c r="N139" s="33"/>
      <c r="O139" s="32">
        <v>180</v>
      </c>
      <c r="P139" s="37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203"/>
      <c r="R139" s="203"/>
      <c r="S139" s="203"/>
      <c r="T139" s="204"/>
      <c r="U139" s="34"/>
      <c r="V139" s="34"/>
      <c r="W139" s="35" t="s">
        <v>69</v>
      </c>
      <c r="X139" s="198">
        <v>0</v>
      </c>
      <c r="Y139" s="199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210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2"/>
      <c r="P140" s="218" t="s">
        <v>71</v>
      </c>
      <c r="Q140" s="219"/>
      <c r="R140" s="219"/>
      <c r="S140" s="219"/>
      <c r="T140" s="219"/>
      <c r="U140" s="219"/>
      <c r="V140" s="220"/>
      <c r="W140" s="37" t="s">
        <v>69</v>
      </c>
      <c r="X140" s="200">
        <f>IFERROR(SUM(X138:X139),"0")</f>
        <v>0</v>
      </c>
      <c r="Y140" s="200">
        <f>IFERROR(SUM(Y138:Y139),"0")</f>
        <v>0</v>
      </c>
      <c r="Z140" s="200">
        <f>IFERROR(IF(Z138="",0,Z138),"0")+IFERROR(IF(Z139="",0,Z139),"0")</f>
        <v>0</v>
      </c>
      <c r="AA140" s="201"/>
      <c r="AB140" s="201"/>
      <c r="AC140" s="201"/>
    </row>
    <row r="141" spans="1:68" x14ac:dyDescent="0.2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2"/>
      <c r="P141" s="218" t="s">
        <v>71</v>
      </c>
      <c r="Q141" s="219"/>
      <c r="R141" s="219"/>
      <c r="S141" s="219"/>
      <c r="T141" s="219"/>
      <c r="U141" s="219"/>
      <c r="V141" s="220"/>
      <c r="W141" s="37" t="s">
        <v>72</v>
      </c>
      <c r="X141" s="200">
        <f>IFERROR(SUMPRODUCT(X138:X139*H138:H139),"0")</f>
        <v>0</v>
      </c>
      <c r="Y141" s="200">
        <f>IFERROR(SUMPRODUCT(Y138:Y139*H138:H139),"0")</f>
        <v>0</v>
      </c>
      <c r="Z141" s="37"/>
      <c r="AA141" s="201"/>
      <c r="AB141" s="201"/>
      <c r="AC141" s="201"/>
    </row>
    <row r="142" spans="1:68" ht="16.5" customHeight="1" x14ac:dyDescent="0.25">
      <c r="A142" s="214" t="s">
        <v>220</v>
      </c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192"/>
      <c r="AB142" s="192"/>
      <c r="AC142" s="192"/>
    </row>
    <row r="143" spans="1:68" ht="14.25" customHeight="1" x14ac:dyDescent="0.25">
      <c r="A143" s="215" t="s">
        <v>138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1"/>
      <c r="AB143" s="191"/>
      <c r="AC143" s="191"/>
    </row>
    <row r="144" spans="1:68" ht="27" customHeight="1" x14ac:dyDescent="0.25">
      <c r="A144" s="54" t="s">
        <v>221</v>
      </c>
      <c r="B144" s="54" t="s">
        <v>222</v>
      </c>
      <c r="C144" s="31">
        <v>4301135281</v>
      </c>
      <c r="D144" s="205">
        <v>4607111036568</v>
      </c>
      <c r="E144" s="206"/>
      <c r="F144" s="197">
        <v>0.28000000000000003</v>
      </c>
      <c r="G144" s="32">
        <v>6</v>
      </c>
      <c r="H144" s="197">
        <v>1.68</v>
      </c>
      <c r="I144" s="197">
        <v>2.1017999999999999</v>
      </c>
      <c r="J144" s="32">
        <v>140</v>
      </c>
      <c r="K144" s="32" t="s">
        <v>78</v>
      </c>
      <c r="L144" s="32" t="s">
        <v>67</v>
      </c>
      <c r="M144" s="33" t="s">
        <v>68</v>
      </c>
      <c r="N144" s="33"/>
      <c r="O144" s="32">
        <v>180</v>
      </c>
      <c r="P144" s="20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203"/>
      <c r="R144" s="203"/>
      <c r="S144" s="203"/>
      <c r="T144" s="204"/>
      <c r="U144" s="34"/>
      <c r="V144" s="34"/>
      <c r="W144" s="35" t="s">
        <v>69</v>
      </c>
      <c r="X144" s="198">
        <v>0</v>
      </c>
      <c r="Y144" s="199">
        <f>IFERROR(IF(X144="","",X144),"")</f>
        <v>0</v>
      </c>
      <c r="Z144" s="36">
        <f>IFERROR(IF(X144="","",X144*0.00941),"")</f>
        <v>0</v>
      </c>
      <c r="AA144" s="56"/>
      <c r="AB144" s="57"/>
      <c r="AC144" s="68"/>
      <c r="AG144" s="67"/>
      <c r="AJ144" s="69" t="s">
        <v>70</v>
      </c>
      <c r="AK144" s="69">
        <v>1</v>
      </c>
      <c r="BB144" s="127" t="s">
        <v>79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210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2"/>
      <c r="P145" s="218" t="s">
        <v>71</v>
      </c>
      <c r="Q145" s="219"/>
      <c r="R145" s="219"/>
      <c r="S145" s="219"/>
      <c r="T145" s="219"/>
      <c r="U145" s="219"/>
      <c r="V145" s="220"/>
      <c r="W145" s="37" t="s">
        <v>69</v>
      </c>
      <c r="X145" s="200">
        <f>IFERROR(SUM(X144:X144),"0")</f>
        <v>0</v>
      </c>
      <c r="Y145" s="200">
        <f>IFERROR(SUM(Y144:Y144),"0")</f>
        <v>0</v>
      </c>
      <c r="Z145" s="200">
        <f>IFERROR(IF(Z144="",0,Z144),"0")</f>
        <v>0</v>
      </c>
      <c r="AA145" s="201"/>
      <c r="AB145" s="201"/>
      <c r="AC145" s="201"/>
    </row>
    <row r="146" spans="1:68" x14ac:dyDescent="0.2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2"/>
      <c r="P146" s="218" t="s">
        <v>71</v>
      </c>
      <c r="Q146" s="219"/>
      <c r="R146" s="219"/>
      <c r="S146" s="219"/>
      <c r="T146" s="219"/>
      <c r="U146" s="219"/>
      <c r="V146" s="220"/>
      <c r="W146" s="37" t="s">
        <v>72</v>
      </c>
      <c r="X146" s="200">
        <f>IFERROR(SUMPRODUCT(X144:X144*H144:H144),"0")</f>
        <v>0</v>
      </c>
      <c r="Y146" s="200">
        <f>IFERROR(SUMPRODUCT(Y144:Y144*H144:H144),"0")</f>
        <v>0</v>
      </c>
      <c r="Z146" s="37"/>
      <c r="AA146" s="201"/>
      <c r="AB146" s="201"/>
      <c r="AC146" s="201"/>
    </row>
    <row r="147" spans="1:68" ht="27.75" customHeight="1" x14ac:dyDescent="0.2">
      <c r="A147" s="270" t="s">
        <v>223</v>
      </c>
      <c r="B147" s="271"/>
      <c r="C147" s="271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  <c r="AA147" s="48"/>
      <c r="AB147" s="48"/>
      <c r="AC147" s="48"/>
    </row>
    <row r="148" spans="1:68" ht="16.5" customHeight="1" x14ac:dyDescent="0.25">
      <c r="A148" s="214" t="s">
        <v>224</v>
      </c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192"/>
      <c r="AB148" s="192"/>
      <c r="AC148" s="192"/>
    </row>
    <row r="149" spans="1:68" ht="14.25" customHeight="1" x14ac:dyDescent="0.25">
      <c r="A149" s="215" t="s">
        <v>138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1"/>
      <c r="AB149" s="191"/>
      <c r="AC149" s="191"/>
    </row>
    <row r="150" spans="1:68" ht="27" customHeight="1" x14ac:dyDescent="0.25">
      <c r="A150" s="54" t="s">
        <v>225</v>
      </c>
      <c r="B150" s="54" t="s">
        <v>226</v>
      </c>
      <c r="C150" s="31">
        <v>4301135317</v>
      </c>
      <c r="D150" s="205">
        <v>4607111039057</v>
      </c>
      <c r="E150" s="206"/>
      <c r="F150" s="197">
        <v>1.8</v>
      </c>
      <c r="G150" s="32">
        <v>1</v>
      </c>
      <c r="H150" s="197">
        <v>1.8</v>
      </c>
      <c r="I150" s="197">
        <v>1.9</v>
      </c>
      <c r="J150" s="32">
        <v>234</v>
      </c>
      <c r="K150" s="32" t="s">
        <v>134</v>
      </c>
      <c r="L150" s="32" t="s">
        <v>67</v>
      </c>
      <c r="M150" s="33" t="s">
        <v>68</v>
      </c>
      <c r="N150" s="33"/>
      <c r="O150" s="32">
        <v>180</v>
      </c>
      <c r="P150" s="230" t="s">
        <v>227</v>
      </c>
      <c r="Q150" s="203"/>
      <c r="R150" s="203"/>
      <c r="S150" s="203"/>
      <c r="T150" s="204"/>
      <c r="U150" s="34"/>
      <c r="V150" s="34"/>
      <c r="W150" s="35" t="s">
        <v>69</v>
      </c>
      <c r="X150" s="198">
        <v>0</v>
      </c>
      <c r="Y150" s="199">
        <f>IFERROR(IF(X150="","",X150),"")</f>
        <v>0</v>
      </c>
      <c r="Z150" s="36">
        <f>IFERROR(IF(X150="","",X150*0.00502),"")</f>
        <v>0</v>
      </c>
      <c r="AA150" s="56"/>
      <c r="AB150" s="57"/>
      <c r="AC150" s="68"/>
      <c r="AG150" s="67"/>
      <c r="AJ150" s="69" t="s">
        <v>70</v>
      </c>
      <c r="AK150" s="69">
        <v>1</v>
      </c>
      <c r="BB150" s="128" t="s">
        <v>79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10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2"/>
      <c r="P151" s="218" t="s">
        <v>71</v>
      </c>
      <c r="Q151" s="219"/>
      <c r="R151" s="219"/>
      <c r="S151" s="219"/>
      <c r="T151" s="219"/>
      <c r="U151" s="219"/>
      <c r="V151" s="220"/>
      <c r="W151" s="37" t="s">
        <v>69</v>
      </c>
      <c r="X151" s="200">
        <f>IFERROR(SUM(X150:X150),"0")</f>
        <v>0</v>
      </c>
      <c r="Y151" s="200">
        <f>IFERROR(SUM(Y150:Y150),"0")</f>
        <v>0</v>
      </c>
      <c r="Z151" s="200">
        <f>IFERROR(IF(Z150="",0,Z150),"0")</f>
        <v>0</v>
      </c>
      <c r="AA151" s="201"/>
      <c r="AB151" s="201"/>
      <c r="AC151" s="201"/>
    </row>
    <row r="152" spans="1:68" x14ac:dyDescent="0.2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2"/>
      <c r="P152" s="218" t="s">
        <v>71</v>
      </c>
      <c r="Q152" s="219"/>
      <c r="R152" s="219"/>
      <c r="S152" s="219"/>
      <c r="T152" s="219"/>
      <c r="U152" s="219"/>
      <c r="V152" s="220"/>
      <c r="W152" s="37" t="s">
        <v>72</v>
      </c>
      <c r="X152" s="200">
        <f>IFERROR(SUMPRODUCT(X150:X150*H150:H150),"0")</f>
        <v>0</v>
      </c>
      <c r="Y152" s="200">
        <f>IFERROR(SUMPRODUCT(Y150:Y150*H150:H150),"0")</f>
        <v>0</v>
      </c>
      <c r="Z152" s="37"/>
      <c r="AA152" s="201"/>
      <c r="AB152" s="201"/>
      <c r="AC152" s="201"/>
    </row>
    <row r="153" spans="1:68" ht="16.5" customHeight="1" x14ac:dyDescent="0.25">
      <c r="A153" s="214" t="s">
        <v>228</v>
      </c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  <c r="AA153" s="192"/>
      <c r="AB153" s="192"/>
      <c r="AC153" s="192"/>
    </row>
    <row r="154" spans="1:68" ht="14.25" customHeight="1" x14ac:dyDescent="0.25">
      <c r="A154" s="215" t="s">
        <v>63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191"/>
      <c r="AB154" s="191"/>
      <c r="AC154" s="191"/>
    </row>
    <row r="155" spans="1:68" ht="16.5" customHeight="1" x14ac:dyDescent="0.25">
      <c r="A155" s="54" t="s">
        <v>229</v>
      </c>
      <c r="B155" s="54" t="s">
        <v>230</v>
      </c>
      <c r="C155" s="31">
        <v>4301071062</v>
      </c>
      <c r="D155" s="205">
        <v>4607111036384</v>
      </c>
      <c r="E155" s="206"/>
      <c r="F155" s="197">
        <v>5</v>
      </c>
      <c r="G155" s="32">
        <v>1</v>
      </c>
      <c r="H155" s="197">
        <v>5</v>
      </c>
      <c r="I155" s="197">
        <v>5.2106000000000003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21" t="s">
        <v>231</v>
      </c>
      <c r="Q155" s="203"/>
      <c r="R155" s="203"/>
      <c r="S155" s="203"/>
      <c r="T155" s="204"/>
      <c r="U155" s="34"/>
      <c r="V155" s="34"/>
      <c r="W155" s="35" t="s">
        <v>69</v>
      </c>
      <c r="X155" s="198">
        <v>0</v>
      </c>
      <c r="Y155" s="199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customHeight="1" x14ac:dyDescent="0.25">
      <c r="A156" s="54" t="s">
        <v>232</v>
      </c>
      <c r="B156" s="54" t="s">
        <v>233</v>
      </c>
      <c r="C156" s="31">
        <v>4301071056</v>
      </c>
      <c r="D156" s="205">
        <v>4640242180250</v>
      </c>
      <c r="E156" s="206"/>
      <c r="F156" s="197">
        <v>5</v>
      </c>
      <c r="G156" s="32">
        <v>1</v>
      </c>
      <c r="H156" s="197">
        <v>5</v>
      </c>
      <c r="I156" s="197">
        <v>5.2131999999999996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0" t="s">
        <v>234</v>
      </c>
      <c r="Q156" s="203"/>
      <c r="R156" s="203"/>
      <c r="S156" s="203"/>
      <c r="T156" s="204"/>
      <c r="U156" s="34"/>
      <c r="V156" s="34"/>
      <c r="W156" s="35" t="s">
        <v>69</v>
      </c>
      <c r="X156" s="198">
        <v>0</v>
      </c>
      <c r="Y156" s="199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235</v>
      </c>
      <c r="B157" s="54" t="s">
        <v>236</v>
      </c>
      <c r="C157" s="31">
        <v>4301071050</v>
      </c>
      <c r="D157" s="205">
        <v>4607111036216</v>
      </c>
      <c r="E157" s="206"/>
      <c r="F157" s="197">
        <v>5</v>
      </c>
      <c r="G157" s="32">
        <v>1</v>
      </c>
      <c r="H157" s="197">
        <v>5</v>
      </c>
      <c r="I157" s="19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25" t="s">
        <v>237</v>
      </c>
      <c r="Q157" s="203"/>
      <c r="R157" s="203"/>
      <c r="S157" s="203"/>
      <c r="T157" s="204"/>
      <c r="U157" s="34"/>
      <c r="V157" s="34"/>
      <c r="W157" s="35" t="s">
        <v>69</v>
      </c>
      <c r="X157" s="198">
        <v>300</v>
      </c>
      <c r="Y157" s="199">
        <f>IFERROR(IF(X157="","",X157),"")</f>
        <v>300</v>
      </c>
      <c r="Z157" s="36">
        <f>IFERROR(IF(X157="","",X157*0.00866),"")</f>
        <v>2.5979999999999999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1563.9599999999998</v>
      </c>
      <c r="BN157" s="67">
        <f>IFERROR(Y157*I157,"0")</f>
        <v>1563.9599999999998</v>
      </c>
      <c r="BO157" s="67">
        <f>IFERROR(X157/J157,"0")</f>
        <v>2.0833333333333335</v>
      </c>
      <c r="BP157" s="67">
        <f>IFERROR(Y157/J157,"0")</f>
        <v>2.0833333333333335</v>
      </c>
    </row>
    <row r="158" spans="1:68" ht="27" customHeight="1" x14ac:dyDescent="0.25">
      <c r="A158" s="54" t="s">
        <v>238</v>
      </c>
      <c r="B158" s="54" t="s">
        <v>239</v>
      </c>
      <c r="C158" s="31">
        <v>4301071061</v>
      </c>
      <c r="D158" s="205">
        <v>4607111036278</v>
      </c>
      <c r="E158" s="206"/>
      <c r="F158" s="197">
        <v>5</v>
      </c>
      <c r="G158" s="32">
        <v>1</v>
      </c>
      <c r="H158" s="197">
        <v>5</v>
      </c>
      <c r="I158" s="197">
        <v>5.2405999999999997</v>
      </c>
      <c r="J158" s="32">
        <v>84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57" t="s">
        <v>240</v>
      </c>
      <c r="Q158" s="203"/>
      <c r="R158" s="203"/>
      <c r="S158" s="203"/>
      <c r="T158" s="204"/>
      <c r="U158" s="34"/>
      <c r="V158" s="34"/>
      <c r="W158" s="35" t="s">
        <v>69</v>
      </c>
      <c r="X158" s="198">
        <v>0</v>
      </c>
      <c r="Y158" s="199">
        <f>IFERROR(IF(X158="","",X158),"")</f>
        <v>0</v>
      </c>
      <c r="Z158" s="36">
        <f>IFERROR(IF(X158="","",X158*0.0155),"")</f>
        <v>0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210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2"/>
      <c r="P159" s="218" t="s">
        <v>71</v>
      </c>
      <c r="Q159" s="219"/>
      <c r="R159" s="219"/>
      <c r="S159" s="219"/>
      <c r="T159" s="219"/>
      <c r="U159" s="219"/>
      <c r="V159" s="220"/>
      <c r="W159" s="37" t="s">
        <v>69</v>
      </c>
      <c r="X159" s="200">
        <f>IFERROR(SUM(X155:X158),"0")</f>
        <v>300</v>
      </c>
      <c r="Y159" s="200">
        <f>IFERROR(SUM(Y155:Y158),"0")</f>
        <v>300</v>
      </c>
      <c r="Z159" s="200">
        <f>IFERROR(IF(Z155="",0,Z155),"0")+IFERROR(IF(Z156="",0,Z156),"0")+IFERROR(IF(Z157="",0,Z157),"0")+IFERROR(IF(Z158="",0,Z158),"0")</f>
        <v>2.5979999999999999</v>
      </c>
      <c r="AA159" s="201"/>
      <c r="AB159" s="201"/>
      <c r="AC159" s="201"/>
    </row>
    <row r="160" spans="1:68" x14ac:dyDescent="0.2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2"/>
      <c r="P160" s="218" t="s">
        <v>71</v>
      </c>
      <c r="Q160" s="219"/>
      <c r="R160" s="219"/>
      <c r="S160" s="219"/>
      <c r="T160" s="219"/>
      <c r="U160" s="219"/>
      <c r="V160" s="220"/>
      <c r="W160" s="37" t="s">
        <v>72</v>
      </c>
      <c r="X160" s="200">
        <f>IFERROR(SUMPRODUCT(X155:X158*H155:H158),"0")</f>
        <v>1500</v>
      </c>
      <c r="Y160" s="200">
        <f>IFERROR(SUMPRODUCT(Y155:Y158*H155:H158),"0")</f>
        <v>1500</v>
      </c>
      <c r="Z160" s="37"/>
      <c r="AA160" s="201"/>
      <c r="AB160" s="201"/>
      <c r="AC160" s="201"/>
    </row>
    <row r="161" spans="1:68" ht="14.25" customHeight="1" x14ac:dyDescent="0.25">
      <c r="A161" s="215" t="s">
        <v>241</v>
      </c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  <c r="AA161" s="191"/>
      <c r="AB161" s="191"/>
      <c r="AC161" s="191"/>
    </row>
    <row r="162" spans="1:68" ht="27" customHeight="1" x14ac:dyDescent="0.25">
      <c r="A162" s="54" t="s">
        <v>242</v>
      </c>
      <c r="B162" s="54" t="s">
        <v>243</v>
      </c>
      <c r="C162" s="31">
        <v>4301080153</v>
      </c>
      <c r="D162" s="205">
        <v>4607111036827</v>
      </c>
      <c r="E162" s="206"/>
      <c r="F162" s="197">
        <v>1</v>
      </c>
      <c r="G162" s="32">
        <v>5</v>
      </c>
      <c r="H162" s="197">
        <v>5</v>
      </c>
      <c r="I162" s="197">
        <v>5.2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203"/>
      <c r="R162" s="203"/>
      <c r="S162" s="203"/>
      <c r="T162" s="204"/>
      <c r="U162" s="34"/>
      <c r="V162" s="34"/>
      <c r="W162" s="35" t="s">
        <v>69</v>
      </c>
      <c r="X162" s="198">
        <v>0</v>
      </c>
      <c r="Y162" s="199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244</v>
      </c>
      <c r="B163" s="54" t="s">
        <v>245</v>
      </c>
      <c r="C163" s="31">
        <v>4301080154</v>
      </c>
      <c r="D163" s="205">
        <v>4607111036834</v>
      </c>
      <c r="E163" s="206"/>
      <c r="F163" s="197">
        <v>1</v>
      </c>
      <c r="G163" s="32">
        <v>5</v>
      </c>
      <c r="H163" s="197">
        <v>5</v>
      </c>
      <c r="I163" s="197">
        <v>5.2530000000000001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203"/>
      <c r="R163" s="203"/>
      <c r="S163" s="203"/>
      <c r="T163" s="204"/>
      <c r="U163" s="34"/>
      <c r="V163" s="34"/>
      <c r="W163" s="35" t="s">
        <v>69</v>
      </c>
      <c r="X163" s="198">
        <v>0</v>
      </c>
      <c r="Y163" s="199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10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2"/>
      <c r="P164" s="218" t="s">
        <v>71</v>
      </c>
      <c r="Q164" s="219"/>
      <c r="R164" s="219"/>
      <c r="S164" s="219"/>
      <c r="T164" s="219"/>
      <c r="U164" s="219"/>
      <c r="V164" s="220"/>
      <c r="W164" s="37" t="s">
        <v>69</v>
      </c>
      <c r="X164" s="200">
        <f>IFERROR(SUM(X162:X163),"0")</f>
        <v>0</v>
      </c>
      <c r="Y164" s="200">
        <f>IFERROR(SUM(Y162:Y163),"0")</f>
        <v>0</v>
      </c>
      <c r="Z164" s="200">
        <f>IFERROR(IF(Z162="",0,Z162),"0")+IFERROR(IF(Z163="",0,Z163),"0")</f>
        <v>0</v>
      </c>
      <c r="AA164" s="201"/>
      <c r="AB164" s="201"/>
      <c r="AC164" s="201"/>
    </row>
    <row r="165" spans="1:68" x14ac:dyDescent="0.2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2"/>
      <c r="P165" s="218" t="s">
        <v>71</v>
      </c>
      <c r="Q165" s="219"/>
      <c r="R165" s="219"/>
      <c r="S165" s="219"/>
      <c r="T165" s="219"/>
      <c r="U165" s="219"/>
      <c r="V165" s="220"/>
      <c r="W165" s="37" t="s">
        <v>72</v>
      </c>
      <c r="X165" s="200">
        <f>IFERROR(SUMPRODUCT(X162:X163*H162:H163),"0")</f>
        <v>0</v>
      </c>
      <c r="Y165" s="200">
        <f>IFERROR(SUMPRODUCT(Y162:Y163*H162:H163),"0")</f>
        <v>0</v>
      </c>
      <c r="Z165" s="37"/>
      <c r="AA165" s="201"/>
      <c r="AB165" s="201"/>
      <c r="AC165" s="201"/>
    </row>
    <row r="166" spans="1:68" ht="27.75" customHeight="1" x14ac:dyDescent="0.2">
      <c r="A166" s="270" t="s">
        <v>246</v>
      </c>
      <c r="B166" s="271"/>
      <c r="C166" s="271"/>
      <c r="D166" s="271"/>
      <c r="E166" s="271"/>
      <c r="F166" s="271"/>
      <c r="G166" s="271"/>
      <c r="H166" s="271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1"/>
      <c r="U166" s="271"/>
      <c r="V166" s="271"/>
      <c r="W166" s="271"/>
      <c r="X166" s="271"/>
      <c r="Y166" s="271"/>
      <c r="Z166" s="271"/>
      <c r="AA166" s="48"/>
      <c r="AB166" s="48"/>
      <c r="AC166" s="48"/>
    </row>
    <row r="167" spans="1:68" ht="16.5" customHeight="1" x14ac:dyDescent="0.25">
      <c r="A167" s="214" t="s">
        <v>247</v>
      </c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  <c r="AA167" s="192"/>
      <c r="AB167" s="192"/>
      <c r="AC167" s="192"/>
    </row>
    <row r="168" spans="1:68" ht="14.25" customHeight="1" x14ac:dyDescent="0.25">
      <c r="A168" s="215" t="s">
        <v>75</v>
      </c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191"/>
      <c r="AB168" s="191"/>
      <c r="AC168" s="191"/>
    </row>
    <row r="169" spans="1:68" ht="27" customHeight="1" x14ac:dyDescent="0.25">
      <c r="A169" s="54" t="s">
        <v>248</v>
      </c>
      <c r="B169" s="54" t="s">
        <v>249</v>
      </c>
      <c r="C169" s="31">
        <v>4301132097</v>
      </c>
      <c r="D169" s="205">
        <v>4607111035721</v>
      </c>
      <c r="E169" s="206"/>
      <c r="F169" s="197">
        <v>0.25</v>
      </c>
      <c r="G169" s="32">
        <v>12</v>
      </c>
      <c r="H169" s="197">
        <v>3</v>
      </c>
      <c r="I169" s="197">
        <v>3.3879999999999999</v>
      </c>
      <c r="J169" s="32">
        <v>70</v>
      </c>
      <c r="K169" s="32" t="s">
        <v>78</v>
      </c>
      <c r="L169" s="32" t="s">
        <v>67</v>
      </c>
      <c r="M169" s="33" t="s">
        <v>68</v>
      </c>
      <c r="N169" s="33"/>
      <c r="O169" s="32">
        <v>365</v>
      </c>
      <c r="P169" s="29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203"/>
      <c r="R169" s="203"/>
      <c r="S169" s="203"/>
      <c r="T169" s="204"/>
      <c r="U169" s="34"/>
      <c r="V169" s="34"/>
      <c r="W169" s="35" t="s">
        <v>69</v>
      </c>
      <c r="X169" s="198">
        <v>28</v>
      </c>
      <c r="Y169" s="19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68"/>
      <c r="AG169" s="67"/>
      <c r="AJ169" s="69" t="s">
        <v>70</v>
      </c>
      <c r="AK169" s="69">
        <v>1</v>
      </c>
      <c r="BB169" s="135" t="s">
        <v>79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250</v>
      </c>
      <c r="B170" s="54" t="s">
        <v>251</v>
      </c>
      <c r="C170" s="31">
        <v>4301132100</v>
      </c>
      <c r="D170" s="205">
        <v>4607111035691</v>
      </c>
      <c r="E170" s="206"/>
      <c r="F170" s="197">
        <v>0.25</v>
      </c>
      <c r="G170" s="32">
        <v>12</v>
      </c>
      <c r="H170" s="197">
        <v>3</v>
      </c>
      <c r="I170" s="197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4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203"/>
      <c r="R170" s="203"/>
      <c r="S170" s="203"/>
      <c r="T170" s="204"/>
      <c r="U170" s="34"/>
      <c r="V170" s="34"/>
      <c r="W170" s="35" t="s">
        <v>69</v>
      </c>
      <c r="X170" s="198">
        <v>0</v>
      </c>
      <c r="Y170" s="199">
        <f>IFERROR(IF(X170="","",X170),"")</f>
        <v>0</v>
      </c>
      <c r="Z170" s="36">
        <f>IFERROR(IF(X170="","",X170*0.01788),"")</f>
        <v>0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252</v>
      </c>
      <c r="B171" s="54" t="s">
        <v>253</v>
      </c>
      <c r="C171" s="31">
        <v>4301132079</v>
      </c>
      <c r="D171" s="205">
        <v>4607111038487</v>
      </c>
      <c r="E171" s="206"/>
      <c r="F171" s="197">
        <v>0.25</v>
      </c>
      <c r="G171" s="32">
        <v>12</v>
      </c>
      <c r="H171" s="197">
        <v>3</v>
      </c>
      <c r="I171" s="197">
        <v>3.7360000000000002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180</v>
      </c>
      <c r="P171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203"/>
      <c r="R171" s="203"/>
      <c r="S171" s="203"/>
      <c r="T171" s="204"/>
      <c r="U171" s="34"/>
      <c r="V171" s="34"/>
      <c r="W171" s="35" t="s">
        <v>69</v>
      </c>
      <c r="X171" s="198">
        <v>0</v>
      </c>
      <c r="Y171" s="199">
        <f>IFERROR(IF(X171="","",X171),"")</f>
        <v>0</v>
      </c>
      <c r="Z171" s="36">
        <f>IFERROR(IF(X171="","",X171*0.01788),"")</f>
        <v>0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10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2"/>
      <c r="P172" s="218" t="s">
        <v>71</v>
      </c>
      <c r="Q172" s="219"/>
      <c r="R172" s="219"/>
      <c r="S172" s="219"/>
      <c r="T172" s="219"/>
      <c r="U172" s="219"/>
      <c r="V172" s="220"/>
      <c r="W172" s="37" t="s">
        <v>69</v>
      </c>
      <c r="X172" s="200">
        <f>IFERROR(SUM(X169:X171),"0")</f>
        <v>28</v>
      </c>
      <c r="Y172" s="200">
        <f>IFERROR(SUM(Y169:Y171),"0")</f>
        <v>28</v>
      </c>
      <c r="Z172" s="200">
        <f>IFERROR(IF(Z169="",0,Z169),"0")+IFERROR(IF(Z170="",0,Z170),"0")+IFERROR(IF(Z171="",0,Z171),"0")</f>
        <v>0.50063999999999997</v>
      </c>
      <c r="AA172" s="201"/>
      <c r="AB172" s="201"/>
      <c r="AC172" s="201"/>
    </row>
    <row r="173" spans="1:68" x14ac:dyDescent="0.2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2"/>
      <c r="P173" s="218" t="s">
        <v>71</v>
      </c>
      <c r="Q173" s="219"/>
      <c r="R173" s="219"/>
      <c r="S173" s="219"/>
      <c r="T173" s="219"/>
      <c r="U173" s="219"/>
      <c r="V173" s="220"/>
      <c r="W173" s="37" t="s">
        <v>72</v>
      </c>
      <c r="X173" s="200">
        <f>IFERROR(SUMPRODUCT(X169:X171*H169:H171),"0")</f>
        <v>84</v>
      </c>
      <c r="Y173" s="200">
        <f>IFERROR(SUMPRODUCT(Y169:Y171*H169:H171),"0")</f>
        <v>84</v>
      </c>
      <c r="Z173" s="37"/>
      <c r="AA173" s="201"/>
      <c r="AB173" s="201"/>
      <c r="AC173" s="201"/>
    </row>
    <row r="174" spans="1:68" ht="16.5" customHeight="1" x14ac:dyDescent="0.25">
      <c r="A174" s="214" t="s">
        <v>246</v>
      </c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192"/>
      <c r="AB174" s="192"/>
      <c r="AC174" s="192"/>
    </row>
    <row r="175" spans="1:68" ht="14.25" customHeight="1" x14ac:dyDescent="0.25">
      <c r="A175" s="215" t="s">
        <v>254</v>
      </c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191"/>
      <c r="AB175" s="191"/>
      <c r="AC175" s="191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05">
        <v>4680115885875</v>
      </c>
      <c r="E176" s="206"/>
      <c r="F176" s="197">
        <v>1</v>
      </c>
      <c r="G176" s="32">
        <v>9</v>
      </c>
      <c r="H176" s="197">
        <v>9</v>
      </c>
      <c r="I176" s="197">
        <v>9.48</v>
      </c>
      <c r="J176" s="32">
        <v>56</v>
      </c>
      <c r="K176" s="32" t="s">
        <v>257</v>
      </c>
      <c r="L176" s="32" t="s">
        <v>67</v>
      </c>
      <c r="M176" s="33" t="s">
        <v>258</v>
      </c>
      <c r="N176" s="33"/>
      <c r="O176" s="32">
        <v>365</v>
      </c>
      <c r="P176" s="374" t="s">
        <v>259</v>
      </c>
      <c r="Q176" s="203"/>
      <c r="R176" s="203"/>
      <c r="S176" s="203"/>
      <c r="T176" s="204"/>
      <c r="U176" s="34"/>
      <c r="V176" s="34"/>
      <c r="W176" s="35" t="s">
        <v>69</v>
      </c>
      <c r="X176" s="198">
        <v>0</v>
      </c>
      <c r="Y176" s="199">
        <f>IFERROR(IF(X176="","",X176),"")</f>
        <v>0</v>
      </c>
      <c r="Z176" s="36">
        <f>IFERROR(IF(X176="","",X176*0.02175),"")</f>
        <v>0</v>
      </c>
      <c r="AA176" s="56"/>
      <c r="AB176" s="57"/>
      <c r="AC176" s="68"/>
      <c r="AG176" s="67"/>
      <c r="AJ176" s="69" t="s">
        <v>70</v>
      </c>
      <c r="AK176" s="69">
        <v>1</v>
      </c>
      <c r="BB176" s="138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10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2"/>
      <c r="P177" s="218" t="s">
        <v>71</v>
      </c>
      <c r="Q177" s="219"/>
      <c r="R177" s="219"/>
      <c r="S177" s="219"/>
      <c r="T177" s="219"/>
      <c r="U177" s="219"/>
      <c r="V177" s="220"/>
      <c r="W177" s="37" t="s">
        <v>69</v>
      </c>
      <c r="X177" s="200">
        <f>IFERROR(SUM(X176:X176),"0")</f>
        <v>0</v>
      </c>
      <c r="Y177" s="200">
        <f>IFERROR(SUM(Y176:Y176),"0")</f>
        <v>0</v>
      </c>
      <c r="Z177" s="200">
        <f>IFERROR(IF(Z176="",0,Z176),"0")</f>
        <v>0</v>
      </c>
      <c r="AA177" s="201"/>
      <c r="AB177" s="201"/>
      <c r="AC177" s="201"/>
    </row>
    <row r="178" spans="1:68" x14ac:dyDescent="0.2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2"/>
      <c r="P178" s="218" t="s">
        <v>71</v>
      </c>
      <c r="Q178" s="219"/>
      <c r="R178" s="219"/>
      <c r="S178" s="219"/>
      <c r="T178" s="219"/>
      <c r="U178" s="219"/>
      <c r="V178" s="220"/>
      <c r="W178" s="37" t="s">
        <v>72</v>
      </c>
      <c r="X178" s="200">
        <f>IFERROR(SUMPRODUCT(X176:X176*H176:H176),"0")</f>
        <v>0</v>
      </c>
      <c r="Y178" s="200">
        <f>IFERROR(SUMPRODUCT(Y176:Y176*H176:H176),"0")</f>
        <v>0</v>
      </c>
      <c r="Z178" s="37"/>
      <c r="AA178" s="201"/>
      <c r="AB178" s="201"/>
      <c r="AC178" s="201"/>
    </row>
    <row r="179" spans="1:68" ht="16.5" customHeight="1" x14ac:dyDescent="0.25">
      <c r="A179" s="214" t="s">
        <v>261</v>
      </c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192"/>
      <c r="AB179" s="192"/>
      <c r="AC179" s="192"/>
    </row>
    <row r="180" spans="1:68" ht="14.25" customHeight="1" x14ac:dyDescent="0.25">
      <c r="A180" s="215" t="s">
        <v>254</v>
      </c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191"/>
      <c r="AB180" s="191"/>
      <c r="AC180" s="191"/>
    </row>
    <row r="181" spans="1:68" ht="27" customHeight="1" x14ac:dyDescent="0.25">
      <c r="A181" s="54" t="s">
        <v>262</v>
      </c>
      <c r="B181" s="54" t="s">
        <v>263</v>
      </c>
      <c r="C181" s="31">
        <v>4301051319</v>
      </c>
      <c r="D181" s="205">
        <v>4680115881204</v>
      </c>
      <c r="E181" s="206"/>
      <c r="F181" s="197">
        <v>0.33</v>
      </c>
      <c r="G181" s="32">
        <v>6</v>
      </c>
      <c r="H181" s="197">
        <v>1.98</v>
      </c>
      <c r="I181" s="197">
        <v>2.246</v>
      </c>
      <c r="J181" s="32">
        <v>156</v>
      </c>
      <c r="K181" s="32" t="s">
        <v>66</v>
      </c>
      <c r="L181" s="32" t="s">
        <v>67</v>
      </c>
      <c r="M181" s="33" t="s">
        <v>258</v>
      </c>
      <c r="N181" s="33"/>
      <c r="O181" s="32">
        <v>365</v>
      </c>
      <c r="P181" s="40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203"/>
      <c r="R181" s="203"/>
      <c r="S181" s="203"/>
      <c r="T181" s="204"/>
      <c r="U181" s="34"/>
      <c r="V181" s="34"/>
      <c r="W181" s="35" t="s">
        <v>69</v>
      </c>
      <c r="X181" s="198">
        <v>0</v>
      </c>
      <c r="Y181" s="199">
        <f>IFERROR(IF(X181="","",X181),"")</f>
        <v>0</v>
      </c>
      <c r="Z181" s="36">
        <f>IFERROR(IF(X181="","",X181*0.00753),"")</f>
        <v>0</v>
      </c>
      <c r="AA181" s="56"/>
      <c r="AB181" s="57"/>
      <c r="AC181" s="68"/>
      <c r="AG181" s="67"/>
      <c r="AJ181" s="69" t="s">
        <v>70</v>
      </c>
      <c r="AK181" s="69">
        <v>1</v>
      </c>
      <c r="BB181" s="139" t="s">
        <v>260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10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2"/>
      <c r="P182" s="218" t="s">
        <v>71</v>
      </c>
      <c r="Q182" s="219"/>
      <c r="R182" s="219"/>
      <c r="S182" s="219"/>
      <c r="T182" s="219"/>
      <c r="U182" s="219"/>
      <c r="V182" s="220"/>
      <c r="W182" s="37" t="s">
        <v>69</v>
      </c>
      <c r="X182" s="200">
        <f>IFERROR(SUM(X181:X181),"0")</f>
        <v>0</v>
      </c>
      <c r="Y182" s="200">
        <f>IFERROR(SUM(Y181:Y181),"0")</f>
        <v>0</v>
      </c>
      <c r="Z182" s="200">
        <f>IFERROR(IF(Z181="",0,Z181),"0")</f>
        <v>0</v>
      </c>
      <c r="AA182" s="201"/>
      <c r="AB182" s="201"/>
      <c r="AC182" s="201"/>
    </row>
    <row r="183" spans="1:68" x14ac:dyDescent="0.2">
      <c r="A183" s="211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2"/>
      <c r="P183" s="218" t="s">
        <v>71</v>
      </c>
      <c r="Q183" s="219"/>
      <c r="R183" s="219"/>
      <c r="S183" s="219"/>
      <c r="T183" s="219"/>
      <c r="U183" s="219"/>
      <c r="V183" s="220"/>
      <c r="W183" s="37" t="s">
        <v>72</v>
      </c>
      <c r="X183" s="200">
        <f>IFERROR(SUMPRODUCT(X181:X181*H181:H181),"0")</f>
        <v>0</v>
      </c>
      <c r="Y183" s="200">
        <f>IFERROR(SUMPRODUCT(Y181:Y181*H181:H181),"0")</f>
        <v>0</v>
      </c>
      <c r="Z183" s="37"/>
      <c r="AA183" s="201"/>
      <c r="AB183" s="201"/>
      <c r="AC183" s="201"/>
    </row>
    <row r="184" spans="1:68" ht="27.75" customHeight="1" x14ac:dyDescent="0.2">
      <c r="A184" s="270" t="s">
        <v>264</v>
      </c>
      <c r="B184" s="271"/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  <c r="AA184" s="48"/>
      <c r="AB184" s="48"/>
      <c r="AC184" s="48"/>
    </row>
    <row r="185" spans="1:68" ht="16.5" customHeight="1" x14ac:dyDescent="0.25">
      <c r="A185" s="214" t="s">
        <v>265</v>
      </c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  <c r="AA185" s="192"/>
      <c r="AB185" s="192"/>
      <c r="AC185" s="192"/>
    </row>
    <row r="186" spans="1:68" ht="14.25" customHeight="1" x14ac:dyDescent="0.25">
      <c r="A186" s="215" t="s">
        <v>63</v>
      </c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  <c r="AA186" s="191"/>
      <c r="AB186" s="191"/>
      <c r="AC186" s="191"/>
    </row>
    <row r="187" spans="1:68" ht="16.5" customHeight="1" x14ac:dyDescent="0.25">
      <c r="A187" s="54" t="s">
        <v>266</v>
      </c>
      <c r="B187" s="54" t="s">
        <v>267</v>
      </c>
      <c r="C187" s="31">
        <v>4301070948</v>
      </c>
      <c r="D187" s="205">
        <v>4607111037022</v>
      </c>
      <c r="E187" s="206"/>
      <c r="F187" s="197">
        <v>0.7</v>
      </c>
      <c r="G187" s="32">
        <v>8</v>
      </c>
      <c r="H187" s="197">
        <v>5.6</v>
      </c>
      <c r="I187" s="197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03"/>
      <c r="R187" s="203"/>
      <c r="S187" s="203"/>
      <c r="T187" s="204"/>
      <c r="U187" s="34"/>
      <c r="V187" s="34"/>
      <c r="W187" s="35" t="s">
        <v>69</v>
      </c>
      <c r="X187" s="198">
        <v>0</v>
      </c>
      <c r="Y187" s="199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 t="s">
        <v>70</v>
      </c>
      <c r="AK187" s="69">
        <v>1</v>
      </c>
      <c r="BB187" s="140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268</v>
      </c>
      <c r="B188" s="54" t="s">
        <v>269</v>
      </c>
      <c r="C188" s="31">
        <v>4301070990</v>
      </c>
      <c r="D188" s="205">
        <v>4607111038494</v>
      </c>
      <c r="E188" s="206"/>
      <c r="F188" s="197">
        <v>0.7</v>
      </c>
      <c r="G188" s="32">
        <v>8</v>
      </c>
      <c r="H188" s="197">
        <v>5.6</v>
      </c>
      <c r="I188" s="197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36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03"/>
      <c r="R188" s="203"/>
      <c r="S188" s="203"/>
      <c r="T188" s="204"/>
      <c r="U188" s="34"/>
      <c r="V188" s="34"/>
      <c r="W188" s="35" t="s">
        <v>69</v>
      </c>
      <c r="X188" s="198">
        <v>0</v>
      </c>
      <c r="Y188" s="199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270</v>
      </c>
      <c r="B189" s="54" t="s">
        <v>271</v>
      </c>
      <c r="C189" s="31">
        <v>4301070966</v>
      </c>
      <c r="D189" s="205">
        <v>4607111038135</v>
      </c>
      <c r="E189" s="206"/>
      <c r="F189" s="197">
        <v>0.7</v>
      </c>
      <c r="G189" s="32">
        <v>8</v>
      </c>
      <c r="H189" s="197">
        <v>5.6</v>
      </c>
      <c r="I189" s="197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2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03"/>
      <c r="R189" s="203"/>
      <c r="S189" s="203"/>
      <c r="T189" s="204"/>
      <c r="U189" s="34"/>
      <c r="V189" s="34"/>
      <c r="W189" s="35" t="s">
        <v>69</v>
      </c>
      <c r="X189" s="198">
        <v>0</v>
      </c>
      <c r="Y189" s="199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10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2"/>
      <c r="P190" s="218" t="s">
        <v>71</v>
      </c>
      <c r="Q190" s="219"/>
      <c r="R190" s="219"/>
      <c r="S190" s="219"/>
      <c r="T190" s="219"/>
      <c r="U190" s="219"/>
      <c r="V190" s="220"/>
      <c r="W190" s="37" t="s">
        <v>69</v>
      </c>
      <c r="X190" s="200">
        <f>IFERROR(SUM(X187:X189),"0")</f>
        <v>0</v>
      </c>
      <c r="Y190" s="200">
        <f>IFERROR(SUM(Y187:Y189),"0")</f>
        <v>0</v>
      </c>
      <c r="Z190" s="200">
        <f>IFERROR(IF(Z187="",0,Z187),"0")+IFERROR(IF(Z188="",0,Z188),"0")+IFERROR(IF(Z189="",0,Z189),"0")</f>
        <v>0</v>
      </c>
      <c r="AA190" s="201"/>
      <c r="AB190" s="201"/>
      <c r="AC190" s="201"/>
    </row>
    <row r="191" spans="1:68" x14ac:dyDescent="0.2">
      <c r="A191" s="211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2"/>
      <c r="P191" s="218" t="s">
        <v>71</v>
      </c>
      <c r="Q191" s="219"/>
      <c r="R191" s="219"/>
      <c r="S191" s="219"/>
      <c r="T191" s="219"/>
      <c r="U191" s="219"/>
      <c r="V191" s="220"/>
      <c r="W191" s="37" t="s">
        <v>72</v>
      </c>
      <c r="X191" s="200">
        <f>IFERROR(SUMPRODUCT(X187:X189*H187:H189),"0")</f>
        <v>0</v>
      </c>
      <c r="Y191" s="200">
        <f>IFERROR(SUMPRODUCT(Y187:Y189*H187:H189),"0")</f>
        <v>0</v>
      </c>
      <c r="Z191" s="37"/>
      <c r="AA191" s="201"/>
      <c r="AB191" s="201"/>
      <c r="AC191" s="201"/>
    </row>
    <row r="192" spans="1:68" ht="16.5" customHeight="1" x14ac:dyDescent="0.25">
      <c r="A192" s="214" t="s">
        <v>272</v>
      </c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192"/>
      <c r="AB192" s="192"/>
      <c r="AC192" s="192"/>
    </row>
    <row r="193" spans="1:68" ht="14.25" customHeight="1" x14ac:dyDescent="0.25">
      <c r="A193" s="215" t="s">
        <v>63</v>
      </c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191"/>
      <c r="AB193" s="191"/>
      <c r="AC193" s="191"/>
    </row>
    <row r="194" spans="1:68" ht="27" customHeight="1" x14ac:dyDescent="0.25">
      <c r="A194" s="54" t="s">
        <v>273</v>
      </c>
      <c r="B194" s="54" t="s">
        <v>274</v>
      </c>
      <c r="C194" s="31">
        <v>4301070996</v>
      </c>
      <c r="D194" s="205">
        <v>4607111038654</v>
      </c>
      <c r="E194" s="206"/>
      <c r="F194" s="197">
        <v>0.4</v>
      </c>
      <c r="G194" s="32">
        <v>16</v>
      </c>
      <c r="H194" s="197">
        <v>6.4</v>
      </c>
      <c r="I194" s="197">
        <v>6.63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03"/>
      <c r="R194" s="203"/>
      <c r="S194" s="203"/>
      <c r="T194" s="204"/>
      <c r="U194" s="34"/>
      <c r="V194" s="34"/>
      <c r="W194" s="35" t="s">
        <v>69</v>
      </c>
      <c r="X194" s="198">
        <v>0</v>
      </c>
      <c r="Y194" s="199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275</v>
      </c>
      <c r="B195" s="54" t="s">
        <v>276</v>
      </c>
      <c r="C195" s="31">
        <v>4301070997</v>
      </c>
      <c r="D195" s="205">
        <v>4607111038586</v>
      </c>
      <c r="E195" s="206"/>
      <c r="F195" s="197">
        <v>0.7</v>
      </c>
      <c r="G195" s="32">
        <v>8</v>
      </c>
      <c r="H195" s="197">
        <v>5.6</v>
      </c>
      <c r="I195" s="197">
        <v>5.83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03"/>
      <c r="R195" s="203"/>
      <c r="S195" s="203"/>
      <c r="T195" s="204"/>
      <c r="U195" s="34"/>
      <c r="V195" s="34"/>
      <c r="W195" s="35" t="s">
        <v>69</v>
      </c>
      <c r="X195" s="198">
        <v>12</v>
      </c>
      <c r="Y195" s="199">
        <f t="shared" si="18"/>
        <v>12</v>
      </c>
      <c r="Z195" s="36">
        <f t="shared" si="19"/>
        <v>0.186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277</v>
      </c>
      <c r="B196" s="54" t="s">
        <v>278</v>
      </c>
      <c r="C196" s="31">
        <v>4301070962</v>
      </c>
      <c r="D196" s="205">
        <v>4607111038609</v>
      </c>
      <c r="E196" s="206"/>
      <c r="F196" s="197">
        <v>0.4</v>
      </c>
      <c r="G196" s="32">
        <v>16</v>
      </c>
      <c r="H196" s="197">
        <v>6.4</v>
      </c>
      <c r="I196" s="197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03"/>
      <c r="R196" s="203"/>
      <c r="S196" s="203"/>
      <c r="T196" s="204"/>
      <c r="U196" s="34"/>
      <c r="V196" s="34"/>
      <c r="W196" s="35" t="s">
        <v>69</v>
      </c>
      <c r="X196" s="198">
        <v>0</v>
      </c>
      <c r="Y196" s="199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279</v>
      </c>
      <c r="B197" s="54" t="s">
        <v>280</v>
      </c>
      <c r="C197" s="31">
        <v>4301070963</v>
      </c>
      <c r="D197" s="205">
        <v>4607111038630</v>
      </c>
      <c r="E197" s="206"/>
      <c r="F197" s="197">
        <v>0.7</v>
      </c>
      <c r="G197" s="32">
        <v>8</v>
      </c>
      <c r="H197" s="197">
        <v>5.6</v>
      </c>
      <c r="I197" s="197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0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03"/>
      <c r="R197" s="203"/>
      <c r="S197" s="203"/>
      <c r="T197" s="204"/>
      <c r="U197" s="34"/>
      <c r="V197" s="34"/>
      <c r="W197" s="35" t="s">
        <v>69</v>
      </c>
      <c r="X197" s="198">
        <v>12</v>
      </c>
      <c r="Y197" s="199">
        <f t="shared" si="18"/>
        <v>12</v>
      </c>
      <c r="Z197" s="36">
        <f t="shared" si="19"/>
        <v>0.186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ht="27" customHeight="1" x14ac:dyDescent="0.25">
      <c r="A198" s="54" t="s">
        <v>281</v>
      </c>
      <c r="B198" s="54" t="s">
        <v>282</v>
      </c>
      <c r="C198" s="31">
        <v>4301070959</v>
      </c>
      <c r="D198" s="205">
        <v>4607111038616</v>
      </c>
      <c r="E198" s="206"/>
      <c r="F198" s="197">
        <v>0.4</v>
      </c>
      <c r="G198" s="32">
        <v>16</v>
      </c>
      <c r="H198" s="197">
        <v>6.4</v>
      </c>
      <c r="I198" s="197">
        <v>6.71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03"/>
      <c r="R198" s="203"/>
      <c r="S198" s="203"/>
      <c r="T198" s="204"/>
      <c r="U198" s="34"/>
      <c r="V198" s="34"/>
      <c r="W198" s="35" t="s">
        <v>69</v>
      </c>
      <c r="X198" s="198">
        <v>0</v>
      </c>
      <c r="Y198" s="199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283</v>
      </c>
      <c r="B199" s="54" t="s">
        <v>284</v>
      </c>
      <c r="C199" s="31">
        <v>4301070960</v>
      </c>
      <c r="D199" s="205">
        <v>4607111038623</v>
      </c>
      <c r="E199" s="206"/>
      <c r="F199" s="197">
        <v>0.7</v>
      </c>
      <c r="G199" s="32">
        <v>8</v>
      </c>
      <c r="H199" s="197">
        <v>5.6</v>
      </c>
      <c r="I199" s="197">
        <v>5.87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03"/>
      <c r="R199" s="203"/>
      <c r="S199" s="203"/>
      <c r="T199" s="204"/>
      <c r="U199" s="34"/>
      <c r="V199" s="34"/>
      <c r="W199" s="35" t="s">
        <v>69</v>
      </c>
      <c r="X199" s="198">
        <v>0</v>
      </c>
      <c r="Y199" s="199">
        <f t="shared" si="18"/>
        <v>0</v>
      </c>
      <c r="Z199" s="36">
        <f t="shared" si="19"/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210"/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2"/>
      <c r="P200" s="218" t="s">
        <v>71</v>
      </c>
      <c r="Q200" s="219"/>
      <c r="R200" s="219"/>
      <c r="S200" s="219"/>
      <c r="T200" s="219"/>
      <c r="U200" s="219"/>
      <c r="V200" s="220"/>
      <c r="W200" s="37" t="s">
        <v>69</v>
      </c>
      <c r="X200" s="200">
        <f>IFERROR(SUM(X194:X199),"0")</f>
        <v>24</v>
      </c>
      <c r="Y200" s="200">
        <f>IFERROR(SUM(Y194:Y199),"0")</f>
        <v>24</v>
      </c>
      <c r="Z200" s="200">
        <f>IFERROR(IF(Z194="",0,Z194),"0")+IFERROR(IF(Z195="",0,Z195),"0")+IFERROR(IF(Z196="",0,Z196),"0")+IFERROR(IF(Z197="",0,Z197),"0")+IFERROR(IF(Z198="",0,Z198),"0")+IFERROR(IF(Z199="",0,Z199),"0")</f>
        <v>0.372</v>
      </c>
      <c r="AA200" s="201"/>
      <c r="AB200" s="201"/>
      <c r="AC200" s="201"/>
    </row>
    <row r="201" spans="1:68" x14ac:dyDescent="0.2">
      <c r="A201" s="211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2"/>
      <c r="P201" s="218" t="s">
        <v>71</v>
      </c>
      <c r="Q201" s="219"/>
      <c r="R201" s="219"/>
      <c r="S201" s="219"/>
      <c r="T201" s="219"/>
      <c r="U201" s="219"/>
      <c r="V201" s="220"/>
      <c r="W201" s="37" t="s">
        <v>72</v>
      </c>
      <c r="X201" s="200">
        <f>IFERROR(SUMPRODUCT(X194:X199*H194:H199),"0")</f>
        <v>134.39999999999998</v>
      </c>
      <c r="Y201" s="200">
        <f>IFERROR(SUMPRODUCT(Y194:Y199*H194:H199),"0")</f>
        <v>134.39999999999998</v>
      </c>
      <c r="Z201" s="37"/>
      <c r="AA201" s="201"/>
      <c r="AB201" s="201"/>
      <c r="AC201" s="201"/>
    </row>
    <row r="202" spans="1:68" ht="16.5" customHeight="1" x14ac:dyDescent="0.25">
      <c r="A202" s="214" t="s">
        <v>285</v>
      </c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  <c r="AA202" s="192"/>
      <c r="AB202" s="192"/>
      <c r="AC202" s="192"/>
    </row>
    <row r="203" spans="1:68" ht="14.25" customHeight="1" x14ac:dyDescent="0.25">
      <c r="A203" s="215" t="s">
        <v>63</v>
      </c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  <c r="AA203" s="191"/>
      <c r="AB203" s="191"/>
      <c r="AC203" s="191"/>
    </row>
    <row r="204" spans="1:68" ht="27" customHeight="1" x14ac:dyDescent="0.25">
      <c r="A204" s="54" t="s">
        <v>286</v>
      </c>
      <c r="B204" s="54" t="s">
        <v>287</v>
      </c>
      <c r="C204" s="31">
        <v>4301070915</v>
      </c>
      <c r="D204" s="205">
        <v>4607111035882</v>
      </c>
      <c r="E204" s="206"/>
      <c r="F204" s="197">
        <v>0.43</v>
      </c>
      <c r="G204" s="32">
        <v>16</v>
      </c>
      <c r="H204" s="197">
        <v>6.88</v>
      </c>
      <c r="I204" s="197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03"/>
      <c r="R204" s="203"/>
      <c r="S204" s="203"/>
      <c r="T204" s="204"/>
      <c r="U204" s="34"/>
      <c r="V204" s="34"/>
      <c r="W204" s="35" t="s">
        <v>69</v>
      </c>
      <c r="X204" s="198">
        <v>0</v>
      </c>
      <c r="Y204" s="199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49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288</v>
      </c>
      <c r="B205" s="54" t="s">
        <v>289</v>
      </c>
      <c r="C205" s="31">
        <v>4301070921</v>
      </c>
      <c r="D205" s="205">
        <v>4607111035905</v>
      </c>
      <c r="E205" s="206"/>
      <c r="F205" s="197">
        <v>0.9</v>
      </c>
      <c r="G205" s="32">
        <v>8</v>
      </c>
      <c r="H205" s="197">
        <v>7.2</v>
      </c>
      <c r="I205" s="197">
        <v>7.47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03"/>
      <c r="R205" s="203"/>
      <c r="S205" s="203"/>
      <c r="T205" s="204"/>
      <c r="U205" s="34"/>
      <c r="V205" s="34"/>
      <c r="W205" s="35" t="s">
        <v>69</v>
      </c>
      <c r="X205" s="198">
        <v>0</v>
      </c>
      <c r="Y205" s="199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290</v>
      </c>
      <c r="B206" s="54" t="s">
        <v>291</v>
      </c>
      <c r="C206" s="31">
        <v>4301070917</v>
      </c>
      <c r="D206" s="205">
        <v>4607111035912</v>
      </c>
      <c r="E206" s="206"/>
      <c r="F206" s="197">
        <v>0.43</v>
      </c>
      <c r="G206" s="32">
        <v>16</v>
      </c>
      <c r="H206" s="197">
        <v>6.88</v>
      </c>
      <c r="I206" s="197">
        <v>7.19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3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03"/>
      <c r="R206" s="203"/>
      <c r="S206" s="203"/>
      <c r="T206" s="204"/>
      <c r="U206" s="34"/>
      <c r="V206" s="34"/>
      <c r="W206" s="35" t="s">
        <v>69</v>
      </c>
      <c r="X206" s="198">
        <v>0</v>
      </c>
      <c r="Y206" s="199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292</v>
      </c>
      <c r="B207" s="54" t="s">
        <v>293</v>
      </c>
      <c r="C207" s="31">
        <v>4301070920</v>
      </c>
      <c r="D207" s="205">
        <v>4607111035929</v>
      </c>
      <c r="E207" s="206"/>
      <c r="F207" s="197">
        <v>0.9</v>
      </c>
      <c r="G207" s="32">
        <v>8</v>
      </c>
      <c r="H207" s="197">
        <v>7.2</v>
      </c>
      <c r="I207" s="197">
        <v>7.47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03"/>
      <c r="R207" s="203"/>
      <c r="S207" s="203"/>
      <c r="T207" s="204"/>
      <c r="U207" s="34"/>
      <c r="V207" s="34"/>
      <c r="W207" s="35" t="s">
        <v>69</v>
      </c>
      <c r="X207" s="198">
        <v>0</v>
      </c>
      <c r="Y207" s="199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10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2"/>
      <c r="P208" s="218" t="s">
        <v>71</v>
      </c>
      <c r="Q208" s="219"/>
      <c r="R208" s="219"/>
      <c r="S208" s="219"/>
      <c r="T208" s="219"/>
      <c r="U208" s="219"/>
      <c r="V208" s="220"/>
      <c r="W208" s="37" t="s">
        <v>69</v>
      </c>
      <c r="X208" s="200">
        <f>IFERROR(SUM(X204:X207),"0")</f>
        <v>0</v>
      </c>
      <c r="Y208" s="200">
        <f>IFERROR(SUM(Y204:Y207),"0")</f>
        <v>0</v>
      </c>
      <c r="Z208" s="200">
        <f>IFERROR(IF(Z204="",0,Z204),"0")+IFERROR(IF(Z205="",0,Z205),"0")+IFERROR(IF(Z206="",0,Z206),"0")+IFERROR(IF(Z207="",0,Z207),"0")</f>
        <v>0</v>
      </c>
      <c r="AA208" s="201"/>
      <c r="AB208" s="201"/>
      <c r="AC208" s="201"/>
    </row>
    <row r="209" spans="1:68" x14ac:dyDescent="0.2">
      <c r="A209" s="211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2"/>
      <c r="P209" s="218" t="s">
        <v>71</v>
      </c>
      <c r="Q209" s="219"/>
      <c r="R209" s="219"/>
      <c r="S209" s="219"/>
      <c r="T209" s="219"/>
      <c r="U209" s="219"/>
      <c r="V209" s="220"/>
      <c r="W209" s="37" t="s">
        <v>72</v>
      </c>
      <c r="X209" s="200">
        <f>IFERROR(SUMPRODUCT(X204:X207*H204:H207),"0")</f>
        <v>0</v>
      </c>
      <c r="Y209" s="200">
        <f>IFERROR(SUMPRODUCT(Y204:Y207*H204:H207),"0")</f>
        <v>0</v>
      </c>
      <c r="Z209" s="37"/>
      <c r="AA209" s="201"/>
      <c r="AB209" s="201"/>
      <c r="AC209" s="201"/>
    </row>
    <row r="210" spans="1:68" ht="16.5" customHeight="1" x14ac:dyDescent="0.25">
      <c r="A210" s="214" t="s">
        <v>294</v>
      </c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  <c r="AA210" s="192"/>
      <c r="AB210" s="192"/>
      <c r="AC210" s="192"/>
    </row>
    <row r="211" spans="1:68" ht="14.25" customHeight="1" x14ac:dyDescent="0.25">
      <c r="A211" s="215" t="s">
        <v>254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  <c r="AA211" s="191"/>
      <c r="AB211" s="191"/>
      <c r="AC211" s="191"/>
    </row>
    <row r="212" spans="1:68" ht="27" customHeight="1" x14ac:dyDescent="0.25">
      <c r="A212" s="54" t="s">
        <v>295</v>
      </c>
      <c r="B212" s="54" t="s">
        <v>296</v>
      </c>
      <c r="C212" s="31">
        <v>4301051320</v>
      </c>
      <c r="D212" s="205">
        <v>4680115881334</v>
      </c>
      <c r="E212" s="206"/>
      <c r="F212" s="197">
        <v>0.33</v>
      </c>
      <c r="G212" s="32">
        <v>6</v>
      </c>
      <c r="H212" s="197">
        <v>1.98</v>
      </c>
      <c r="I212" s="197">
        <v>2.27</v>
      </c>
      <c r="J212" s="32">
        <v>156</v>
      </c>
      <c r="K212" s="32" t="s">
        <v>66</v>
      </c>
      <c r="L212" s="32" t="s">
        <v>67</v>
      </c>
      <c r="M212" s="33" t="s">
        <v>258</v>
      </c>
      <c r="N212" s="33"/>
      <c r="O212" s="32">
        <v>365</v>
      </c>
      <c r="P212" s="34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03"/>
      <c r="R212" s="203"/>
      <c r="S212" s="203"/>
      <c r="T212" s="204"/>
      <c r="U212" s="34"/>
      <c r="V212" s="34"/>
      <c r="W212" s="35" t="s">
        <v>69</v>
      </c>
      <c r="X212" s="198">
        <v>0</v>
      </c>
      <c r="Y212" s="199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 t="s">
        <v>70</v>
      </c>
      <c r="AK212" s="69">
        <v>1</v>
      </c>
      <c r="BB212" s="153" t="s">
        <v>260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10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2"/>
      <c r="P213" s="218" t="s">
        <v>71</v>
      </c>
      <c r="Q213" s="219"/>
      <c r="R213" s="219"/>
      <c r="S213" s="219"/>
      <c r="T213" s="219"/>
      <c r="U213" s="219"/>
      <c r="V213" s="220"/>
      <c r="W213" s="37" t="s">
        <v>69</v>
      </c>
      <c r="X213" s="200">
        <f>IFERROR(SUM(X212:X212),"0")</f>
        <v>0</v>
      </c>
      <c r="Y213" s="200">
        <f>IFERROR(SUM(Y212:Y212),"0")</f>
        <v>0</v>
      </c>
      <c r="Z213" s="200">
        <f>IFERROR(IF(Z212="",0,Z212),"0")</f>
        <v>0</v>
      </c>
      <c r="AA213" s="201"/>
      <c r="AB213" s="201"/>
      <c r="AC213" s="201"/>
    </row>
    <row r="214" spans="1:68" x14ac:dyDescent="0.2">
      <c r="A214" s="211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2"/>
      <c r="P214" s="218" t="s">
        <v>71</v>
      </c>
      <c r="Q214" s="219"/>
      <c r="R214" s="219"/>
      <c r="S214" s="219"/>
      <c r="T214" s="219"/>
      <c r="U214" s="219"/>
      <c r="V214" s="220"/>
      <c r="W214" s="37" t="s">
        <v>72</v>
      </c>
      <c r="X214" s="200">
        <f>IFERROR(SUMPRODUCT(X212:X212*H212:H212),"0")</f>
        <v>0</v>
      </c>
      <c r="Y214" s="200">
        <f>IFERROR(SUMPRODUCT(Y212:Y212*H212:H212),"0")</f>
        <v>0</v>
      </c>
      <c r="Z214" s="37"/>
      <c r="AA214" s="201"/>
      <c r="AB214" s="201"/>
      <c r="AC214" s="201"/>
    </row>
    <row r="215" spans="1:68" ht="16.5" customHeight="1" x14ac:dyDescent="0.25">
      <c r="A215" s="214" t="s">
        <v>297</v>
      </c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  <c r="AA215" s="192"/>
      <c r="AB215" s="192"/>
      <c r="AC215" s="192"/>
    </row>
    <row r="216" spans="1:68" ht="14.25" customHeight="1" x14ac:dyDescent="0.25">
      <c r="A216" s="215" t="s">
        <v>63</v>
      </c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  <c r="AA216" s="191"/>
      <c r="AB216" s="191"/>
      <c r="AC216" s="191"/>
    </row>
    <row r="217" spans="1:68" ht="16.5" customHeight="1" x14ac:dyDescent="0.25">
      <c r="A217" s="54" t="s">
        <v>298</v>
      </c>
      <c r="B217" s="54" t="s">
        <v>299</v>
      </c>
      <c r="C217" s="31">
        <v>4301071063</v>
      </c>
      <c r="D217" s="205">
        <v>4607111039019</v>
      </c>
      <c r="E217" s="206"/>
      <c r="F217" s="197">
        <v>0.43</v>
      </c>
      <c r="G217" s="32">
        <v>16</v>
      </c>
      <c r="H217" s="197">
        <v>6.88</v>
      </c>
      <c r="I217" s="197">
        <v>7.2060000000000004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339" t="s">
        <v>300</v>
      </c>
      <c r="Q217" s="203"/>
      <c r="R217" s="203"/>
      <c r="S217" s="203"/>
      <c r="T217" s="204"/>
      <c r="U217" s="34"/>
      <c r="V217" s="34"/>
      <c r="W217" s="35" t="s">
        <v>69</v>
      </c>
      <c r="X217" s="198">
        <v>0</v>
      </c>
      <c r="Y217" s="199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 t="s">
        <v>70</v>
      </c>
      <c r="AK217" s="69">
        <v>1</v>
      </c>
      <c r="BB217" s="154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301</v>
      </c>
      <c r="B218" s="54" t="s">
        <v>302</v>
      </c>
      <c r="C218" s="31">
        <v>4301071000</v>
      </c>
      <c r="D218" s="205">
        <v>4607111038708</v>
      </c>
      <c r="E218" s="206"/>
      <c r="F218" s="197">
        <v>0.8</v>
      </c>
      <c r="G218" s="32">
        <v>8</v>
      </c>
      <c r="H218" s="197">
        <v>6.4</v>
      </c>
      <c r="I218" s="197">
        <v>6.67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03"/>
      <c r="R218" s="203"/>
      <c r="S218" s="203"/>
      <c r="T218" s="204"/>
      <c r="U218" s="34"/>
      <c r="V218" s="34"/>
      <c r="W218" s="35" t="s">
        <v>69</v>
      </c>
      <c r="X218" s="198">
        <v>0</v>
      </c>
      <c r="Y218" s="199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10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2"/>
      <c r="P219" s="218" t="s">
        <v>71</v>
      </c>
      <c r="Q219" s="219"/>
      <c r="R219" s="219"/>
      <c r="S219" s="219"/>
      <c r="T219" s="219"/>
      <c r="U219" s="219"/>
      <c r="V219" s="220"/>
      <c r="W219" s="37" t="s">
        <v>69</v>
      </c>
      <c r="X219" s="200">
        <f>IFERROR(SUM(X217:X218),"0")</f>
        <v>0</v>
      </c>
      <c r="Y219" s="200">
        <f>IFERROR(SUM(Y217:Y218),"0")</f>
        <v>0</v>
      </c>
      <c r="Z219" s="200">
        <f>IFERROR(IF(Z217="",0,Z217),"0")+IFERROR(IF(Z218="",0,Z218),"0")</f>
        <v>0</v>
      </c>
      <c r="AA219" s="201"/>
      <c r="AB219" s="201"/>
      <c r="AC219" s="201"/>
    </row>
    <row r="220" spans="1:68" x14ac:dyDescent="0.2">
      <c r="A220" s="211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2"/>
      <c r="P220" s="218" t="s">
        <v>71</v>
      </c>
      <c r="Q220" s="219"/>
      <c r="R220" s="219"/>
      <c r="S220" s="219"/>
      <c r="T220" s="219"/>
      <c r="U220" s="219"/>
      <c r="V220" s="220"/>
      <c r="W220" s="37" t="s">
        <v>72</v>
      </c>
      <c r="X220" s="200">
        <f>IFERROR(SUMPRODUCT(X217:X218*H217:H218),"0")</f>
        <v>0</v>
      </c>
      <c r="Y220" s="200">
        <f>IFERROR(SUMPRODUCT(Y217:Y218*H217:H218),"0")</f>
        <v>0</v>
      </c>
      <c r="Z220" s="37"/>
      <c r="AA220" s="201"/>
      <c r="AB220" s="201"/>
      <c r="AC220" s="201"/>
    </row>
    <row r="221" spans="1:68" ht="27.75" customHeight="1" x14ac:dyDescent="0.2">
      <c r="A221" s="270" t="s">
        <v>303</v>
      </c>
      <c r="B221" s="271"/>
      <c r="C221" s="271"/>
      <c r="D221" s="271"/>
      <c r="E221" s="271"/>
      <c r="F221" s="271"/>
      <c r="G221" s="271"/>
      <c r="H221" s="271"/>
      <c r="I221" s="271"/>
      <c r="J221" s="271"/>
      <c r="K221" s="271"/>
      <c r="L221" s="271"/>
      <c r="M221" s="271"/>
      <c r="N221" s="271"/>
      <c r="O221" s="271"/>
      <c r="P221" s="271"/>
      <c r="Q221" s="271"/>
      <c r="R221" s="271"/>
      <c r="S221" s="271"/>
      <c r="T221" s="271"/>
      <c r="U221" s="271"/>
      <c r="V221" s="271"/>
      <c r="W221" s="271"/>
      <c r="X221" s="271"/>
      <c r="Y221" s="271"/>
      <c r="Z221" s="271"/>
      <c r="AA221" s="48"/>
      <c r="AB221" s="48"/>
      <c r="AC221" s="48"/>
    </row>
    <row r="222" spans="1:68" ht="16.5" customHeight="1" x14ac:dyDescent="0.25">
      <c r="A222" s="214" t="s">
        <v>304</v>
      </c>
      <c r="B222" s="211"/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192"/>
      <c r="AB222" s="192"/>
      <c r="AC222" s="192"/>
    </row>
    <row r="223" spans="1:68" ht="14.25" customHeight="1" x14ac:dyDescent="0.25">
      <c r="A223" s="215" t="s">
        <v>63</v>
      </c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  <c r="AA223" s="191"/>
      <c r="AB223" s="191"/>
      <c r="AC223" s="191"/>
    </row>
    <row r="224" spans="1:68" ht="27" customHeight="1" x14ac:dyDescent="0.25">
      <c r="A224" s="54" t="s">
        <v>305</v>
      </c>
      <c r="B224" s="54" t="s">
        <v>306</v>
      </c>
      <c r="C224" s="31">
        <v>4301071036</v>
      </c>
      <c r="D224" s="205">
        <v>4607111036162</v>
      </c>
      <c r="E224" s="206"/>
      <c r="F224" s="197">
        <v>0.8</v>
      </c>
      <c r="G224" s="32">
        <v>8</v>
      </c>
      <c r="H224" s="197">
        <v>6.4</v>
      </c>
      <c r="I224" s="197">
        <v>6.6811999999999996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90</v>
      </c>
      <c r="P224" s="327" t="s">
        <v>307</v>
      </c>
      <c r="Q224" s="203"/>
      <c r="R224" s="203"/>
      <c r="S224" s="203"/>
      <c r="T224" s="204"/>
      <c r="U224" s="34"/>
      <c r="V224" s="34"/>
      <c r="W224" s="35" t="s">
        <v>69</v>
      </c>
      <c r="X224" s="198">
        <v>0</v>
      </c>
      <c r="Y224" s="199">
        <f>IFERROR(IF(X224="","",X224),"")</f>
        <v>0</v>
      </c>
      <c r="Z224" s="36">
        <f>IFERROR(IF(X224="","",X224*0.0155),"")</f>
        <v>0</v>
      </c>
      <c r="AA224" s="56"/>
      <c r="AB224" s="57"/>
      <c r="AC224" s="68"/>
      <c r="AG224" s="67"/>
      <c r="AJ224" s="69" t="s">
        <v>70</v>
      </c>
      <c r="AK224" s="69">
        <v>1</v>
      </c>
      <c r="BB224" s="156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10"/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211"/>
      <c r="O225" s="212"/>
      <c r="P225" s="218" t="s">
        <v>71</v>
      </c>
      <c r="Q225" s="219"/>
      <c r="R225" s="219"/>
      <c r="S225" s="219"/>
      <c r="T225" s="219"/>
      <c r="U225" s="219"/>
      <c r="V225" s="220"/>
      <c r="W225" s="37" t="s">
        <v>69</v>
      </c>
      <c r="X225" s="200">
        <f>IFERROR(SUM(X224:X224),"0")</f>
        <v>0</v>
      </c>
      <c r="Y225" s="200">
        <f>IFERROR(SUM(Y224:Y224),"0")</f>
        <v>0</v>
      </c>
      <c r="Z225" s="200">
        <f>IFERROR(IF(Z224="",0,Z224),"0")</f>
        <v>0</v>
      </c>
      <c r="AA225" s="201"/>
      <c r="AB225" s="201"/>
      <c r="AC225" s="201"/>
    </row>
    <row r="226" spans="1:68" x14ac:dyDescent="0.2">
      <c r="A226" s="211"/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2"/>
      <c r="P226" s="218" t="s">
        <v>71</v>
      </c>
      <c r="Q226" s="219"/>
      <c r="R226" s="219"/>
      <c r="S226" s="219"/>
      <c r="T226" s="219"/>
      <c r="U226" s="219"/>
      <c r="V226" s="220"/>
      <c r="W226" s="37" t="s">
        <v>72</v>
      </c>
      <c r="X226" s="200">
        <f>IFERROR(SUMPRODUCT(X224:X224*H224:H224),"0")</f>
        <v>0</v>
      </c>
      <c r="Y226" s="200">
        <f>IFERROR(SUMPRODUCT(Y224:Y224*H224:H224),"0")</f>
        <v>0</v>
      </c>
      <c r="Z226" s="37"/>
      <c r="AA226" s="201"/>
      <c r="AB226" s="201"/>
      <c r="AC226" s="201"/>
    </row>
    <row r="227" spans="1:68" ht="27.75" customHeight="1" x14ac:dyDescent="0.2">
      <c r="A227" s="270" t="s">
        <v>308</v>
      </c>
      <c r="B227" s="271"/>
      <c r="C227" s="271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271"/>
      <c r="R227" s="271"/>
      <c r="S227" s="271"/>
      <c r="T227" s="271"/>
      <c r="U227" s="271"/>
      <c r="V227" s="271"/>
      <c r="W227" s="271"/>
      <c r="X227" s="271"/>
      <c r="Y227" s="271"/>
      <c r="Z227" s="271"/>
      <c r="AA227" s="48"/>
      <c r="AB227" s="48"/>
      <c r="AC227" s="48"/>
    </row>
    <row r="228" spans="1:68" ht="16.5" customHeight="1" x14ac:dyDescent="0.25">
      <c r="A228" s="214" t="s">
        <v>309</v>
      </c>
      <c r="B228" s="211"/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192"/>
      <c r="AB228" s="192"/>
      <c r="AC228" s="192"/>
    </row>
    <row r="229" spans="1:68" ht="14.25" customHeight="1" x14ac:dyDescent="0.25">
      <c r="A229" s="215" t="s">
        <v>63</v>
      </c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  <c r="AA229" s="191"/>
      <c r="AB229" s="191"/>
      <c r="AC229" s="191"/>
    </row>
    <row r="230" spans="1:68" ht="27" customHeight="1" x14ac:dyDescent="0.25">
      <c r="A230" s="54" t="s">
        <v>310</v>
      </c>
      <c r="B230" s="54" t="s">
        <v>311</v>
      </c>
      <c r="C230" s="31">
        <v>4301071029</v>
      </c>
      <c r="D230" s="205">
        <v>4607111035899</v>
      </c>
      <c r="E230" s="206"/>
      <c r="F230" s="197">
        <v>1</v>
      </c>
      <c r="G230" s="32">
        <v>5</v>
      </c>
      <c r="H230" s="197">
        <v>5</v>
      </c>
      <c r="I230" s="197">
        <v>5.2619999999999996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03"/>
      <c r="R230" s="203"/>
      <c r="S230" s="203"/>
      <c r="T230" s="204"/>
      <c r="U230" s="34"/>
      <c r="V230" s="34"/>
      <c r="W230" s="35" t="s">
        <v>69</v>
      </c>
      <c r="X230" s="198">
        <v>108</v>
      </c>
      <c r="Y230" s="199">
        <f>IFERROR(IF(X230="","",X230),"")</f>
        <v>108</v>
      </c>
      <c r="Z230" s="36">
        <f>IFERROR(IF(X230="","",X230*0.0155),"")</f>
        <v>1.6739999999999999</v>
      </c>
      <c r="AA230" s="56"/>
      <c r="AB230" s="57"/>
      <c r="AC230" s="68"/>
      <c r="AG230" s="67"/>
      <c r="AJ230" s="69" t="s">
        <v>70</v>
      </c>
      <c r="AK230" s="69">
        <v>1</v>
      </c>
      <c r="BB230" s="157" t="s">
        <v>1</v>
      </c>
      <c r="BM230" s="67">
        <f>IFERROR(X230*I230,"0")</f>
        <v>568.29599999999994</v>
      </c>
      <c r="BN230" s="67">
        <f>IFERROR(Y230*I230,"0")</f>
        <v>568.29599999999994</v>
      </c>
      <c r="BO230" s="67">
        <f>IFERROR(X230/J230,"0")</f>
        <v>1.2857142857142858</v>
      </c>
      <c r="BP230" s="67">
        <f>IFERROR(Y230/J230,"0")</f>
        <v>1.2857142857142858</v>
      </c>
    </row>
    <row r="231" spans="1:68" ht="27" customHeight="1" x14ac:dyDescent="0.25">
      <c r="A231" s="54" t="s">
        <v>312</v>
      </c>
      <c r="B231" s="54" t="s">
        <v>313</v>
      </c>
      <c r="C231" s="31">
        <v>4301070991</v>
      </c>
      <c r="D231" s="205">
        <v>4607111038180</v>
      </c>
      <c r="E231" s="206"/>
      <c r="F231" s="197">
        <v>0.4</v>
      </c>
      <c r="G231" s="32">
        <v>16</v>
      </c>
      <c r="H231" s="197">
        <v>6.4</v>
      </c>
      <c r="I231" s="197">
        <v>6.71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21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203"/>
      <c r="R231" s="203"/>
      <c r="S231" s="203"/>
      <c r="T231" s="204"/>
      <c r="U231" s="34"/>
      <c r="V231" s="34"/>
      <c r="W231" s="35" t="s">
        <v>69</v>
      </c>
      <c r="X231" s="198">
        <v>0</v>
      </c>
      <c r="Y231" s="199">
        <f>IFERROR(IF(X231="","",X231),"")</f>
        <v>0</v>
      </c>
      <c r="Z231" s="36">
        <f>IFERROR(IF(X231="","",X231*0.0155),"")</f>
        <v>0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10"/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2"/>
      <c r="P232" s="218" t="s">
        <v>71</v>
      </c>
      <c r="Q232" s="219"/>
      <c r="R232" s="219"/>
      <c r="S232" s="219"/>
      <c r="T232" s="219"/>
      <c r="U232" s="219"/>
      <c r="V232" s="220"/>
      <c r="W232" s="37" t="s">
        <v>69</v>
      </c>
      <c r="X232" s="200">
        <f>IFERROR(SUM(X230:X231),"0")</f>
        <v>108</v>
      </c>
      <c r="Y232" s="200">
        <f>IFERROR(SUM(Y230:Y231),"0")</f>
        <v>108</v>
      </c>
      <c r="Z232" s="200">
        <f>IFERROR(IF(Z230="",0,Z230),"0")+IFERROR(IF(Z231="",0,Z231),"0")</f>
        <v>1.6739999999999999</v>
      </c>
      <c r="AA232" s="201"/>
      <c r="AB232" s="201"/>
      <c r="AC232" s="201"/>
    </row>
    <row r="233" spans="1:68" x14ac:dyDescent="0.2">
      <c r="A233" s="211"/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2"/>
      <c r="P233" s="218" t="s">
        <v>71</v>
      </c>
      <c r="Q233" s="219"/>
      <c r="R233" s="219"/>
      <c r="S233" s="219"/>
      <c r="T233" s="219"/>
      <c r="U233" s="219"/>
      <c r="V233" s="220"/>
      <c r="W233" s="37" t="s">
        <v>72</v>
      </c>
      <c r="X233" s="200">
        <f>IFERROR(SUMPRODUCT(X230:X231*H230:H231),"0")</f>
        <v>540</v>
      </c>
      <c r="Y233" s="200">
        <f>IFERROR(SUMPRODUCT(Y230:Y231*H230:H231),"0")</f>
        <v>540</v>
      </c>
      <c r="Z233" s="37"/>
      <c r="AA233" s="201"/>
      <c r="AB233" s="201"/>
      <c r="AC233" s="201"/>
    </row>
    <row r="234" spans="1:68" ht="27.75" customHeight="1" x14ac:dyDescent="0.2">
      <c r="A234" s="270" t="s">
        <v>314</v>
      </c>
      <c r="B234" s="271"/>
      <c r="C234" s="271"/>
      <c r="D234" s="271"/>
      <c r="E234" s="271"/>
      <c r="F234" s="271"/>
      <c r="G234" s="271"/>
      <c r="H234" s="271"/>
      <c r="I234" s="271"/>
      <c r="J234" s="271"/>
      <c r="K234" s="271"/>
      <c r="L234" s="271"/>
      <c r="M234" s="271"/>
      <c r="N234" s="271"/>
      <c r="O234" s="271"/>
      <c r="P234" s="271"/>
      <c r="Q234" s="271"/>
      <c r="R234" s="271"/>
      <c r="S234" s="271"/>
      <c r="T234" s="271"/>
      <c r="U234" s="271"/>
      <c r="V234" s="271"/>
      <c r="W234" s="271"/>
      <c r="X234" s="271"/>
      <c r="Y234" s="271"/>
      <c r="Z234" s="271"/>
      <c r="AA234" s="48"/>
      <c r="AB234" s="48"/>
      <c r="AC234" s="48"/>
    </row>
    <row r="235" spans="1:68" ht="16.5" customHeight="1" x14ac:dyDescent="0.25">
      <c r="A235" s="214" t="s">
        <v>315</v>
      </c>
      <c r="B235" s="211"/>
      <c r="C235" s="211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  <c r="AA235" s="192"/>
      <c r="AB235" s="192"/>
      <c r="AC235" s="192"/>
    </row>
    <row r="236" spans="1:68" ht="14.25" customHeight="1" x14ac:dyDescent="0.25">
      <c r="A236" s="215" t="s">
        <v>138</v>
      </c>
      <c r="B236" s="211"/>
      <c r="C236" s="211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  <c r="AA236" s="191"/>
      <c r="AB236" s="191"/>
      <c r="AC236" s="191"/>
    </row>
    <row r="237" spans="1:68" ht="37.5" customHeight="1" x14ac:dyDescent="0.25">
      <c r="A237" s="54" t="s">
        <v>316</v>
      </c>
      <c r="B237" s="54" t="s">
        <v>317</v>
      </c>
      <c r="C237" s="31">
        <v>4301135400</v>
      </c>
      <c r="D237" s="205">
        <v>4607111039361</v>
      </c>
      <c r="E237" s="206"/>
      <c r="F237" s="197">
        <v>0.25</v>
      </c>
      <c r="G237" s="32">
        <v>12</v>
      </c>
      <c r="H237" s="197">
        <v>3</v>
      </c>
      <c r="I237" s="197">
        <v>3.7035999999999998</v>
      </c>
      <c r="J237" s="32">
        <v>70</v>
      </c>
      <c r="K237" s="32" t="s">
        <v>78</v>
      </c>
      <c r="L237" s="32" t="s">
        <v>67</v>
      </c>
      <c r="M237" s="33" t="s">
        <v>68</v>
      </c>
      <c r="N237" s="33"/>
      <c r="O237" s="32">
        <v>180</v>
      </c>
      <c r="P237" s="255" t="s">
        <v>318</v>
      </c>
      <c r="Q237" s="203"/>
      <c r="R237" s="203"/>
      <c r="S237" s="203"/>
      <c r="T237" s="204"/>
      <c r="U237" s="34"/>
      <c r="V237" s="34"/>
      <c r="W237" s="35" t="s">
        <v>69</v>
      </c>
      <c r="X237" s="198">
        <v>0</v>
      </c>
      <c r="Y237" s="199">
        <f>IFERROR(IF(X237="","",X237),"")</f>
        <v>0</v>
      </c>
      <c r="Z237" s="36">
        <f>IFERROR(IF(X237="","",X237*0.01788),"")</f>
        <v>0</v>
      </c>
      <c r="AA237" s="56"/>
      <c r="AB237" s="57"/>
      <c r="AC237" s="68"/>
      <c r="AG237" s="67"/>
      <c r="AJ237" s="69" t="s">
        <v>70</v>
      </c>
      <c r="AK237" s="69">
        <v>1</v>
      </c>
      <c r="BB237" s="159" t="s">
        <v>79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10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2"/>
      <c r="P238" s="218" t="s">
        <v>71</v>
      </c>
      <c r="Q238" s="219"/>
      <c r="R238" s="219"/>
      <c r="S238" s="219"/>
      <c r="T238" s="219"/>
      <c r="U238" s="219"/>
      <c r="V238" s="220"/>
      <c r="W238" s="37" t="s">
        <v>69</v>
      </c>
      <c r="X238" s="200">
        <f>IFERROR(SUM(X237:X237),"0")</f>
        <v>0</v>
      </c>
      <c r="Y238" s="200">
        <f>IFERROR(SUM(Y237:Y237),"0")</f>
        <v>0</v>
      </c>
      <c r="Z238" s="200">
        <f>IFERROR(IF(Z237="",0,Z237),"0")</f>
        <v>0</v>
      </c>
      <c r="AA238" s="201"/>
      <c r="AB238" s="201"/>
      <c r="AC238" s="201"/>
    </row>
    <row r="239" spans="1:68" x14ac:dyDescent="0.2">
      <c r="A239" s="211"/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2"/>
      <c r="P239" s="218" t="s">
        <v>71</v>
      </c>
      <c r="Q239" s="219"/>
      <c r="R239" s="219"/>
      <c r="S239" s="219"/>
      <c r="T239" s="219"/>
      <c r="U239" s="219"/>
      <c r="V239" s="220"/>
      <c r="W239" s="37" t="s">
        <v>72</v>
      </c>
      <c r="X239" s="200">
        <f>IFERROR(SUMPRODUCT(X237:X237*H237:H237),"0")</f>
        <v>0</v>
      </c>
      <c r="Y239" s="200">
        <f>IFERROR(SUMPRODUCT(Y237:Y237*H237:H237),"0")</f>
        <v>0</v>
      </c>
      <c r="Z239" s="37"/>
      <c r="AA239" s="201"/>
      <c r="AB239" s="201"/>
      <c r="AC239" s="201"/>
    </row>
    <row r="240" spans="1:68" ht="27.75" customHeight="1" x14ac:dyDescent="0.2">
      <c r="A240" s="270" t="s">
        <v>224</v>
      </c>
      <c r="B240" s="271"/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48"/>
      <c r="AB240" s="48"/>
      <c r="AC240" s="48"/>
    </row>
    <row r="241" spans="1:68" ht="16.5" customHeight="1" x14ac:dyDescent="0.25">
      <c r="A241" s="214" t="s">
        <v>224</v>
      </c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  <c r="AA241" s="192"/>
      <c r="AB241" s="192"/>
      <c r="AC241" s="192"/>
    </row>
    <row r="242" spans="1:68" ht="14.25" customHeight="1" x14ac:dyDescent="0.25">
      <c r="A242" s="215" t="s">
        <v>63</v>
      </c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  <c r="AA242" s="191"/>
      <c r="AB242" s="191"/>
      <c r="AC242" s="191"/>
    </row>
    <row r="243" spans="1:68" ht="27" customHeight="1" x14ac:dyDescent="0.25">
      <c r="A243" s="54" t="s">
        <v>319</v>
      </c>
      <c r="B243" s="54" t="s">
        <v>320</v>
      </c>
      <c r="C243" s="31">
        <v>4301071014</v>
      </c>
      <c r="D243" s="205">
        <v>4640242181264</v>
      </c>
      <c r="E243" s="206"/>
      <c r="F243" s="197">
        <v>0.7</v>
      </c>
      <c r="G243" s="32">
        <v>10</v>
      </c>
      <c r="H243" s="197">
        <v>7</v>
      </c>
      <c r="I243" s="197">
        <v>7.28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404" t="s">
        <v>321</v>
      </c>
      <c r="Q243" s="203"/>
      <c r="R243" s="203"/>
      <c r="S243" s="203"/>
      <c r="T243" s="204"/>
      <c r="U243" s="34"/>
      <c r="V243" s="34"/>
      <c r="W243" s="35" t="s">
        <v>69</v>
      </c>
      <c r="X243" s="198">
        <v>12</v>
      </c>
      <c r="Y243" s="199">
        <f>IFERROR(IF(X243="","",X243),"")</f>
        <v>12</v>
      </c>
      <c r="Z243" s="36">
        <f>IFERROR(IF(X243="","",X243*0.0155),"")</f>
        <v>0.186</v>
      </c>
      <c r="AA243" s="56"/>
      <c r="AB243" s="57"/>
      <c r="AC243" s="68"/>
      <c r="AG243" s="67"/>
      <c r="AJ243" s="69" t="s">
        <v>70</v>
      </c>
      <c r="AK243" s="69">
        <v>1</v>
      </c>
      <c r="BB243" s="160" t="s">
        <v>1</v>
      </c>
      <c r="BM243" s="67">
        <f>IFERROR(X243*I243,"0")</f>
        <v>87.36</v>
      </c>
      <c r="BN243" s="67">
        <f>IFERROR(Y243*I243,"0")</f>
        <v>87.36</v>
      </c>
      <c r="BO243" s="67">
        <f>IFERROR(X243/J243,"0")</f>
        <v>0.14285714285714285</v>
      </c>
      <c r="BP243" s="67">
        <f>IFERROR(Y243/J243,"0")</f>
        <v>0.14285714285714285</v>
      </c>
    </row>
    <row r="244" spans="1:68" ht="27" customHeight="1" x14ac:dyDescent="0.25">
      <c r="A244" s="54" t="s">
        <v>322</v>
      </c>
      <c r="B244" s="54" t="s">
        <v>323</v>
      </c>
      <c r="C244" s="31">
        <v>4301071021</v>
      </c>
      <c r="D244" s="205">
        <v>4640242181325</v>
      </c>
      <c r="E244" s="206"/>
      <c r="F244" s="197">
        <v>0.7</v>
      </c>
      <c r="G244" s="32">
        <v>10</v>
      </c>
      <c r="H244" s="197">
        <v>7</v>
      </c>
      <c r="I244" s="197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208" t="s">
        <v>324</v>
      </c>
      <c r="Q244" s="203"/>
      <c r="R244" s="203"/>
      <c r="S244" s="203"/>
      <c r="T244" s="204"/>
      <c r="U244" s="34"/>
      <c r="V244" s="34"/>
      <c r="W244" s="35" t="s">
        <v>69</v>
      </c>
      <c r="X244" s="198">
        <v>0</v>
      </c>
      <c r="Y244" s="199">
        <f>IFERROR(IF(X244="","",X244),"")</f>
        <v>0</v>
      </c>
      <c r="Z244" s="36">
        <f>IFERROR(IF(X244="","",X244*0.0155),"")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325</v>
      </c>
      <c r="B245" s="54" t="s">
        <v>326</v>
      </c>
      <c r="C245" s="31">
        <v>4301070993</v>
      </c>
      <c r="D245" s="205">
        <v>4640242180670</v>
      </c>
      <c r="E245" s="206"/>
      <c r="F245" s="197">
        <v>1</v>
      </c>
      <c r="G245" s="32">
        <v>6</v>
      </c>
      <c r="H245" s="197">
        <v>6</v>
      </c>
      <c r="I245" s="197">
        <v>6.23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6" t="s">
        <v>327</v>
      </c>
      <c r="Q245" s="203"/>
      <c r="R245" s="203"/>
      <c r="S245" s="203"/>
      <c r="T245" s="204"/>
      <c r="U245" s="34"/>
      <c r="V245" s="34"/>
      <c r="W245" s="35" t="s">
        <v>69</v>
      </c>
      <c r="X245" s="198">
        <v>0</v>
      </c>
      <c r="Y245" s="199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0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2"/>
      <c r="P246" s="218" t="s">
        <v>71</v>
      </c>
      <c r="Q246" s="219"/>
      <c r="R246" s="219"/>
      <c r="S246" s="219"/>
      <c r="T246" s="219"/>
      <c r="U246" s="219"/>
      <c r="V246" s="220"/>
      <c r="W246" s="37" t="s">
        <v>69</v>
      </c>
      <c r="X246" s="200">
        <f>IFERROR(SUM(X243:X245),"0")</f>
        <v>12</v>
      </c>
      <c r="Y246" s="200">
        <f>IFERROR(SUM(Y243:Y245),"0")</f>
        <v>12</v>
      </c>
      <c r="Z246" s="200">
        <f>IFERROR(IF(Z243="",0,Z243),"0")+IFERROR(IF(Z244="",0,Z244),"0")+IFERROR(IF(Z245="",0,Z245),"0")</f>
        <v>0.186</v>
      </c>
      <c r="AA246" s="201"/>
      <c r="AB246" s="201"/>
      <c r="AC246" s="201"/>
    </row>
    <row r="247" spans="1:68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2"/>
      <c r="P247" s="218" t="s">
        <v>71</v>
      </c>
      <c r="Q247" s="219"/>
      <c r="R247" s="219"/>
      <c r="S247" s="219"/>
      <c r="T247" s="219"/>
      <c r="U247" s="219"/>
      <c r="V247" s="220"/>
      <c r="W247" s="37" t="s">
        <v>72</v>
      </c>
      <c r="X247" s="200">
        <f>IFERROR(SUMPRODUCT(X243:X245*H243:H245),"0")</f>
        <v>84</v>
      </c>
      <c r="Y247" s="200">
        <f>IFERROR(SUMPRODUCT(Y243:Y245*H243:H245),"0")</f>
        <v>84</v>
      </c>
      <c r="Z247" s="37"/>
      <c r="AA247" s="201"/>
      <c r="AB247" s="201"/>
      <c r="AC247" s="201"/>
    </row>
    <row r="248" spans="1:68" ht="14.25" customHeight="1" x14ac:dyDescent="0.25">
      <c r="A248" s="215" t="s">
        <v>142</v>
      </c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191"/>
      <c r="AB248" s="191"/>
      <c r="AC248" s="191"/>
    </row>
    <row r="249" spans="1:68" ht="27" customHeight="1" x14ac:dyDescent="0.25">
      <c r="A249" s="54" t="s">
        <v>328</v>
      </c>
      <c r="B249" s="54" t="s">
        <v>329</v>
      </c>
      <c r="C249" s="31">
        <v>4301131019</v>
      </c>
      <c r="D249" s="205">
        <v>4640242180427</v>
      </c>
      <c r="E249" s="206"/>
      <c r="F249" s="197">
        <v>1.8</v>
      </c>
      <c r="G249" s="32">
        <v>1</v>
      </c>
      <c r="H249" s="197">
        <v>1.8</v>
      </c>
      <c r="I249" s="197">
        <v>1.915</v>
      </c>
      <c r="J249" s="32">
        <v>234</v>
      </c>
      <c r="K249" s="32" t="s">
        <v>134</v>
      </c>
      <c r="L249" s="32" t="s">
        <v>67</v>
      </c>
      <c r="M249" s="33" t="s">
        <v>68</v>
      </c>
      <c r="N249" s="33"/>
      <c r="O249" s="32">
        <v>180</v>
      </c>
      <c r="P249" s="226" t="s">
        <v>330</v>
      </c>
      <c r="Q249" s="203"/>
      <c r="R249" s="203"/>
      <c r="S249" s="203"/>
      <c r="T249" s="204"/>
      <c r="U249" s="34"/>
      <c r="V249" s="34"/>
      <c r="W249" s="35" t="s">
        <v>69</v>
      </c>
      <c r="X249" s="198">
        <v>305.99999999999989</v>
      </c>
      <c r="Y249" s="199">
        <f>IFERROR(IF(X249="","",X249),"")</f>
        <v>305.99999999999989</v>
      </c>
      <c r="Z249" s="36">
        <f>IFERROR(IF(X249="","",X249*0.00502),"")</f>
        <v>1.5361199999999995</v>
      </c>
      <c r="AA249" s="56"/>
      <c r="AB249" s="57"/>
      <c r="AC249" s="68"/>
      <c r="AG249" s="67"/>
      <c r="AJ249" s="69" t="s">
        <v>70</v>
      </c>
      <c r="AK249" s="69">
        <v>1</v>
      </c>
      <c r="BB249" s="163" t="s">
        <v>79</v>
      </c>
      <c r="BM249" s="67">
        <f>IFERROR(X249*I249,"0")</f>
        <v>585.98999999999978</v>
      </c>
      <c r="BN249" s="67">
        <f>IFERROR(Y249*I249,"0")</f>
        <v>585.98999999999978</v>
      </c>
      <c r="BO249" s="67">
        <f>IFERROR(X249/J249,"0")</f>
        <v>1.3076923076923073</v>
      </c>
      <c r="BP249" s="67">
        <f>IFERROR(Y249/J249,"0")</f>
        <v>1.3076923076923073</v>
      </c>
    </row>
    <row r="250" spans="1:68" x14ac:dyDescent="0.2">
      <c r="A250" s="210"/>
      <c r="B250" s="211"/>
      <c r="C250" s="211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2"/>
      <c r="P250" s="218" t="s">
        <v>71</v>
      </c>
      <c r="Q250" s="219"/>
      <c r="R250" s="219"/>
      <c r="S250" s="219"/>
      <c r="T250" s="219"/>
      <c r="U250" s="219"/>
      <c r="V250" s="220"/>
      <c r="W250" s="37" t="s">
        <v>69</v>
      </c>
      <c r="X250" s="200">
        <f>IFERROR(SUM(X249:X249),"0")</f>
        <v>305.99999999999989</v>
      </c>
      <c r="Y250" s="200">
        <f>IFERROR(SUM(Y249:Y249),"0")</f>
        <v>305.99999999999989</v>
      </c>
      <c r="Z250" s="200">
        <f>IFERROR(IF(Z249="",0,Z249),"0")</f>
        <v>1.5361199999999995</v>
      </c>
      <c r="AA250" s="201"/>
      <c r="AB250" s="201"/>
      <c r="AC250" s="201"/>
    </row>
    <row r="251" spans="1:68" x14ac:dyDescent="0.2">
      <c r="A251" s="211"/>
      <c r="B251" s="211"/>
      <c r="C251" s="211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2"/>
      <c r="P251" s="218" t="s">
        <v>71</v>
      </c>
      <c r="Q251" s="219"/>
      <c r="R251" s="219"/>
      <c r="S251" s="219"/>
      <c r="T251" s="219"/>
      <c r="U251" s="219"/>
      <c r="V251" s="220"/>
      <c r="W251" s="37" t="s">
        <v>72</v>
      </c>
      <c r="X251" s="200">
        <f>IFERROR(SUMPRODUCT(X249:X249*H249:H249),"0")</f>
        <v>550.79999999999984</v>
      </c>
      <c r="Y251" s="200">
        <f>IFERROR(SUMPRODUCT(Y249:Y249*H249:H249),"0")</f>
        <v>550.79999999999984</v>
      </c>
      <c r="Z251" s="37"/>
      <c r="AA251" s="201"/>
      <c r="AB251" s="201"/>
      <c r="AC251" s="201"/>
    </row>
    <row r="252" spans="1:68" ht="14.25" customHeight="1" x14ac:dyDescent="0.25">
      <c r="A252" s="215" t="s">
        <v>75</v>
      </c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1"/>
      <c r="X252" s="211"/>
      <c r="Y252" s="211"/>
      <c r="Z252" s="211"/>
      <c r="AA252" s="191"/>
      <c r="AB252" s="191"/>
      <c r="AC252" s="191"/>
    </row>
    <row r="253" spans="1:68" ht="27" customHeight="1" x14ac:dyDescent="0.25">
      <c r="A253" s="54" t="s">
        <v>331</v>
      </c>
      <c r="B253" s="54" t="s">
        <v>332</v>
      </c>
      <c r="C253" s="31">
        <v>4301132080</v>
      </c>
      <c r="D253" s="205">
        <v>4640242180397</v>
      </c>
      <c r="E253" s="206"/>
      <c r="F253" s="197">
        <v>1</v>
      </c>
      <c r="G253" s="32">
        <v>6</v>
      </c>
      <c r="H253" s="197">
        <v>6</v>
      </c>
      <c r="I253" s="197">
        <v>6.26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98" t="s">
        <v>333</v>
      </c>
      <c r="Q253" s="203"/>
      <c r="R253" s="203"/>
      <c r="S253" s="203"/>
      <c r="T253" s="204"/>
      <c r="U253" s="34"/>
      <c r="V253" s="34"/>
      <c r="W253" s="35" t="s">
        <v>69</v>
      </c>
      <c r="X253" s="198">
        <v>60</v>
      </c>
      <c r="Y253" s="199">
        <f>IFERROR(IF(X253="","",X253),"")</f>
        <v>60</v>
      </c>
      <c r="Z253" s="36">
        <f>IFERROR(IF(X253="","",X253*0.0155),"")</f>
        <v>0.92999999999999994</v>
      </c>
      <c r="AA253" s="56"/>
      <c r="AB253" s="57"/>
      <c r="AC253" s="68"/>
      <c r="AG253" s="67"/>
      <c r="AJ253" s="69" t="s">
        <v>70</v>
      </c>
      <c r="AK253" s="69">
        <v>1</v>
      </c>
      <c r="BB253" s="164" t="s">
        <v>79</v>
      </c>
      <c r="BM253" s="67">
        <f>IFERROR(X253*I253,"0")</f>
        <v>375.59999999999997</v>
      </c>
      <c r="BN253" s="67">
        <f>IFERROR(Y253*I253,"0")</f>
        <v>375.59999999999997</v>
      </c>
      <c r="BO253" s="67">
        <f>IFERROR(X253/J253,"0")</f>
        <v>0.7142857142857143</v>
      </c>
      <c r="BP253" s="67">
        <f>IFERROR(Y253/J253,"0")</f>
        <v>0.7142857142857143</v>
      </c>
    </row>
    <row r="254" spans="1:68" ht="27" customHeight="1" x14ac:dyDescent="0.25">
      <c r="A254" s="54" t="s">
        <v>334</v>
      </c>
      <c r="B254" s="54" t="s">
        <v>335</v>
      </c>
      <c r="C254" s="31">
        <v>4301132104</v>
      </c>
      <c r="D254" s="205">
        <v>4640242181219</v>
      </c>
      <c r="E254" s="206"/>
      <c r="F254" s="197">
        <v>0.3</v>
      </c>
      <c r="G254" s="32">
        <v>9</v>
      </c>
      <c r="H254" s="197">
        <v>2.7</v>
      </c>
      <c r="I254" s="197">
        <v>2.8450000000000002</v>
      </c>
      <c r="J254" s="32">
        <v>234</v>
      </c>
      <c r="K254" s="32" t="s">
        <v>134</v>
      </c>
      <c r="L254" s="32" t="s">
        <v>67</v>
      </c>
      <c r="M254" s="33" t="s">
        <v>68</v>
      </c>
      <c r="N254" s="33"/>
      <c r="O254" s="32">
        <v>180</v>
      </c>
      <c r="P254" s="347" t="s">
        <v>336</v>
      </c>
      <c r="Q254" s="203"/>
      <c r="R254" s="203"/>
      <c r="S254" s="203"/>
      <c r="T254" s="204"/>
      <c r="U254" s="34"/>
      <c r="V254" s="34"/>
      <c r="W254" s="35" t="s">
        <v>69</v>
      </c>
      <c r="X254" s="198">
        <v>0</v>
      </c>
      <c r="Y254" s="199">
        <f>IFERROR(IF(X254="","",X254),"")</f>
        <v>0</v>
      </c>
      <c r="Z254" s="36">
        <f>IFERROR(IF(X254="","",X254*0.00502),"")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10"/>
      <c r="B255" s="211"/>
      <c r="C255" s="211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12"/>
      <c r="P255" s="218" t="s">
        <v>71</v>
      </c>
      <c r="Q255" s="219"/>
      <c r="R255" s="219"/>
      <c r="S255" s="219"/>
      <c r="T255" s="219"/>
      <c r="U255" s="219"/>
      <c r="V255" s="220"/>
      <c r="W255" s="37" t="s">
        <v>69</v>
      </c>
      <c r="X255" s="200">
        <f>IFERROR(SUM(X253:X254),"0")</f>
        <v>60</v>
      </c>
      <c r="Y255" s="200">
        <f>IFERROR(SUM(Y253:Y254),"0")</f>
        <v>60</v>
      </c>
      <c r="Z255" s="200">
        <f>IFERROR(IF(Z253="",0,Z253),"0")+IFERROR(IF(Z254="",0,Z254),"0")</f>
        <v>0.92999999999999994</v>
      </c>
      <c r="AA255" s="201"/>
      <c r="AB255" s="201"/>
      <c r="AC255" s="201"/>
    </row>
    <row r="256" spans="1:68" x14ac:dyDescent="0.2">
      <c r="A256" s="211"/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2"/>
      <c r="P256" s="218" t="s">
        <v>71</v>
      </c>
      <c r="Q256" s="219"/>
      <c r="R256" s="219"/>
      <c r="S256" s="219"/>
      <c r="T256" s="219"/>
      <c r="U256" s="219"/>
      <c r="V256" s="220"/>
      <c r="W256" s="37" t="s">
        <v>72</v>
      </c>
      <c r="X256" s="200">
        <f>IFERROR(SUMPRODUCT(X253:X254*H253:H254),"0")</f>
        <v>360</v>
      </c>
      <c r="Y256" s="200">
        <f>IFERROR(SUMPRODUCT(Y253:Y254*H253:H254),"0")</f>
        <v>360</v>
      </c>
      <c r="Z256" s="37"/>
      <c r="AA256" s="201"/>
      <c r="AB256" s="201"/>
      <c r="AC256" s="201"/>
    </row>
    <row r="257" spans="1:68" ht="14.25" customHeight="1" x14ac:dyDescent="0.25">
      <c r="A257" s="215" t="s">
        <v>161</v>
      </c>
      <c r="B257" s="211"/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1"/>
      <c r="X257" s="211"/>
      <c r="Y257" s="211"/>
      <c r="Z257" s="211"/>
      <c r="AA257" s="191"/>
      <c r="AB257" s="191"/>
      <c r="AC257" s="191"/>
    </row>
    <row r="258" spans="1:68" ht="27" customHeight="1" x14ac:dyDescent="0.25">
      <c r="A258" s="54" t="s">
        <v>337</v>
      </c>
      <c r="B258" s="54" t="s">
        <v>338</v>
      </c>
      <c r="C258" s="31">
        <v>4301136028</v>
      </c>
      <c r="D258" s="205">
        <v>4640242180304</v>
      </c>
      <c r="E258" s="206"/>
      <c r="F258" s="197">
        <v>2.7</v>
      </c>
      <c r="G258" s="32">
        <v>1</v>
      </c>
      <c r="H258" s="197">
        <v>2.7</v>
      </c>
      <c r="I258" s="197">
        <v>2.8906000000000001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80" t="s">
        <v>339</v>
      </c>
      <c r="Q258" s="203"/>
      <c r="R258" s="203"/>
      <c r="S258" s="203"/>
      <c r="T258" s="204"/>
      <c r="U258" s="34"/>
      <c r="V258" s="34"/>
      <c r="W258" s="35" t="s">
        <v>69</v>
      </c>
      <c r="X258" s="198">
        <v>0</v>
      </c>
      <c r="Y258" s="199">
        <f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66" t="s">
        <v>79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340</v>
      </c>
      <c r="B259" s="54" t="s">
        <v>341</v>
      </c>
      <c r="C259" s="31">
        <v>4301136026</v>
      </c>
      <c r="D259" s="205">
        <v>4640242180236</v>
      </c>
      <c r="E259" s="206"/>
      <c r="F259" s="197">
        <v>5</v>
      </c>
      <c r="G259" s="32">
        <v>1</v>
      </c>
      <c r="H259" s="197">
        <v>5</v>
      </c>
      <c r="I259" s="197">
        <v>5.2350000000000003</v>
      </c>
      <c r="J259" s="32">
        <v>84</v>
      </c>
      <c r="K259" s="32" t="s">
        <v>66</v>
      </c>
      <c r="L259" s="32" t="s">
        <v>177</v>
      </c>
      <c r="M259" s="33" t="s">
        <v>68</v>
      </c>
      <c r="N259" s="33"/>
      <c r="O259" s="32">
        <v>180</v>
      </c>
      <c r="P259" s="265" t="s">
        <v>342</v>
      </c>
      <c r="Q259" s="203"/>
      <c r="R259" s="203"/>
      <c r="S259" s="203"/>
      <c r="T259" s="204"/>
      <c r="U259" s="34"/>
      <c r="V259" s="34"/>
      <c r="W259" s="35" t="s">
        <v>69</v>
      </c>
      <c r="X259" s="198">
        <v>228</v>
      </c>
      <c r="Y259" s="199">
        <f>IFERROR(IF(X259="","",X259),"")</f>
        <v>228</v>
      </c>
      <c r="Z259" s="36">
        <f>IFERROR(IF(X259="","",X259*0.0155),"")</f>
        <v>3.5339999999999998</v>
      </c>
      <c r="AA259" s="56"/>
      <c r="AB259" s="57"/>
      <c r="AC259" s="68"/>
      <c r="AG259" s="67"/>
      <c r="AJ259" s="69" t="s">
        <v>178</v>
      </c>
      <c r="AK259" s="69">
        <v>84</v>
      </c>
      <c r="BB259" s="167" t="s">
        <v>79</v>
      </c>
      <c r="BM259" s="67">
        <f>IFERROR(X259*I259,"0")</f>
        <v>1193.5800000000002</v>
      </c>
      <c r="BN259" s="67">
        <f>IFERROR(Y259*I259,"0")</f>
        <v>1193.5800000000002</v>
      </c>
      <c r="BO259" s="67">
        <f>IFERROR(X259/J259,"0")</f>
        <v>2.7142857142857144</v>
      </c>
      <c r="BP259" s="67">
        <f>IFERROR(Y259/J259,"0")</f>
        <v>2.7142857142857144</v>
      </c>
    </row>
    <row r="260" spans="1:68" ht="27" customHeight="1" x14ac:dyDescent="0.25">
      <c r="A260" s="54" t="s">
        <v>343</v>
      </c>
      <c r="B260" s="54" t="s">
        <v>344</v>
      </c>
      <c r="C260" s="31">
        <v>4301136029</v>
      </c>
      <c r="D260" s="205">
        <v>4640242180410</v>
      </c>
      <c r="E260" s="206"/>
      <c r="F260" s="197">
        <v>2.2400000000000002</v>
      </c>
      <c r="G260" s="32">
        <v>1</v>
      </c>
      <c r="H260" s="197">
        <v>2.2400000000000002</v>
      </c>
      <c r="I260" s="197">
        <v>2.4319999999999999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2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03"/>
      <c r="R260" s="203"/>
      <c r="S260" s="203"/>
      <c r="T260" s="204"/>
      <c r="U260" s="34"/>
      <c r="V260" s="34"/>
      <c r="W260" s="35" t="s">
        <v>69</v>
      </c>
      <c r="X260" s="198">
        <v>0</v>
      </c>
      <c r="Y260" s="199">
        <f>IFERROR(IF(X260="","",X260),"")</f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68" t="s">
        <v>79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10"/>
      <c r="B261" s="211"/>
      <c r="C261" s="211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2"/>
      <c r="P261" s="218" t="s">
        <v>71</v>
      </c>
      <c r="Q261" s="219"/>
      <c r="R261" s="219"/>
      <c r="S261" s="219"/>
      <c r="T261" s="219"/>
      <c r="U261" s="219"/>
      <c r="V261" s="220"/>
      <c r="W261" s="37" t="s">
        <v>69</v>
      </c>
      <c r="X261" s="200">
        <f>IFERROR(SUM(X258:X260),"0")</f>
        <v>228</v>
      </c>
      <c r="Y261" s="200">
        <f>IFERROR(SUM(Y258:Y260),"0")</f>
        <v>228</v>
      </c>
      <c r="Z261" s="200">
        <f>IFERROR(IF(Z258="",0,Z258),"0")+IFERROR(IF(Z259="",0,Z259),"0")+IFERROR(IF(Z260="",0,Z260),"0")</f>
        <v>3.5339999999999998</v>
      </c>
      <c r="AA261" s="201"/>
      <c r="AB261" s="201"/>
      <c r="AC261" s="201"/>
    </row>
    <row r="262" spans="1:68" x14ac:dyDescent="0.2">
      <c r="A262" s="211"/>
      <c r="B262" s="211"/>
      <c r="C262" s="211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2"/>
      <c r="P262" s="218" t="s">
        <v>71</v>
      </c>
      <c r="Q262" s="219"/>
      <c r="R262" s="219"/>
      <c r="S262" s="219"/>
      <c r="T262" s="219"/>
      <c r="U262" s="219"/>
      <c r="V262" s="220"/>
      <c r="W262" s="37" t="s">
        <v>72</v>
      </c>
      <c r="X262" s="200">
        <f>IFERROR(SUMPRODUCT(X258:X260*H258:H260),"0")</f>
        <v>1140</v>
      </c>
      <c r="Y262" s="200">
        <f>IFERROR(SUMPRODUCT(Y258:Y260*H258:H260),"0")</f>
        <v>1140</v>
      </c>
      <c r="Z262" s="37"/>
      <c r="AA262" s="201"/>
      <c r="AB262" s="201"/>
      <c r="AC262" s="201"/>
    </row>
    <row r="263" spans="1:68" ht="14.25" customHeight="1" x14ac:dyDescent="0.25">
      <c r="A263" s="215" t="s">
        <v>138</v>
      </c>
      <c r="B263" s="211"/>
      <c r="C263" s="211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  <c r="AA263" s="191"/>
      <c r="AB263" s="191"/>
      <c r="AC263" s="191"/>
    </row>
    <row r="264" spans="1:68" ht="37.5" customHeight="1" x14ac:dyDescent="0.25">
      <c r="A264" s="54" t="s">
        <v>345</v>
      </c>
      <c r="B264" s="54" t="s">
        <v>346</v>
      </c>
      <c r="C264" s="31">
        <v>4301135552</v>
      </c>
      <c r="D264" s="205">
        <v>4640242181431</v>
      </c>
      <c r="E264" s="206"/>
      <c r="F264" s="197">
        <v>3.5</v>
      </c>
      <c r="G264" s="32">
        <v>1</v>
      </c>
      <c r="H264" s="197">
        <v>3.5</v>
      </c>
      <c r="I264" s="197">
        <v>3.6920000000000002</v>
      </c>
      <c r="J264" s="32">
        <v>126</v>
      </c>
      <c r="K264" s="32" t="s">
        <v>78</v>
      </c>
      <c r="L264" s="32" t="s">
        <v>67</v>
      </c>
      <c r="M264" s="33" t="s">
        <v>68</v>
      </c>
      <c r="N264" s="33"/>
      <c r="O264" s="32">
        <v>180</v>
      </c>
      <c r="P264" s="306" t="s">
        <v>347</v>
      </c>
      <c r="Q264" s="203"/>
      <c r="R264" s="203"/>
      <c r="S264" s="203"/>
      <c r="T264" s="204"/>
      <c r="U264" s="34"/>
      <c r="V264" s="34"/>
      <c r="W264" s="35" t="s">
        <v>69</v>
      </c>
      <c r="X264" s="198">
        <v>0</v>
      </c>
      <c r="Y264" s="199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69" t="s">
        <v>79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348</v>
      </c>
      <c r="B265" s="54" t="s">
        <v>349</v>
      </c>
      <c r="C265" s="31">
        <v>4301135504</v>
      </c>
      <c r="D265" s="205">
        <v>4640242181554</v>
      </c>
      <c r="E265" s="206"/>
      <c r="F265" s="197">
        <v>3</v>
      </c>
      <c r="G265" s="32">
        <v>1</v>
      </c>
      <c r="H265" s="197">
        <v>3</v>
      </c>
      <c r="I265" s="197">
        <v>3.1920000000000002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50" t="s">
        <v>350</v>
      </c>
      <c r="Q265" s="203"/>
      <c r="R265" s="203"/>
      <c r="S265" s="203"/>
      <c r="T265" s="204"/>
      <c r="U265" s="34"/>
      <c r="V265" s="34"/>
      <c r="W265" s="35" t="s">
        <v>69</v>
      </c>
      <c r="X265" s="198">
        <v>0</v>
      </c>
      <c r="Y265" s="199">
        <f t="shared" si="24"/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351</v>
      </c>
      <c r="B266" s="54" t="s">
        <v>352</v>
      </c>
      <c r="C266" s="31">
        <v>4301135394</v>
      </c>
      <c r="D266" s="205">
        <v>4640242181561</v>
      </c>
      <c r="E266" s="206"/>
      <c r="F266" s="197">
        <v>3.7</v>
      </c>
      <c r="G266" s="32">
        <v>1</v>
      </c>
      <c r="H266" s="197">
        <v>3.7</v>
      </c>
      <c r="I266" s="197">
        <v>3.8919999999999999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59" t="s">
        <v>353</v>
      </c>
      <c r="Q266" s="203"/>
      <c r="R266" s="203"/>
      <c r="S266" s="203"/>
      <c r="T266" s="204"/>
      <c r="U266" s="34"/>
      <c r="V266" s="34"/>
      <c r="W266" s="35" t="s">
        <v>69</v>
      </c>
      <c r="X266" s="198">
        <v>112</v>
      </c>
      <c r="Y266" s="199">
        <f t="shared" si="24"/>
        <v>112</v>
      </c>
      <c r="Z266" s="36">
        <f>IFERROR(IF(X266="","",X266*0.00936),"")</f>
        <v>1.0483199999999999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435.904</v>
      </c>
      <c r="BN266" s="67">
        <f t="shared" si="26"/>
        <v>435.904</v>
      </c>
      <c r="BO266" s="67">
        <f t="shared" si="27"/>
        <v>0.88888888888888884</v>
      </c>
      <c r="BP266" s="67">
        <f t="shared" si="28"/>
        <v>0.88888888888888884</v>
      </c>
    </row>
    <row r="267" spans="1:68" ht="27" customHeight="1" x14ac:dyDescent="0.25">
      <c r="A267" s="54" t="s">
        <v>354</v>
      </c>
      <c r="B267" s="54" t="s">
        <v>355</v>
      </c>
      <c r="C267" s="31">
        <v>4301135374</v>
      </c>
      <c r="D267" s="205">
        <v>4640242181424</v>
      </c>
      <c r="E267" s="206"/>
      <c r="F267" s="197">
        <v>5.5</v>
      </c>
      <c r="G267" s="32">
        <v>1</v>
      </c>
      <c r="H267" s="197">
        <v>5.5</v>
      </c>
      <c r="I267" s="197">
        <v>5.7350000000000003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21" t="s">
        <v>356</v>
      </c>
      <c r="Q267" s="203"/>
      <c r="R267" s="203"/>
      <c r="S267" s="203"/>
      <c r="T267" s="204"/>
      <c r="U267" s="34"/>
      <c r="V267" s="34"/>
      <c r="W267" s="35" t="s">
        <v>69</v>
      </c>
      <c r="X267" s="198">
        <v>0</v>
      </c>
      <c r="Y267" s="199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357</v>
      </c>
      <c r="B268" s="54" t="s">
        <v>358</v>
      </c>
      <c r="C268" s="31">
        <v>4301135320</v>
      </c>
      <c r="D268" s="205">
        <v>4640242181592</v>
      </c>
      <c r="E268" s="206"/>
      <c r="F268" s="197">
        <v>3.5</v>
      </c>
      <c r="G268" s="32">
        <v>1</v>
      </c>
      <c r="H268" s="197">
        <v>3.5</v>
      </c>
      <c r="I268" s="197">
        <v>3.6850000000000001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269" t="s">
        <v>359</v>
      </c>
      <c r="Q268" s="203"/>
      <c r="R268" s="203"/>
      <c r="S268" s="203"/>
      <c r="T268" s="204"/>
      <c r="U268" s="34"/>
      <c r="V268" s="34"/>
      <c r="W268" s="35" t="s">
        <v>69</v>
      </c>
      <c r="X268" s="198">
        <v>0</v>
      </c>
      <c r="Y268" s="199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360</v>
      </c>
      <c r="B269" s="54" t="s">
        <v>361</v>
      </c>
      <c r="C269" s="31">
        <v>4301135405</v>
      </c>
      <c r="D269" s="205">
        <v>4640242181523</v>
      </c>
      <c r="E269" s="206"/>
      <c r="F269" s="197">
        <v>3</v>
      </c>
      <c r="G269" s="32">
        <v>1</v>
      </c>
      <c r="H269" s="197">
        <v>3</v>
      </c>
      <c r="I269" s="197">
        <v>3.1920000000000002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3" t="s">
        <v>362</v>
      </c>
      <c r="Q269" s="203"/>
      <c r="R269" s="203"/>
      <c r="S269" s="203"/>
      <c r="T269" s="204"/>
      <c r="U269" s="34"/>
      <c r="V269" s="34"/>
      <c r="W269" s="35" t="s">
        <v>69</v>
      </c>
      <c r="X269" s="198">
        <v>70</v>
      </c>
      <c r="Y269" s="199">
        <f t="shared" si="24"/>
        <v>70</v>
      </c>
      <c r="Z269" s="36">
        <f t="shared" si="29"/>
        <v>0.6552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223.44</v>
      </c>
      <c r="BN269" s="67">
        <f t="shared" si="26"/>
        <v>223.44</v>
      </c>
      <c r="BO269" s="67">
        <f t="shared" si="27"/>
        <v>0.55555555555555558</v>
      </c>
      <c r="BP269" s="67">
        <f t="shared" si="28"/>
        <v>0.55555555555555558</v>
      </c>
    </row>
    <row r="270" spans="1:68" ht="27" customHeight="1" x14ac:dyDescent="0.25">
      <c r="A270" s="54" t="s">
        <v>363</v>
      </c>
      <c r="B270" s="54" t="s">
        <v>364</v>
      </c>
      <c r="C270" s="31">
        <v>4301135404</v>
      </c>
      <c r="D270" s="205">
        <v>4640242181516</v>
      </c>
      <c r="E270" s="206"/>
      <c r="F270" s="197">
        <v>3.7</v>
      </c>
      <c r="G270" s="32">
        <v>1</v>
      </c>
      <c r="H270" s="197">
        <v>3.7</v>
      </c>
      <c r="I270" s="197">
        <v>3.8919999999999999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78" t="s">
        <v>365</v>
      </c>
      <c r="Q270" s="203"/>
      <c r="R270" s="203"/>
      <c r="S270" s="203"/>
      <c r="T270" s="204"/>
      <c r="U270" s="34"/>
      <c r="V270" s="34"/>
      <c r="W270" s="35" t="s">
        <v>69</v>
      </c>
      <c r="X270" s="198">
        <v>0</v>
      </c>
      <c r="Y270" s="199">
        <f t="shared" si="24"/>
        <v>0</v>
      </c>
      <c r="Z270" s="36">
        <f t="shared" si="29"/>
        <v>0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366</v>
      </c>
      <c r="B271" s="54" t="s">
        <v>367</v>
      </c>
      <c r="C271" s="31">
        <v>4301135402</v>
      </c>
      <c r="D271" s="205">
        <v>4640242181493</v>
      </c>
      <c r="E271" s="206"/>
      <c r="F271" s="197">
        <v>3.7</v>
      </c>
      <c r="G271" s="32">
        <v>1</v>
      </c>
      <c r="H271" s="197">
        <v>3.7</v>
      </c>
      <c r="I271" s="197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8" t="s">
        <v>368</v>
      </c>
      <c r="Q271" s="203"/>
      <c r="R271" s="203"/>
      <c r="S271" s="203"/>
      <c r="T271" s="204"/>
      <c r="U271" s="34"/>
      <c r="V271" s="34"/>
      <c r="W271" s="35" t="s">
        <v>69</v>
      </c>
      <c r="X271" s="198">
        <v>0</v>
      </c>
      <c r="Y271" s="199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4301135375</v>
      </c>
      <c r="D272" s="205">
        <v>4640242181486</v>
      </c>
      <c r="E272" s="206"/>
      <c r="F272" s="197">
        <v>3.7</v>
      </c>
      <c r="G272" s="32">
        <v>1</v>
      </c>
      <c r="H272" s="197">
        <v>3.7</v>
      </c>
      <c r="I272" s="197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11" t="s">
        <v>371</v>
      </c>
      <c r="Q272" s="203"/>
      <c r="R272" s="203"/>
      <c r="S272" s="203"/>
      <c r="T272" s="204"/>
      <c r="U272" s="34"/>
      <c r="V272" s="34"/>
      <c r="W272" s="35" t="s">
        <v>69</v>
      </c>
      <c r="X272" s="198">
        <v>0</v>
      </c>
      <c r="Y272" s="199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4301135403</v>
      </c>
      <c r="D273" s="205">
        <v>4640242181509</v>
      </c>
      <c r="E273" s="206"/>
      <c r="F273" s="197">
        <v>3.7</v>
      </c>
      <c r="G273" s="32">
        <v>1</v>
      </c>
      <c r="H273" s="197">
        <v>3.7</v>
      </c>
      <c r="I273" s="197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266" t="s">
        <v>374</v>
      </c>
      <c r="Q273" s="203"/>
      <c r="R273" s="203"/>
      <c r="S273" s="203"/>
      <c r="T273" s="204"/>
      <c r="U273" s="34"/>
      <c r="V273" s="34"/>
      <c r="W273" s="35" t="s">
        <v>69</v>
      </c>
      <c r="X273" s="198">
        <v>0</v>
      </c>
      <c r="Y273" s="199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375</v>
      </c>
      <c r="B274" s="54" t="s">
        <v>376</v>
      </c>
      <c r="C274" s="31">
        <v>4301135304</v>
      </c>
      <c r="D274" s="205">
        <v>4640242181240</v>
      </c>
      <c r="E274" s="206"/>
      <c r="F274" s="197">
        <v>0.3</v>
      </c>
      <c r="G274" s="32">
        <v>9</v>
      </c>
      <c r="H274" s="197">
        <v>2.7</v>
      </c>
      <c r="I274" s="197">
        <v>2.88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355" t="s">
        <v>377</v>
      </c>
      <c r="Q274" s="203"/>
      <c r="R274" s="203"/>
      <c r="S274" s="203"/>
      <c r="T274" s="204"/>
      <c r="U274" s="34"/>
      <c r="V274" s="34"/>
      <c r="W274" s="35" t="s">
        <v>69</v>
      </c>
      <c r="X274" s="198">
        <v>0</v>
      </c>
      <c r="Y274" s="199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378</v>
      </c>
      <c r="B275" s="54" t="s">
        <v>379</v>
      </c>
      <c r="C275" s="31">
        <v>4301135310</v>
      </c>
      <c r="D275" s="205">
        <v>4640242181318</v>
      </c>
      <c r="E275" s="206"/>
      <c r="F275" s="197">
        <v>0.3</v>
      </c>
      <c r="G275" s="32">
        <v>9</v>
      </c>
      <c r="H275" s="197">
        <v>2.7</v>
      </c>
      <c r="I275" s="197">
        <v>2.988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235" t="s">
        <v>380</v>
      </c>
      <c r="Q275" s="203"/>
      <c r="R275" s="203"/>
      <c r="S275" s="203"/>
      <c r="T275" s="204"/>
      <c r="U275" s="34"/>
      <c r="V275" s="34"/>
      <c r="W275" s="35" t="s">
        <v>69</v>
      </c>
      <c r="X275" s="198">
        <v>0</v>
      </c>
      <c r="Y275" s="199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4301135306</v>
      </c>
      <c r="D276" s="205">
        <v>4640242181578</v>
      </c>
      <c r="E276" s="206"/>
      <c r="F276" s="197">
        <v>0.3</v>
      </c>
      <c r="G276" s="32">
        <v>9</v>
      </c>
      <c r="H276" s="197">
        <v>2.7</v>
      </c>
      <c r="I276" s="197">
        <v>2.8450000000000002</v>
      </c>
      <c r="J276" s="32">
        <v>234</v>
      </c>
      <c r="K276" s="32" t="s">
        <v>134</v>
      </c>
      <c r="L276" s="32" t="s">
        <v>67</v>
      </c>
      <c r="M276" s="33" t="s">
        <v>68</v>
      </c>
      <c r="N276" s="33"/>
      <c r="O276" s="32">
        <v>180</v>
      </c>
      <c r="P276" s="377" t="s">
        <v>383</v>
      </c>
      <c r="Q276" s="203"/>
      <c r="R276" s="203"/>
      <c r="S276" s="203"/>
      <c r="T276" s="204"/>
      <c r="U276" s="34"/>
      <c r="V276" s="34"/>
      <c r="W276" s="35" t="s">
        <v>69</v>
      </c>
      <c r="X276" s="198">
        <v>0</v>
      </c>
      <c r="Y276" s="199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384</v>
      </c>
      <c r="B277" s="54" t="s">
        <v>385</v>
      </c>
      <c r="C277" s="31">
        <v>4301135305</v>
      </c>
      <c r="D277" s="205">
        <v>4640242181394</v>
      </c>
      <c r="E277" s="206"/>
      <c r="F277" s="197">
        <v>0.3</v>
      </c>
      <c r="G277" s="32">
        <v>9</v>
      </c>
      <c r="H277" s="197">
        <v>2.7</v>
      </c>
      <c r="I277" s="197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13" t="s">
        <v>386</v>
      </c>
      <c r="Q277" s="203"/>
      <c r="R277" s="203"/>
      <c r="S277" s="203"/>
      <c r="T277" s="204"/>
      <c r="U277" s="34"/>
      <c r="V277" s="34"/>
      <c r="W277" s="35" t="s">
        <v>69</v>
      </c>
      <c r="X277" s="198">
        <v>0</v>
      </c>
      <c r="Y277" s="199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387</v>
      </c>
      <c r="B278" s="54" t="s">
        <v>388</v>
      </c>
      <c r="C278" s="31">
        <v>4301135309</v>
      </c>
      <c r="D278" s="205">
        <v>4640242181332</v>
      </c>
      <c r="E278" s="206"/>
      <c r="F278" s="197">
        <v>0.3</v>
      </c>
      <c r="G278" s="32">
        <v>9</v>
      </c>
      <c r="H278" s="197">
        <v>2.7</v>
      </c>
      <c r="I278" s="197">
        <v>2.9079999999999999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382" t="s">
        <v>389</v>
      </c>
      <c r="Q278" s="203"/>
      <c r="R278" s="203"/>
      <c r="S278" s="203"/>
      <c r="T278" s="204"/>
      <c r="U278" s="34"/>
      <c r="V278" s="34"/>
      <c r="W278" s="35" t="s">
        <v>69</v>
      </c>
      <c r="X278" s="198">
        <v>0</v>
      </c>
      <c r="Y278" s="199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390</v>
      </c>
      <c r="B279" s="54" t="s">
        <v>391</v>
      </c>
      <c r="C279" s="31">
        <v>4301135308</v>
      </c>
      <c r="D279" s="205">
        <v>4640242181349</v>
      </c>
      <c r="E279" s="206"/>
      <c r="F279" s="197">
        <v>0.3</v>
      </c>
      <c r="G279" s="32">
        <v>9</v>
      </c>
      <c r="H279" s="197">
        <v>2.7</v>
      </c>
      <c r="I279" s="197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46" t="s">
        <v>392</v>
      </c>
      <c r="Q279" s="203"/>
      <c r="R279" s="203"/>
      <c r="S279" s="203"/>
      <c r="T279" s="204"/>
      <c r="U279" s="34"/>
      <c r="V279" s="34"/>
      <c r="W279" s="35" t="s">
        <v>69</v>
      </c>
      <c r="X279" s="198">
        <v>0</v>
      </c>
      <c r="Y279" s="199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393</v>
      </c>
      <c r="B280" s="54" t="s">
        <v>394</v>
      </c>
      <c r="C280" s="31">
        <v>4301135307</v>
      </c>
      <c r="D280" s="205">
        <v>4640242181370</v>
      </c>
      <c r="E280" s="206"/>
      <c r="F280" s="197">
        <v>0.3</v>
      </c>
      <c r="G280" s="32">
        <v>9</v>
      </c>
      <c r="H280" s="197">
        <v>2.7</v>
      </c>
      <c r="I280" s="197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297" t="s">
        <v>395</v>
      </c>
      <c r="Q280" s="203"/>
      <c r="R280" s="203"/>
      <c r="S280" s="203"/>
      <c r="T280" s="204"/>
      <c r="U280" s="34"/>
      <c r="V280" s="34"/>
      <c r="W280" s="35" t="s">
        <v>69</v>
      </c>
      <c r="X280" s="198">
        <v>0</v>
      </c>
      <c r="Y280" s="199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396</v>
      </c>
      <c r="B281" s="54" t="s">
        <v>397</v>
      </c>
      <c r="C281" s="31">
        <v>4301135318</v>
      </c>
      <c r="D281" s="205">
        <v>4607111037480</v>
      </c>
      <c r="E281" s="206"/>
      <c r="F281" s="197">
        <v>1</v>
      </c>
      <c r="G281" s="32">
        <v>4</v>
      </c>
      <c r="H281" s="197">
        <v>4</v>
      </c>
      <c r="I281" s="197">
        <v>4.2724000000000002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285" t="s">
        <v>398</v>
      </c>
      <c r="Q281" s="203"/>
      <c r="R281" s="203"/>
      <c r="S281" s="203"/>
      <c r="T281" s="204"/>
      <c r="U281" s="34"/>
      <c r="V281" s="34"/>
      <c r="W281" s="35" t="s">
        <v>69</v>
      </c>
      <c r="X281" s="198">
        <v>0</v>
      </c>
      <c r="Y281" s="199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399</v>
      </c>
      <c r="B282" s="54" t="s">
        <v>400</v>
      </c>
      <c r="C282" s="31">
        <v>4301135319</v>
      </c>
      <c r="D282" s="205">
        <v>4607111037473</v>
      </c>
      <c r="E282" s="206"/>
      <c r="F282" s="197">
        <v>1</v>
      </c>
      <c r="G282" s="32">
        <v>4</v>
      </c>
      <c r="H282" s="197">
        <v>4</v>
      </c>
      <c r="I282" s="197">
        <v>4.2300000000000004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67" t="s">
        <v>401</v>
      </c>
      <c r="Q282" s="203"/>
      <c r="R282" s="203"/>
      <c r="S282" s="203"/>
      <c r="T282" s="204"/>
      <c r="U282" s="34"/>
      <c r="V282" s="34"/>
      <c r="W282" s="35" t="s">
        <v>69</v>
      </c>
      <c r="X282" s="198">
        <v>0</v>
      </c>
      <c r="Y282" s="199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402</v>
      </c>
      <c r="B283" s="54" t="s">
        <v>403</v>
      </c>
      <c r="C283" s="31">
        <v>4301135198</v>
      </c>
      <c r="D283" s="205">
        <v>4640242180663</v>
      </c>
      <c r="E283" s="206"/>
      <c r="F283" s="197">
        <v>0.9</v>
      </c>
      <c r="G283" s="32">
        <v>4</v>
      </c>
      <c r="H283" s="197">
        <v>3.6</v>
      </c>
      <c r="I283" s="197">
        <v>3.83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12" t="s">
        <v>404</v>
      </c>
      <c r="Q283" s="203"/>
      <c r="R283" s="203"/>
      <c r="S283" s="203"/>
      <c r="T283" s="204"/>
      <c r="U283" s="34"/>
      <c r="V283" s="34"/>
      <c r="W283" s="35" t="s">
        <v>69</v>
      </c>
      <c r="X283" s="198">
        <v>0</v>
      </c>
      <c r="Y283" s="199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210"/>
      <c r="B284" s="211"/>
      <c r="C284" s="211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12"/>
      <c r="P284" s="218" t="s">
        <v>71</v>
      </c>
      <c r="Q284" s="219"/>
      <c r="R284" s="219"/>
      <c r="S284" s="219"/>
      <c r="T284" s="219"/>
      <c r="U284" s="219"/>
      <c r="V284" s="220"/>
      <c r="W284" s="37" t="s">
        <v>69</v>
      </c>
      <c r="X284" s="200">
        <f>IFERROR(SUM(X264:X283),"0")</f>
        <v>182</v>
      </c>
      <c r="Y284" s="200">
        <f>IFERROR(SUM(Y264:Y283),"0")</f>
        <v>182</v>
      </c>
      <c r="Z284" s="20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1.7035199999999999</v>
      </c>
      <c r="AA284" s="201"/>
      <c r="AB284" s="201"/>
      <c r="AC284" s="201"/>
    </row>
    <row r="285" spans="1:68" x14ac:dyDescent="0.2">
      <c r="A285" s="211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2"/>
      <c r="P285" s="218" t="s">
        <v>71</v>
      </c>
      <c r="Q285" s="219"/>
      <c r="R285" s="219"/>
      <c r="S285" s="219"/>
      <c r="T285" s="219"/>
      <c r="U285" s="219"/>
      <c r="V285" s="220"/>
      <c r="W285" s="37" t="s">
        <v>72</v>
      </c>
      <c r="X285" s="200">
        <f>IFERROR(SUMPRODUCT(X264:X283*H264:H283),"0")</f>
        <v>624.40000000000009</v>
      </c>
      <c r="Y285" s="200">
        <f>IFERROR(SUMPRODUCT(Y264:Y283*H264:H283),"0")</f>
        <v>624.40000000000009</v>
      </c>
      <c r="Z285" s="37"/>
      <c r="AA285" s="201"/>
      <c r="AB285" s="201"/>
      <c r="AC285" s="201"/>
    </row>
    <row r="286" spans="1:68" ht="15" customHeight="1" x14ac:dyDescent="0.2">
      <c r="A286" s="232"/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33"/>
      <c r="P286" s="314" t="s">
        <v>405</v>
      </c>
      <c r="Q286" s="293"/>
      <c r="R286" s="293"/>
      <c r="S286" s="293"/>
      <c r="T286" s="293"/>
      <c r="U286" s="293"/>
      <c r="V286" s="294"/>
      <c r="W286" s="37" t="s">
        <v>72</v>
      </c>
      <c r="X286" s="200">
        <f>IFERROR(X24+X33+X40+X48+X64+X70+X75+X81+X91+X98+X110+X116+X122+X129+X135+X141+X146+X152+X160+X165+X173+X178+X183+X191+X201+X209+X214+X220+X226+X233+X239+X247+X251+X256+X262+X285,"0")</f>
        <v>9896.7999999999993</v>
      </c>
      <c r="Y286" s="200">
        <f>IFERROR(Y24+Y33+Y40+Y48+Y64+Y70+Y75+Y81+Y91+Y98+Y110+Y116+Y122+Y129+Y135+Y141+Y146+Y152+Y160+Y165+Y173+Y178+Y183+Y191+Y201+Y209+Y214+Y220+Y226+Y233+Y239+Y247+Y251+Y256+Y262+Y285,"0")</f>
        <v>9896.7999999999993</v>
      </c>
      <c r="Z286" s="37"/>
      <c r="AA286" s="201"/>
      <c r="AB286" s="201"/>
      <c r="AC286" s="201"/>
    </row>
    <row r="287" spans="1:68" x14ac:dyDescent="0.2">
      <c r="A287" s="211"/>
      <c r="B287" s="211"/>
      <c r="C287" s="211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233"/>
      <c r="P287" s="314" t="s">
        <v>406</v>
      </c>
      <c r="Q287" s="293"/>
      <c r="R287" s="293"/>
      <c r="S287" s="293"/>
      <c r="T287" s="293"/>
      <c r="U287" s="293"/>
      <c r="V287" s="294"/>
      <c r="W287" s="37" t="s">
        <v>72</v>
      </c>
      <c r="X287" s="200">
        <f>IFERROR(SUM(BM22:BM283),"0")</f>
        <v>10724.333600000002</v>
      </c>
      <c r="Y287" s="200">
        <f>IFERROR(SUM(BN22:BN283),"0")</f>
        <v>10724.333600000002</v>
      </c>
      <c r="Z287" s="37"/>
      <c r="AA287" s="201"/>
      <c r="AB287" s="201"/>
      <c r="AC287" s="201"/>
    </row>
    <row r="288" spans="1:68" x14ac:dyDescent="0.2">
      <c r="A288" s="211"/>
      <c r="B288" s="211"/>
      <c r="C288" s="211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233"/>
      <c r="P288" s="314" t="s">
        <v>407</v>
      </c>
      <c r="Q288" s="293"/>
      <c r="R288" s="293"/>
      <c r="S288" s="293"/>
      <c r="T288" s="293"/>
      <c r="U288" s="293"/>
      <c r="V288" s="294"/>
      <c r="W288" s="37" t="s">
        <v>408</v>
      </c>
      <c r="X288" s="38">
        <f>ROUNDUP(SUM(BO22:BO283),0)</f>
        <v>24</v>
      </c>
      <c r="Y288" s="38">
        <f>ROUNDUP(SUM(BP22:BP283),0)</f>
        <v>24</v>
      </c>
      <c r="Z288" s="37"/>
      <c r="AA288" s="201"/>
      <c r="AB288" s="201"/>
      <c r="AC288" s="201"/>
    </row>
    <row r="289" spans="1:33" x14ac:dyDescent="0.2">
      <c r="A289" s="211"/>
      <c r="B289" s="211"/>
      <c r="C289" s="211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233"/>
      <c r="P289" s="314" t="s">
        <v>409</v>
      </c>
      <c r="Q289" s="293"/>
      <c r="R289" s="293"/>
      <c r="S289" s="293"/>
      <c r="T289" s="293"/>
      <c r="U289" s="293"/>
      <c r="V289" s="294"/>
      <c r="W289" s="37" t="s">
        <v>72</v>
      </c>
      <c r="X289" s="200">
        <f>GrossWeightTotal+PalletQtyTotal*25</f>
        <v>11324.333600000002</v>
      </c>
      <c r="Y289" s="200">
        <f>GrossWeightTotalR+PalletQtyTotalR*25</f>
        <v>11324.333600000002</v>
      </c>
      <c r="Z289" s="37"/>
      <c r="AA289" s="201"/>
      <c r="AB289" s="201"/>
      <c r="AC289" s="201"/>
    </row>
    <row r="290" spans="1:33" x14ac:dyDescent="0.2">
      <c r="A290" s="211"/>
      <c r="B290" s="211"/>
      <c r="C290" s="211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233"/>
      <c r="P290" s="314" t="s">
        <v>410</v>
      </c>
      <c r="Q290" s="293"/>
      <c r="R290" s="293"/>
      <c r="S290" s="293"/>
      <c r="T290" s="293"/>
      <c r="U290" s="293"/>
      <c r="V290" s="294"/>
      <c r="W290" s="37" t="s">
        <v>408</v>
      </c>
      <c r="X290" s="200">
        <f>IFERROR(X23+X32+X39+X47+X63+X69+X74+X80+X90+X97+X109+X115+X121+X128+X134+X140+X145+X151+X159+X164+X172+X177+X182+X190+X200+X208+X213+X219+X225+X232+X238+X246+X250+X255+X261+X284,"0")</f>
        <v>2396</v>
      </c>
      <c r="Y290" s="200">
        <f>IFERROR(Y23+Y32+Y39+Y47+Y63+Y69+Y74+Y80+Y90+Y97+Y109+Y115+Y121+Y128+Y134+Y140+Y145+Y151+Y159+Y164+Y172+Y177+Y182+Y190+Y200+Y208+Y213+Y219+Y225+Y232+Y238+Y246+Y250+Y255+Y261+Y284,"0")</f>
        <v>2396</v>
      </c>
      <c r="Z290" s="37"/>
      <c r="AA290" s="201"/>
      <c r="AB290" s="201"/>
      <c r="AC290" s="201"/>
    </row>
    <row r="291" spans="1:33" ht="14.25" customHeight="1" x14ac:dyDescent="0.2">
      <c r="A291" s="211"/>
      <c r="B291" s="211"/>
      <c r="C291" s="211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233"/>
      <c r="P291" s="314" t="s">
        <v>411</v>
      </c>
      <c r="Q291" s="293"/>
      <c r="R291" s="293"/>
      <c r="S291" s="293"/>
      <c r="T291" s="293"/>
      <c r="U291" s="293"/>
      <c r="V291" s="294"/>
      <c r="W291" s="39" t="s">
        <v>412</v>
      </c>
      <c r="X291" s="37"/>
      <c r="Y291" s="37"/>
      <c r="Z291" s="37">
        <f>IFERROR(Z23+Z32+Z39+Z47+Z63+Z69+Z74+Z80+Z90+Z97+Z109+Z115+Z121+Z128+Z134+Z140+Z145+Z151+Z159+Z164+Z172+Z177+Z182+Z190+Z200+Z208+Z213+Z219+Z225+Z232+Z238+Z246+Z250+Z255+Z261+Z284,"0")</f>
        <v>30.057759999999998</v>
      </c>
      <c r="AA291" s="201"/>
      <c r="AB291" s="201"/>
      <c r="AC291" s="201"/>
    </row>
    <row r="292" spans="1:33" ht="13.5" customHeight="1" thickBot="1" x14ac:dyDescent="0.25"/>
    <row r="293" spans="1:33" ht="27" customHeight="1" thickTop="1" thickBot="1" x14ac:dyDescent="0.25">
      <c r="A293" s="40" t="s">
        <v>413</v>
      </c>
      <c r="B293" s="189" t="s">
        <v>62</v>
      </c>
      <c r="C293" s="222" t="s">
        <v>73</v>
      </c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3"/>
      <c r="T293" s="222" t="s">
        <v>223</v>
      </c>
      <c r="U293" s="243"/>
      <c r="V293" s="222" t="s">
        <v>246</v>
      </c>
      <c r="W293" s="242"/>
      <c r="X293" s="243"/>
      <c r="Y293" s="222" t="s">
        <v>264</v>
      </c>
      <c r="Z293" s="242"/>
      <c r="AA293" s="242"/>
      <c r="AB293" s="242"/>
      <c r="AC293" s="243"/>
      <c r="AD293" s="189" t="s">
        <v>303</v>
      </c>
      <c r="AE293" s="189" t="s">
        <v>308</v>
      </c>
      <c r="AF293" s="189" t="s">
        <v>314</v>
      </c>
      <c r="AG293" s="189" t="s">
        <v>224</v>
      </c>
    </row>
    <row r="294" spans="1:33" ht="14.25" customHeight="1" thickTop="1" x14ac:dyDescent="0.2">
      <c r="A294" s="368" t="s">
        <v>414</v>
      </c>
      <c r="B294" s="222" t="s">
        <v>62</v>
      </c>
      <c r="C294" s="222" t="s">
        <v>74</v>
      </c>
      <c r="D294" s="222" t="s">
        <v>86</v>
      </c>
      <c r="E294" s="222" t="s">
        <v>94</v>
      </c>
      <c r="F294" s="222" t="s">
        <v>105</v>
      </c>
      <c r="G294" s="222" t="s">
        <v>131</v>
      </c>
      <c r="H294" s="222" t="s">
        <v>137</v>
      </c>
      <c r="I294" s="222" t="s">
        <v>141</v>
      </c>
      <c r="J294" s="222" t="s">
        <v>147</v>
      </c>
      <c r="K294" s="222" t="s">
        <v>160</v>
      </c>
      <c r="L294" s="222" t="s">
        <v>168</v>
      </c>
      <c r="M294" s="222" t="s">
        <v>189</v>
      </c>
      <c r="N294" s="190"/>
      <c r="O294" s="222" t="s">
        <v>194</v>
      </c>
      <c r="P294" s="222" t="s">
        <v>199</v>
      </c>
      <c r="Q294" s="222" t="s">
        <v>206</v>
      </c>
      <c r="R294" s="222" t="s">
        <v>212</v>
      </c>
      <c r="S294" s="222" t="s">
        <v>220</v>
      </c>
      <c r="T294" s="222" t="s">
        <v>224</v>
      </c>
      <c r="U294" s="222" t="s">
        <v>228</v>
      </c>
      <c r="V294" s="222" t="s">
        <v>247</v>
      </c>
      <c r="W294" s="222" t="s">
        <v>246</v>
      </c>
      <c r="X294" s="222" t="s">
        <v>261</v>
      </c>
      <c r="Y294" s="222" t="s">
        <v>265</v>
      </c>
      <c r="Z294" s="222" t="s">
        <v>272</v>
      </c>
      <c r="AA294" s="222" t="s">
        <v>285</v>
      </c>
      <c r="AB294" s="222" t="s">
        <v>294</v>
      </c>
      <c r="AC294" s="222" t="s">
        <v>297</v>
      </c>
      <c r="AD294" s="222" t="s">
        <v>304</v>
      </c>
      <c r="AE294" s="222" t="s">
        <v>309</v>
      </c>
      <c r="AF294" s="222" t="s">
        <v>315</v>
      </c>
      <c r="AG294" s="222" t="s">
        <v>224</v>
      </c>
    </row>
    <row r="295" spans="1:33" ht="13.5" customHeight="1" thickBot="1" x14ac:dyDescent="0.25">
      <c r="A295" s="369"/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223"/>
      <c r="M295" s="223"/>
      <c r="N295" s="190"/>
      <c r="O295" s="223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  <c r="AA295" s="223"/>
      <c r="AB295" s="223"/>
      <c r="AC295" s="223"/>
      <c r="AD295" s="223"/>
      <c r="AE295" s="223"/>
      <c r="AF295" s="223"/>
      <c r="AG295" s="223"/>
    </row>
    <row r="296" spans="1:33" ht="18" customHeight="1" thickTop="1" thickBot="1" x14ac:dyDescent="0.25">
      <c r="A296" s="40" t="s">
        <v>415</v>
      </c>
      <c r="B296" s="46">
        <f>IFERROR(X22*H22,"0")</f>
        <v>0</v>
      </c>
      <c r="C296" s="46">
        <f>IFERROR(X28*H28,"0")+IFERROR(X29*H29,"0")+IFERROR(X30*H30,"0")+IFERROR(X31*H31,"0")</f>
        <v>0</v>
      </c>
      <c r="D296" s="46">
        <f>IFERROR(X36*H36,"0")+IFERROR(X37*H37,"0")+IFERROR(X38*H38,"0")</f>
        <v>0</v>
      </c>
      <c r="E296" s="46">
        <f>IFERROR(X43*H43,"0")+IFERROR(X44*H44,"0")+IFERROR(X45*H45,"0")+IFERROR(X46*H46,"0")</f>
        <v>60</v>
      </c>
      <c r="F296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6" s="46">
        <f>IFERROR(X67*H67,"0")+IFERROR(X68*H68,"0")</f>
        <v>1440</v>
      </c>
      <c r="H296" s="46">
        <f>IFERROR(X73*H73,"0")</f>
        <v>100.8</v>
      </c>
      <c r="I296" s="46">
        <f>IFERROR(X78*H78,"0")+IFERROR(X79*H79,"0")</f>
        <v>403.20000000000005</v>
      </c>
      <c r="J296" s="46">
        <f>IFERROR(X84*H84,"0")+IFERROR(X85*H85,"0")+IFERROR(X86*H86,"0")+IFERROR(X87*H87,"0")+IFERROR(X88*H88,"0")+IFERROR(X89*H89,"0")</f>
        <v>655.20000000000005</v>
      </c>
      <c r="K296" s="46">
        <f>IFERROR(X94*H94,"0")+IFERROR(X95*H95,"0")+IFERROR(X96*H96,"0")</f>
        <v>0</v>
      </c>
      <c r="L296" s="46">
        <f>IFERROR(X101*H101,"0")+IFERROR(X102*H102,"0")+IFERROR(X103*H103,"0")+IFERROR(X104*H104,"0")+IFERROR(X105*H105,"0")+IFERROR(X106*H106,"0")+IFERROR(X107*H107,"0")+IFERROR(X108*H108,"0")</f>
        <v>1296</v>
      </c>
      <c r="M296" s="46">
        <f>IFERROR(X113*H113,"0")+IFERROR(X114*H114,"0")</f>
        <v>714</v>
      </c>
      <c r="N296" s="190"/>
      <c r="O296" s="46">
        <f>IFERROR(X119*H119,"0")+IFERROR(X120*H120,"0")</f>
        <v>210</v>
      </c>
      <c r="P296" s="46">
        <f>IFERROR(X125*H125,"0")+IFERROR(X126*H126,"0")+IFERROR(X127*H127,"0")</f>
        <v>0</v>
      </c>
      <c r="Q296" s="46">
        <f>IFERROR(X132*H132,"0")+IFERROR(X133*H133,"0")</f>
        <v>0</v>
      </c>
      <c r="R296" s="46">
        <f>IFERROR(X138*H138,"0")+IFERROR(X139*H139,"0")</f>
        <v>0</v>
      </c>
      <c r="S296" s="46">
        <f>IFERROR(X144*H144,"0")</f>
        <v>0</v>
      </c>
      <c r="T296" s="46">
        <f>IFERROR(X150*H150,"0")</f>
        <v>0</v>
      </c>
      <c r="U296" s="46">
        <f>IFERROR(X155*H155,"0")+IFERROR(X156*H156,"0")+IFERROR(X157*H157,"0")+IFERROR(X158*H158,"0")+IFERROR(X162*H162,"0")+IFERROR(X163*H163,"0")</f>
        <v>1500</v>
      </c>
      <c r="V296" s="46">
        <f>IFERROR(X169*H169,"0")+IFERROR(X170*H170,"0")+IFERROR(X171*H171,"0")</f>
        <v>84</v>
      </c>
      <c r="W296" s="46">
        <f>IFERROR(X176*H176,"0")</f>
        <v>0</v>
      </c>
      <c r="X296" s="46">
        <f>IFERROR(X181*H181,"0")</f>
        <v>0</v>
      </c>
      <c r="Y296" s="46">
        <f>IFERROR(X187*H187,"0")+IFERROR(X188*H188,"0")+IFERROR(X189*H189,"0")</f>
        <v>0</v>
      </c>
      <c r="Z296" s="46">
        <f>IFERROR(X194*H194,"0")+IFERROR(X195*H195,"0")+IFERROR(X196*H196,"0")+IFERROR(X197*H197,"0")+IFERROR(X198*H198,"0")+IFERROR(X199*H199,"0")</f>
        <v>134.39999999999998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540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2759.2</v>
      </c>
    </row>
    <row r="297" spans="1:33" ht="13.5" customHeight="1" thickTop="1" x14ac:dyDescent="0.2">
      <c r="C297" s="190"/>
    </row>
    <row r="298" spans="1:33" ht="19.5" customHeight="1" x14ac:dyDescent="0.2">
      <c r="A298" s="58" t="s">
        <v>416</v>
      </c>
      <c r="B298" s="58" t="s">
        <v>417</v>
      </c>
      <c r="C298" s="58" t="s">
        <v>418</v>
      </c>
    </row>
    <row r="299" spans="1:33" x14ac:dyDescent="0.2">
      <c r="A299" s="59">
        <f>SUMPRODUCT(--(BB:BB="ЗПФ"),--(W:W="кор"),H:H,Y:Y)+SUMPRODUCT(--(BB:BB="ЗПФ"),--(W:W="кг"),Y:Y)</f>
        <v>4994.3999999999996</v>
      </c>
      <c r="B299" s="60">
        <f>SUMPRODUCT(--(BB:BB="ПГП"),--(W:W="кор"),H:H,Y:Y)+SUMPRODUCT(--(BB:BB="ПГП"),--(W:W="кг"),Y:Y)</f>
        <v>4902.3999999999996</v>
      </c>
      <c r="C299" s="60">
        <f>SUMPRODUCT(--(BB:BB="КИЗ"),--(W:W="кор"),H:H,Y:Y)+SUMPRODUCT(--(BB:BB="КИЗ"),--(W:W="кг"),Y:Y)</f>
        <v>0</v>
      </c>
    </row>
  </sheetData>
  <sheetProtection algorithmName="SHA-512" hashValue="Zc90qzEAj1B6PLzTgtTQfysEY+oNjKJaUQ20TBOChpZtndArf0VU+pqjJGLFAMcm0NFlKyK8hmc085ygU7h2EQ==" saltValue="acG7y/k61QE1PgXXPF5C4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33">
    <mergeCell ref="AC294:AC295"/>
    <mergeCell ref="U17:V17"/>
    <mergeCell ref="Y17:Y18"/>
    <mergeCell ref="AE294:AE295"/>
    <mergeCell ref="D57:E57"/>
    <mergeCell ref="A8:C8"/>
    <mergeCell ref="A153:Z153"/>
    <mergeCell ref="D268:E268"/>
    <mergeCell ref="A10:C10"/>
    <mergeCell ref="P126:T126"/>
    <mergeCell ref="P218:T218"/>
    <mergeCell ref="P69:V69"/>
    <mergeCell ref="P140:V140"/>
    <mergeCell ref="A136:Z136"/>
    <mergeCell ref="A21:Z21"/>
    <mergeCell ref="A192:Z192"/>
    <mergeCell ref="D17:E18"/>
    <mergeCell ref="A213:O214"/>
    <mergeCell ref="A151:O152"/>
    <mergeCell ref="A131:Z131"/>
    <mergeCell ref="X17:X18"/>
    <mergeCell ref="P58:T58"/>
    <mergeCell ref="D44:E44"/>
    <mergeCell ref="H294:H295"/>
    <mergeCell ref="J294:J295"/>
    <mergeCell ref="P219:V219"/>
    <mergeCell ref="P23:V23"/>
    <mergeCell ref="P145:V145"/>
    <mergeCell ref="D133:E133"/>
    <mergeCell ref="A35:Z35"/>
    <mergeCell ref="D54:E54"/>
    <mergeCell ref="P160:V160"/>
    <mergeCell ref="D271:E271"/>
    <mergeCell ref="A200:O201"/>
    <mergeCell ref="P122:V122"/>
    <mergeCell ref="D237:E237"/>
    <mergeCell ref="P285:V285"/>
    <mergeCell ref="P85:T85"/>
    <mergeCell ref="P60:T60"/>
    <mergeCell ref="D95:E95"/>
    <mergeCell ref="D266:E266"/>
    <mergeCell ref="P74:V74"/>
    <mergeCell ref="P290:V290"/>
    <mergeCell ref="D107:E107"/>
    <mergeCell ref="D163:E163"/>
    <mergeCell ref="D278:E278"/>
    <mergeCell ref="D244:E244"/>
    <mergeCell ref="D171:E171"/>
    <mergeCell ref="Q6:R6"/>
    <mergeCell ref="P243:T243"/>
    <mergeCell ref="D102:E102"/>
    <mergeCell ref="P81:V81"/>
    <mergeCell ref="P208:V208"/>
    <mergeCell ref="D196:E196"/>
    <mergeCell ref="V12:W12"/>
    <mergeCell ref="P289:V289"/>
    <mergeCell ref="P239:V239"/>
    <mergeCell ref="A257:Z257"/>
    <mergeCell ref="D249:E249"/>
    <mergeCell ref="D105:E105"/>
    <mergeCell ref="D276:E276"/>
    <mergeCell ref="D170:E170"/>
    <mergeCell ref="N17:N18"/>
    <mergeCell ref="Q5:R5"/>
    <mergeCell ref="F17:F18"/>
    <mergeCell ref="D120:E120"/>
    <mergeCell ref="P199:T199"/>
    <mergeCell ref="P2:W3"/>
    <mergeCell ref="P133:T133"/>
    <mergeCell ref="P127:T127"/>
    <mergeCell ref="P198:T198"/>
    <mergeCell ref="P54:T54"/>
    <mergeCell ref="D10:E10"/>
    <mergeCell ref="A23:O24"/>
    <mergeCell ref="F10:G10"/>
    <mergeCell ref="A121:O122"/>
    <mergeCell ref="A115:O116"/>
    <mergeCell ref="A130:Z130"/>
    <mergeCell ref="A39:O40"/>
    <mergeCell ref="D101:E101"/>
    <mergeCell ref="F5:G5"/>
    <mergeCell ref="A25:Z25"/>
    <mergeCell ref="P67:T67"/>
    <mergeCell ref="V11:W11"/>
    <mergeCell ref="P57:T57"/>
    <mergeCell ref="P181:T181"/>
    <mergeCell ref="D29:E29"/>
    <mergeCell ref="A134:O135"/>
    <mergeCell ref="A20:Z20"/>
    <mergeCell ref="A112:Z112"/>
    <mergeCell ref="P286:V286"/>
    <mergeCell ref="S294:S295"/>
    <mergeCell ref="M17:M18"/>
    <mergeCell ref="U294:U295"/>
    <mergeCell ref="O17:O18"/>
    <mergeCell ref="A248:Z248"/>
    <mergeCell ref="A175:Z175"/>
    <mergeCell ref="A235:Z235"/>
    <mergeCell ref="P102:T102"/>
    <mergeCell ref="A185:Z185"/>
    <mergeCell ref="P196:T196"/>
    <mergeCell ref="P287:V287"/>
    <mergeCell ref="P62:T62"/>
    <mergeCell ref="D243:E243"/>
    <mergeCell ref="D270:E270"/>
    <mergeCell ref="B294:B295"/>
    <mergeCell ref="A221:Z221"/>
    <mergeCell ref="A236:Z236"/>
    <mergeCell ref="P253:T253"/>
    <mergeCell ref="A223:Z223"/>
    <mergeCell ref="W294:W295"/>
    <mergeCell ref="D279:E279"/>
    <mergeCell ref="D265:E265"/>
    <mergeCell ref="D218:E218"/>
    <mergeCell ref="AF294:AF295"/>
    <mergeCell ref="P262:V262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T294:T295"/>
    <mergeCell ref="C293:S293"/>
    <mergeCell ref="Q13:R13"/>
    <mergeCell ref="P97:V97"/>
    <mergeCell ref="A93:Z93"/>
    <mergeCell ref="P134:V134"/>
    <mergeCell ref="V294:V295"/>
    <mergeCell ref="P139:T139"/>
    <mergeCell ref="P47:V47"/>
    <mergeCell ref="P176:T176"/>
    <mergeCell ref="P114:T114"/>
    <mergeCell ref="D84:E84"/>
    <mergeCell ref="H5:M5"/>
    <mergeCell ref="A27:Z27"/>
    <mergeCell ref="A154:Z154"/>
    <mergeCell ref="D212:E212"/>
    <mergeCell ref="D6:M6"/>
    <mergeCell ref="P162:T162"/>
    <mergeCell ref="P106:T106"/>
    <mergeCell ref="D85:E85"/>
    <mergeCell ref="D207:E207"/>
    <mergeCell ref="G17:G18"/>
    <mergeCell ref="A143:Z143"/>
    <mergeCell ref="A167:Z167"/>
    <mergeCell ref="P121:V121"/>
    <mergeCell ref="P188:T188"/>
    <mergeCell ref="P59:T59"/>
    <mergeCell ref="P46:T46"/>
    <mergeCell ref="P61:T61"/>
    <mergeCell ref="D22:E22"/>
    <mergeCell ref="D155:E155"/>
    <mergeCell ref="P105:T105"/>
    <mergeCell ref="D86:E86"/>
    <mergeCell ref="P36:T36"/>
    <mergeCell ref="P107:T107"/>
    <mergeCell ref="D150:E150"/>
    <mergeCell ref="V6:W9"/>
    <mergeCell ref="D199:E199"/>
    <mergeCell ref="P38:T38"/>
    <mergeCell ref="P274:T274"/>
    <mergeCell ref="D217:E217"/>
    <mergeCell ref="P84:T84"/>
    <mergeCell ref="P22:T22"/>
    <mergeCell ref="D194:E194"/>
    <mergeCell ref="Z17:Z18"/>
    <mergeCell ref="P173:V173"/>
    <mergeCell ref="A172:O173"/>
    <mergeCell ref="A41:Z41"/>
    <mergeCell ref="P269:T269"/>
    <mergeCell ref="A227:Z227"/>
    <mergeCell ref="A222:Z222"/>
    <mergeCell ref="P255:V255"/>
    <mergeCell ref="P270:T270"/>
    <mergeCell ref="P129:V129"/>
    <mergeCell ref="P63:V63"/>
    <mergeCell ref="P101:T101"/>
    <mergeCell ref="A128:O129"/>
    <mergeCell ref="A255:O256"/>
    <mergeCell ref="P250:V250"/>
    <mergeCell ref="H10:M10"/>
    <mergeCell ref="AA17:AA18"/>
    <mergeCell ref="P212:T212"/>
    <mergeCell ref="AC17:AC18"/>
    <mergeCell ref="P108:T108"/>
    <mergeCell ref="P279:T279"/>
    <mergeCell ref="D89:E89"/>
    <mergeCell ref="P209:V209"/>
    <mergeCell ref="A72:Z72"/>
    <mergeCell ref="P254:T254"/>
    <mergeCell ref="P45:T45"/>
    <mergeCell ref="AB17:AB18"/>
    <mergeCell ref="P276:T276"/>
    <mergeCell ref="P278:T278"/>
    <mergeCell ref="BD17:BD18"/>
    <mergeCell ref="P152:V152"/>
    <mergeCell ref="A82:Z82"/>
    <mergeCell ref="D267:E267"/>
    <mergeCell ref="L294:L295"/>
    <mergeCell ref="P96:T96"/>
    <mergeCell ref="H17:H18"/>
    <mergeCell ref="D204:E204"/>
    <mergeCell ref="P217:T217"/>
    <mergeCell ref="D198:E198"/>
    <mergeCell ref="D269:E269"/>
    <mergeCell ref="A252:Z252"/>
    <mergeCell ref="A284:O285"/>
    <mergeCell ref="D206:E206"/>
    <mergeCell ref="P247:V247"/>
    <mergeCell ref="A66:Z66"/>
    <mergeCell ref="D181:E181"/>
    <mergeCell ref="D273:E273"/>
    <mergeCell ref="P156:T156"/>
    <mergeCell ref="A80:O81"/>
    <mergeCell ref="AG294:AG295"/>
    <mergeCell ref="K294:K295"/>
    <mergeCell ref="M294:M295"/>
    <mergeCell ref="P282:T282"/>
    <mergeCell ref="A13:M13"/>
    <mergeCell ref="D61:E61"/>
    <mergeCell ref="D254:E254"/>
    <mergeCell ref="A15:M15"/>
    <mergeCell ref="A232:O233"/>
    <mergeCell ref="A193:Z193"/>
    <mergeCell ref="D125:E125"/>
    <mergeCell ref="P204:T204"/>
    <mergeCell ref="J9:M9"/>
    <mergeCell ref="A90:O91"/>
    <mergeCell ref="D62:E62"/>
    <mergeCell ref="D56:E56"/>
    <mergeCell ref="D127:E127"/>
    <mergeCell ref="P206:T206"/>
    <mergeCell ref="P37:T37"/>
    <mergeCell ref="D176:E176"/>
    <mergeCell ref="D114:E114"/>
    <mergeCell ref="P220:V220"/>
    <mergeCell ref="D51:E51"/>
    <mergeCell ref="P213:V213"/>
    <mergeCell ref="A147:Z147"/>
    <mergeCell ref="P207:T207"/>
    <mergeCell ref="P172:V172"/>
    <mergeCell ref="D138:E138"/>
    <mergeCell ref="T6:U9"/>
    <mergeCell ref="Q10:R10"/>
    <mergeCell ref="D277:E277"/>
    <mergeCell ref="P256:V256"/>
    <mergeCell ref="A137:Z137"/>
    <mergeCell ref="D43:E43"/>
    <mergeCell ref="A210:Z210"/>
    <mergeCell ref="D294:D295"/>
    <mergeCell ref="F294:F295"/>
    <mergeCell ref="P80:V80"/>
    <mergeCell ref="P87:T87"/>
    <mergeCell ref="P151:V151"/>
    <mergeCell ref="D68:E68"/>
    <mergeCell ref="A203:Z203"/>
    <mergeCell ref="P245:T245"/>
    <mergeCell ref="D188:E188"/>
    <mergeCell ref="P224:T224"/>
    <mergeCell ref="P89:T89"/>
    <mergeCell ref="P260:T260"/>
    <mergeCell ref="D132:E132"/>
    <mergeCell ref="D59:E59"/>
    <mergeCell ref="P225:V225"/>
    <mergeCell ref="P88:T88"/>
    <mergeCell ref="P51:T51"/>
    <mergeCell ref="Z294:Z295"/>
    <mergeCell ref="D106:E106"/>
    <mergeCell ref="P283:T283"/>
    <mergeCell ref="D264:E264"/>
    <mergeCell ref="P277:T277"/>
    <mergeCell ref="P291:V291"/>
    <mergeCell ref="A42:Z42"/>
    <mergeCell ref="P288:V288"/>
    <mergeCell ref="P43:T43"/>
    <mergeCell ref="D157:E157"/>
    <mergeCell ref="A180:Z180"/>
    <mergeCell ref="V293:X293"/>
    <mergeCell ref="A240:Z240"/>
    <mergeCell ref="P200:V200"/>
    <mergeCell ref="A117:Z117"/>
    <mergeCell ref="A111:Z111"/>
    <mergeCell ref="P163:T163"/>
    <mergeCell ref="D280:E280"/>
    <mergeCell ref="P138:T138"/>
    <mergeCell ref="D119:E119"/>
    <mergeCell ref="D46:E46"/>
    <mergeCell ref="D282:E282"/>
    <mergeCell ref="A142:Z142"/>
    <mergeCell ref="P267:T267"/>
    <mergeCell ref="C294:C295"/>
    <mergeCell ref="E294:E295"/>
    <mergeCell ref="P75:V75"/>
    <mergeCell ref="P146:V146"/>
    <mergeCell ref="D96:E96"/>
    <mergeCell ref="D52:E52"/>
    <mergeCell ref="P110:V110"/>
    <mergeCell ref="P15:T16"/>
    <mergeCell ref="X294:X295"/>
    <mergeCell ref="D162:E162"/>
    <mergeCell ref="A69:O70"/>
    <mergeCell ref="D156:E156"/>
    <mergeCell ref="P272:T272"/>
    <mergeCell ref="A19:Z19"/>
    <mergeCell ref="D104:E104"/>
    <mergeCell ref="D275:E275"/>
    <mergeCell ref="A92:Z92"/>
    <mergeCell ref="D36:E36"/>
    <mergeCell ref="D283:E283"/>
    <mergeCell ref="A211:Z211"/>
    <mergeCell ref="P165:V165"/>
    <mergeCell ref="A186:Z186"/>
    <mergeCell ref="A294:A295"/>
    <mergeCell ref="P284:V284"/>
    <mergeCell ref="A5:C5"/>
    <mergeCell ref="P64:V64"/>
    <mergeCell ref="P135:V135"/>
    <mergeCell ref="P191:V191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D9:E9"/>
    <mergeCell ref="F9:G9"/>
    <mergeCell ref="P53:T53"/>
    <mergeCell ref="P68:T68"/>
    <mergeCell ref="D38:E38"/>
    <mergeCell ref="D169:E169"/>
    <mergeCell ref="P132:T132"/>
    <mergeCell ref="A12:M12"/>
    <mergeCell ref="A14:M14"/>
    <mergeCell ref="T5:U5"/>
    <mergeCell ref="V5:W5"/>
    <mergeCell ref="Q8:R8"/>
    <mergeCell ref="AA294:AA295"/>
    <mergeCell ref="P78:T78"/>
    <mergeCell ref="Q11:R11"/>
    <mergeCell ref="P205:T205"/>
    <mergeCell ref="D260:E260"/>
    <mergeCell ref="A6:C6"/>
    <mergeCell ref="D113:E113"/>
    <mergeCell ref="D88:E88"/>
    <mergeCell ref="A161:Z161"/>
    <mergeCell ref="P55:T55"/>
    <mergeCell ref="Q12:R12"/>
    <mergeCell ref="P280:T280"/>
    <mergeCell ref="P169:T169"/>
    <mergeCell ref="A261:O262"/>
    <mergeCell ref="P119:T119"/>
    <mergeCell ref="P183:V183"/>
    <mergeCell ref="A123:Z123"/>
    <mergeCell ref="P195:T195"/>
    <mergeCell ref="D230:E230"/>
    <mergeCell ref="A208:O209"/>
    <mergeCell ref="P197:T197"/>
    <mergeCell ref="P238:V238"/>
    <mergeCell ref="A263:Z263"/>
    <mergeCell ref="P264:T264"/>
    <mergeCell ref="AG17:AG18"/>
    <mergeCell ref="A168:Z168"/>
    <mergeCell ref="P201:V201"/>
    <mergeCell ref="I17:I18"/>
    <mergeCell ref="P189:T189"/>
    <mergeCell ref="A246:O247"/>
    <mergeCell ref="P281:T281"/>
    <mergeCell ref="P178:V178"/>
    <mergeCell ref="A177:O178"/>
    <mergeCell ref="P214:V214"/>
    <mergeCell ref="AD17:AF18"/>
    <mergeCell ref="D1:F1"/>
    <mergeCell ref="P190:V190"/>
    <mergeCell ref="A71:Z71"/>
    <mergeCell ref="A242:Z242"/>
    <mergeCell ref="A164:O165"/>
    <mergeCell ref="A234:Z234"/>
    <mergeCell ref="P294:P295"/>
    <mergeCell ref="J17:J18"/>
    <mergeCell ref="R294:R295"/>
    <mergeCell ref="L17:L18"/>
    <mergeCell ref="A184:Z184"/>
    <mergeCell ref="P48:V48"/>
    <mergeCell ref="A100:Z100"/>
    <mergeCell ref="P113:T113"/>
    <mergeCell ref="P17:T18"/>
    <mergeCell ref="A229:Z229"/>
    <mergeCell ref="A77:Z77"/>
    <mergeCell ref="A148:Z148"/>
    <mergeCell ref="P194:T194"/>
    <mergeCell ref="D31:E31"/>
    <mergeCell ref="A166:Z166"/>
    <mergeCell ref="D158:E158"/>
    <mergeCell ref="D108:E108"/>
    <mergeCell ref="P187:T187"/>
    <mergeCell ref="H1:Q1"/>
    <mergeCell ref="P109:V109"/>
    <mergeCell ref="A99:Z99"/>
    <mergeCell ref="P246:V246"/>
    <mergeCell ref="P120:T120"/>
    <mergeCell ref="D259:E259"/>
    <mergeCell ref="P40:V40"/>
    <mergeCell ref="D28:E28"/>
    <mergeCell ref="A76:Z76"/>
    <mergeCell ref="P171:T171"/>
    <mergeCell ref="D55:E55"/>
    <mergeCell ref="D30:E30"/>
    <mergeCell ref="D67:E67"/>
    <mergeCell ref="D5:E5"/>
    <mergeCell ref="A238:O239"/>
    <mergeCell ref="A32:O33"/>
    <mergeCell ref="D94:E94"/>
    <mergeCell ref="P98:V98"/>
    <mergeCell ref="P259:T259"/>
    <mergeCell ref="A109:O110"/>
    <mergeCell ref="A47:O48"/>
    <mergeCell ref="P177:V177"/>
    <mergeCell ref="P33:V33"/>
    <mergeCell ref="P226:V226"/>
    <mergeCell ref="D8:M8"/>
    <mergeCell ref="P44:T44"/>
    <mergeCell ref="P237:T237"/>
    <mergeCell ref="P31:T31"/>
    <mergeCell ref="P158:T158"/>
    <mergeCell ref="D139:E139"/>
    <mergeCell ref="P251:V251"/>
    <mergeCell ref="A241:Z241"/>
    <mergeCell ref="A228:Z228"/>
    <mergeCell ref="P95:T95"/>
    <mergeCell ref="P182:V182"/>
    <mergeCell ref="P164:V164"/>
    <mergeCell ref="A216:Z216"/>
    <mergeCell ref="A250:O251"/>
    <mergeCell ref="A225:O226"/>
    <mergeCell ref="D87:E87"/>
    <mergeCell ref="D245:E245"/>
    <mergeCell ref="D224:E224"/>
    <mergeCell ref="A26:Z26"/>
    <mergeCell ref="P103:T103"/>
    <mergeCell ref="P230:T230"/>
    <mergeCell ref="A182:O183"/>
    <mergeCell ref="P52:T52"/>
    <mergeCell ref="Q9:R9"/>
    <mergeCell ref="AB294:AB295"/>
    <mergeCell ref="A202:Z202"/>
    <mergeCell ref="P233:V233"/>
    <mergeCell ref="AD294:AD295"/>
    <mergeCell ref="A63:O64"/>
    <mergeCell ref="P104:T104"/>
    <mergeCell ref="P275:T275"/>
    <mergeCell ref="B17:B18"/>
    <mergeCell ref="D258:E258"/>
    <mergeCell ref="P56:T56"/>
    <mergeCell ref="D195:E195"/>
    <mergeCell ref="D189:E189"/>
    <mergeCell ref="A124:Z124"/>
    <mergeCell ref="P170:T170"/>
    <mergeCell ref="D126:E126"/>
    <mergeCell ref="D197:E197"/>
    <mergeCell ref="D253:E253"/>
    <mergeCell ref="D53:E53"/>
    <mergeCell ref="P232:V232"/>
    <mergeCell ref="P159:V159"/>
    <mergeCell ref="A149:Z149"/>
    <mergeCell ref="W17:W18"/>
    <mergeCell ref="A50:Z50"/>
    <mergeCell ref="P90:V90"/>
    <mergeCell ref="R1:T1"/>
    <mergeCell ref="P28:T28"/>
    <mergeCell ref="P150:T150"/>
    <mergeCell ref="A74:O75"/>
    <mergeCell ref="A145:O146"/>
    <mergeCell ref="P115:V115"/>
    <mergeCell ref="P30:T30"/>
    <mergeCell ref="D73:E73"/>
    <mergeCell ref="A286:O291"/>
    <mergeCell ref="P141:V141"/>
    <mergeCell ref="A140:O141"/>
    <mergeCell ref="V10:W10"/>
    <mergeCell ref="P261:V261"/>
    <mergeCell ref="A215:Z215"/>
    <mergeCell ref="D7:M7"/>
    <mergeCell ref="P91:V91"/>
    <mergeCell ref="D79:E79"/>
    <mergeCell ref="D144:E144"/>
    <mergeCell ref="A159:O160"/>
    <mergeCell ref="P29:T29"/>
    <mergeCell ref="A97:O98"/>
    <mergeCell ref="P271:T271"/>
    <mergeCell ref="P94:T94"/>
    <mergeCell ref="P265:T265"/>
    <mergeCell ref="H9:I9"/>
    <mergeCell ref="A49:Z49"/>
    <mergeCell ref="P24:V24"/>
    <mergeCell ref="D281:E281"/>
    <mergeCell ref="P155:T155"/>
    <mergeCell ref="A65:Z65"/>
    <mergeCell ref="G294:G295"/>
    <mergeCell ref="I294:I295"/>
    <mergeCell ref="P86:T86"/>
    <mergeCell ref="D78:E78"/>
    <mergeCell ref="P157:T157"/>
    <mergeCell ref="D205:E205"/>
    <mergeCell ref="P249:T249"/>
    <mergeCell ref="Y293:AC293"/>
    <mergeCell ref="O294:O295"/>
    <mergeCell ref="Y294:Y295"/>
    <mergeCell ref="P266:T266"/>
    <mergeCell ref="T293:U293"/>
    <mergeCell ref="Q294:Q295"/>
    <mergeCell ref="P273:T273"/>
    <mergeCell ref="D272:E272"/>
    <mergeCell ref="D274:E274"/>
    <mergeCell ref="P268:T268"/>
    <mergeCell ref="P258:T258"/>
    <mergeCell ref="P79:T79"/>
    <mergeCell ref="D60:E60"/>
    <mergeCell ref="P73:T73"/>
    <mergeCell ref="P244:T244"/>
    <mergeCell ref="P144:T144"/>
    <mergeCell ref="D187:E187"/>
    <mergeCell ref="A190:O191"/>
    <mergeCell ref="P231:T231"/>
    <mergeCell ref="A34:Z34"/>
    <mergeCell ref="A83:Z83"/>
    <mergeCell ref="D45:E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4:X283 X260 X258 X253:X254 X249 X243:X245 X237 X230:X231 X224 X217:X218 X212 X204:X207 X194:X199 X187:X189 X181 X176 X169:X171 X162:X163 X155:X158 X150 X144 X138:X139 X132:X133 X125:X127 X119:X120 X113:X114 X108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9 X107 X105 X103" xr:uid="{00000000-0002-0000-0000-000037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421</v>
      </c>
      <c r="D6" s="47" t="s">
        <v>422</v>
      </c>
      <c r="E6" s="47"/>
    </row>
    <row r="8" spans="2:8" x14ac:dyDescent="0.2">
      <c r="B8" s="47" t="s">
        <v>18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q4RZ2TjI5iw9G4kCT0hxbUE3Pyt6cbqqCY3QK5DQWEmWKZ+65yHV5HScXnZOI6bFu15rqmUjN3fO307g+yHRVQ==" saltValue="BarNaaP8elK6LGoOwxIG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2024-10-04T09:14:55Z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