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8,24 ПОКОМ ЗПФ филиалы\3 машина Мелитополь\"/>
    </mc:Choice>
  </mc:AlternateContent>
  <xr:revisionPtr revIDLastSave="0" documentId="13_ncr:1_{012CC1FC-0129-4FE3-BF27-A27A5913EB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61" i="1" s="1"/>
  <c r="Y242" i="1"/>
  <c r="Y262" i="1" s="1"/>
  <c r="X240" i="1"/>
  <c r="X239" i="1"/>
  <c r="BO238" i="1"/>
  <c r="BM238" i="1"/>
  <c r="Z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Z239" i="1" s="1"/>
  <c r="Y236" i="1"/>
  <c r="Y234" i="1"/>
  <c r="X234" i="1"/>
  <c r="Z233" i="1"/>
  <c r="X233" i="1"/>
  <c r="BO232" i="1"/>
  <c r="BM232" i="1"/>
  <c r="Z232" i="1"/>
  <c r="Y232" i="1"/>
  <c r="BO231" i="1"/>
  <c r="BM231" i="1"/>
  <c r="Z231" i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X225" i="1"/>
  <c r="Z224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Y210" i="1"/>
  <c r="X210" i="1"/>
  <c r="Z209" i="1"/>
  <c r="X209" i="1"/>
  <c r="BO208" i="1"/>
  <c r="BM208" i="1"/>
  <c r="Z208" i="1"/>
  <c r="Y208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Z203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Y180" i="1"/>
  <c r="X180" i="1"/>
  <c r="Z179" i="1"/>
  <c r="X179" i="1"/>
  <c r="BO178" i="1"/>
  <c r="BM178" i="1"/>
  <c r="Z178" i="1"/>
  <c r="Y178" i="1"/>
  <c r="P178" i="1"/>
  <c r="BP177" i="1"/>
  <c r="BO177" i="1"/>
  <c r="BN177" i="1"/>
  <c r="BM177" i="1"/>
  <c r="Z177" i="1"/>
  <c r="Y177" i="1"/>
  <c r="P177" i="1"/>
  <c r="BO176" i="1"/>
  <c r="BM176" i="1"/>
  <c r="Z176" i="1"/>
  <c r="Y176" i="1"/>
  <c r="P176" i="1"/>
  <c r="X172" i="1"/>
  <c r="Z171" i="1"/>
  <c r="X171" i="1"/>
  <c r="BO170" i="1"/>
  <c r="BM170" i="1"/>
  <c r="Z170" i="1"/>
  <c r="Y170" i="1"/>
  <c r="P170" i="1"/>
  <c r="Y168" i="1"/>
  <c r="X168" i="1"/>
  <c r="Z167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P158" i="1"/>
  <c r="BP157" i="1"/>
  <c r="BO157" i="1"/>
  <c r="BN157" i="1"/>
  <c r="BM157" i="1"/>
  <c r="Z157" i="1"/>
  <c r="Z159" i="1" s="1"/>
  <c r="Y157" i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Y147" i="1"/>
  <c r="X147" i="1"/>
  <c r="Z146" i="1"/>
  <c r="X146" i="1"/>
  <c r="BO145" i="1"/>
  <c r="BM145" i="1"/>
  <c r="Z145" i="1"/>
  <c r="Y145" i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P122" i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Z118" i="1" s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Y106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8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64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63" i="1" s="1"/>
  <c r="Y23" i="1"/>
  <c r="X23" i="1"/>
  <c r="X267" i="1" s="1"/>
  <c r="BP22" i="1"/>
  <c r="BO22" i="1"/>
  <c r="X265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66" i="1" l="1"/>
  <c r="Y33" i="1"/>
  <c r="Y263" i="1" s="1"/>
  <c r="Y39" i="1"/>
  <c r="Y267" i="1" s="1"/>
  <c r="Y48" i="1"/>
  <c r="Y61" i="1"/>
  <c r="Y66" i="1"/>
  <c r="Y78" i="1"/>
  <c r="Y87" i="1"/>
  <c r="Y94" i="1"/>
  <c r="Y107" i="1"/>
  <c r="Y112" i="1"/>
  <c r="BP117" i="1"/>
  <c r="BN117" i="1"/>
  <c r="BP158" i="1"/>
  <c r="BN158" i="1"/>
  <c r="Y171" i="1"/>
  <c r="BP170" i="1"/>
  <c r="BN17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Y217" i="1"/>
  <c r="BP214" i="1"/>
  <c r="BN214" i="1"/>
  <c r="Y216" i="1"/>
  <c r="Y224" i="1"/>
  <c r="BP221" i="1"/>
  <c r="BN221" i="1"/>
  <c r="BP222" i="1"/>
  <c r="BN222" i="1"/>
  <c r="BP223" i="1"/>
  <c r="BN223" i="1"/>
  <c r="BP238" i="1"/>
  <c r="BN238" i="1"/>
  <c r="H9" i="1"/>
  <c r="BN29" i="1"/>
  <c r="Y264" i="1" s="1"/>
  <c r="BN31" i="1"/>
  <c r="BN36" i="1"/>
  <c r="BP36" i="1"/>
  <c r="Y265" i="1" s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3" i="1"/>
  <c r="BN105" i="1"/>
  <c r="BN110" i="1"/>
  <c r="BP110" i="1"/>
  <c r="Y118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72" i="1"/>
  <c r="Y179" i="1"/>
  <c r="BP176" i="1"/>
  <c r="BN176" i="1"/>
  <c r="BP178" i="1"/>
  <c r="BN178" i="1"/>
  <c r="Z189" i="1"/>
  <c r="Z268" i="1" s="1"/>
  <c r="Y197" i="1"/>
  <c r="Y198" i="1"/>
  <c r="Y204" i="1"/>
  <c r="BP201" i="1"/>
  <c r="BN201" i="1"/>
  <c r="Y203" i="1"/>
  <c r="Y209" i="1"/>
  <c r="BP208" i="1"/>
  <c r="BN208" i="1"/>
  <c r="Z216" i="1"/>
  <c r="Y225" i="1"/>
  <c r="Y233" i="1"/>
  <c r="BP231" i="1"/>
  <c r="BN231" i="1"/>
  <c r="BP232" i="1"/>
  <c r="BN232" i="1"/>
  <c r="Y239" i="1"/>
  <c r="Y240" i="1"/>
  <c r="Y266" i="1" l="1"/>
  <c r="C276" i="1" s="1"/>
  <c r="A276" i="1"/>
  <c r="B276" i="1" l="1"/>
</calcChain>
</file>

<file path=xl/sharedStrings.xml><?xml version="1.0" encoding="utf-8"?>
<sst xmlns="http://schemas.openxmlformats.org/spreadsheetml/2006/main" count="1250" uniqueCount="402">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</sst>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59" zoomScaleNormal="100" zoomScaleSheetLayoutView="100" workbookViewId="0">
      <selection activeCell="AA269" sqref="AA26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390" t="s">
        <v>0</v>
      </c>
      <c r="E1" s="196"/>
      <c r="F1" s="196"/>
      <c r="G1" s="12" t="s">
        <v>1</v>
      </c>
      <c r="H1" s="390" t="s">
        <v>2</v>
      </c>
      <c r="I1" s="196"/>
      <c r="J1" s="196"/>
      <c r="K1" s="196"/>
      <c r="L1" s="196"/>
      <c r="M1" s="196"/>
      <c r="N1" s="196"/>
      <c r="O1" s="196"/>
      <c r="P1" s="196"/>
      <c r="Q1" s="196"/>
      <c r="R1" s="381" t="s">
        <v>3</v>
      </c>
      <c r="S1" s="196"/>
      <c r="T1" s="1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7"/>
      <c r="R2" s="197"/>
      <c r="S2" s="197"/>
      <c r="T2" s="197"/>
      <c r="U2" s="197"/>
      <c r="V2" s="197"/>
      <c r="W2" s="197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197"/>
      <c r="Q3" s="197"/>
      <c r="R3" s="197"/>
      <c r="S3" s="197"/>
      <c r="T3" s="197"/>
      <c r="U3" s="197"/>
      <c r="V3" s="197"/>
      <c r="W3" s="197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324" t="s">
        <v>8</v>
      </c>
      <c r="B5" s="252"/>
      <c r="C5" s="206"/>
      <c r="D5" s="273"/>
      <c r="E5" s="275"/>
      <c r="F5" s="230" t="s">
        <v>9</v>
      </c>
      <c r="G5" s="206"/>
      <c r="H5" s="273"/>
      <c r="I5" s="274"/>
      <c r="J5" s="274"/>
      <c r="K5" s="274"/>
      <c r="L5" s="274"/>
      <c r="M5" s="275"/>
      <c r="N5" s="61"/>
      <c r="P5" s="24" t="s">
        <v>10</v>
      </c>
      <c r="Q5" s="249">
        <v>45530</v>
      </c>
      <c r="R5" s="250"/>
      <c r="T5" s="314" t="s">
        <v>11</v>
      </c>
      <c r="U5" s="315"/>
      <c r="V5" s="317" t="s">
        <v>12</v>
      </c>
      <c r="W5" s="250"/>
      <c r="AB5" s="51"/>
      <c r="AC5" s="51"/>
      <c r="AD5" s="51"/>
      <c r="AE5" s="51"/>
    </row>
    <row r="6" spans="1:32" s="182" customFormat="1" ht="24" customHeight="1" x14ac:dyDescent="0.2">
      <c r="A6" s="324" t="s">
        <v>13</v>
      </c>
      <c r="B6" s="252"/>
      <c r="C6" s="206"/>
      <c r="D6" s="263" t="s">
        <v>14</v>
      </c>
      <c r="E6" s="264"/>
      <c r="F6" s="264"/>
      <c r="G6" s="264"/>
      <c r="H6" s="264"/>
      <c r="I6" s="264"/>
      <c r="J6" s="264"/>
      <c r="K6" s="264"/>
      <c r="L6" s="264"/>
      <c r="M6" s="250"/>
      <c r="N6" s="62"/>
      <c r="P6" s="24" t="s">
        <v>15</v>
      </c>
      <c r="Q6" s="311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20" t="s">
        <v>16</v>
      </c>
      <c r="U6" s="315"/>
      <c r="V6" s="305" t="s">
        <v>17</v>
      </c>
      <c r="W6" s="30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19"/>
      <c r="N7" s="63"/>
      <c r="P7" s="24"/>
      <c r="Q7" s="42"/>
      <c r="R7" s="42"/>
      <c r="T7" s="197"/>
      <c r="U7" s="315"/>
      <c r="V7" s="307"/>
      <c r="W7" s="308"/>
      <c r="AB7" s="51"/>
      <c r="AC7" s="51"/>
      <c r="AD7" s="51"/>
      <c r="AE7" s="51"/>
    </row>
    <row r="8" spans="1:32" s="182" customFormat="1" ht="25.5" customHeight="1" x14ac:dyDescent="0.2">
      <c r="A8" s="209" t="s">
        <v>18</v>
      </c>
      <c r="B8" s="194"/>
      <c r="C8" s="19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318">
        <v>0.41666666666666669</v>
      </c>
      <c r="R8" s="319"/>
      <c r="T8" s="197"/>
      <c r="U8" s="315"/>
      <c r="V8" s="307"/>
      <c r="W8" s="308"/>
      <c r="AB8" s="51"/>
      <c r="AC8" s="51"/>
      <c r="AD8" s="51"/>
      <c r="AE8" s="51"/>
    </row>
    <row r="9" spans="1:32" s="182" customFormat="1" ht="39.950000000000003" customHeight="1" x14ac:dyDescent="0.2">
      <c r="A9" s="2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44"/>
      <c r="E9" s="245"/>
      <c r="F9" s="2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301" t="str">
        <f>IF(AND($A$9="Тип доверенности/получателя при получении в адресе перегруза:",$D$9="Разовая доверенность"),"Введите ФИО","")</f>
        <v/>
      </c>
      <c r="I9" s="245"/>
      <c r="J9" s="3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5"/>
      <c r="L9" s="245"/>
      <c r="M9" s="245"/>
      <c r="N9" s="180"/>
      <c r="P9" s="26" t="s">
        <v>21</v>
      </c>
      <c r="Q9" s="340"/>
      <c r="R9" s="237"/>
      <c r="T9" s="197"/>
      <c r="U9" s="315"/>
      <c r="V9" s="309"/>
      <c r="W9" s="310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44"/>
      <c r="E10" s="245"/>
      <c r="F10" s="2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04" t="str">
        <f>IFERROR(VLOOKUP($D$10,Proxy,2,FALSE),"")</f>
        <v/>
      </c>
      <c r="I10" s="197"/>
      <c r="J10" s="197"/>
      <c r="K10" s="197"/>
      <c r="L10" s="197"/>
      <c r="M10" s="197"/>
      <c r="N10" s="181"/>
      <c r="P10" s="26" t="s">
        <v>22</v>
      </c>
      <c r="Q10" s="321"/>
      <c r="R10" s="322"/>
      <c r="U10" s="24" t="s">
        <v>23</v>
      </c>
      <c r="V10" s="37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1"/>
      <c r="R11" s="250"/>
      <c r="U11" s="24" t="s">
        <v>27</v>
      </c>
      <c r="V11" s="236" t="s">
        <v>28</v>
      </c>
      <c r="W11" s="237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98" t="s">
        <v>29</v>
      </c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06"/>
      <c r="N12" s="65"/>
      <c r="P12" s="24" t="s">
        <v>30</v>
      </c>
      <c r="Q12" s="318"/>
      <c r="R12" s="319"/>
      <c r="S12" s="23"/>
      <c r="U12" s="24"/>
      <c r="V12" s="196"/>
      <c r="W12" s="197"/>
      <c r="AB12" s="51"/>
      <c r="AC12" s="51"/>
      <c r="AD12" s="51"/>
      <c r="AE12" s="51"/>
    </row>
    <row r="13" spans="1:32" s="182" customFormat="1" ht="23.25" customHeight="1" x14ac:dyDescent="0.2">
      <c r="A13" s="298" t="s">
        <v>31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06"/>
      <c r="N13" s="65"/>
      <c r="O13" s="26"/>
      <c r="P13" s="26" t="s">
        <v>32</v>
      </c>
      <c r="Q13" s="236"/>
      <c r="R13" s="23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98" t="s">
        <v>33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299" t="s">
        <v>34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06"/>
      <c r="N15" s="66"/>
      <c r="P15" s="328" t="s">
        <v>35</v>
      </c>
      <c r="Q15" s="196"/>
      <c r="R15" s="196"/>
      <c r="S15" s="196"/>
      <c r="T15" s="1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9"/>
      <c r="Q16" s="329"/>
      <c r="R16" s="329"/>
      <c r="S16" s="329"/>
      <c r="T16" s="3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6" t="s">
        <v>36</v>
      </c>
      <c r="B17" s="216" t="s">
        <v>37</v>
      </c>
      <c r="C17" s="326" t="s">
        <v>38</v>
      </c>
      <c r="D17" s="216" t="s">
        <v>39</v>
      </c>
      <c r="E17" s="217"/>
      <c r="F17" s="216" t="s">
        <v>40</v>
      </c>
      <c r="G17" s="216" t="s">
        <v>41</v>
      </c>
      <c r="H17" s="216" t="s">
        <v>42</v>
      </c>
      <c r="I17" s="216" t="s">
        <v>43</v>
      </c>
      <c r="J17" s="216" t="s">
        <v>44</v>
      </c>
      <c r="K17" s="216" t="s">
        <v>45</v>
      </c>
      <c r="L17" s="216" t="s">
        <v>46</v>
      </c>
      <c r="M17" s="216" t="s">
        <v>47</v>
      </c>
      <c r="N17" s="216" t="s">
        <v>48</v>
      </c>
      <c r="O17" s="216" t="s">
        <v>49</v>
      </c>
      <c r="P17" s="216" t="s">
        <v>50</v>
      </c>
      <c r="Q17" s="379"/>
      <c r="R17" s="379"/>
      <c r="S17" s="379"/>
      <c r="T17" s="217"/>
      <c r="U17" s="205" t="s">
        <v>51</v>
      </c>
      <c r="V17" s="206"/>
      <c r="W17" s="216" t="s">
        <v>52</v>
      </c>
      <c r="X17" s="216" t="s">
        <v>53</v>
      </c>
      <c r="Y17" s="207" t="s">
        <v>54</v>
      </c>
      <c r="Z17" s="216" t="s">
        <v>55</v>
      </c>
      <c r="AA17" s="224" t="s">
        <v>56</v>
      </c>
      <c r="AB17" s="224" t="s">
        <v>57</v>
      </c>
      <c r="AC17" s="224" t="s">
        <v>58</v>
      </c>
      <c r="AD17" s="224" t="s">
        <v>59</v>
      </c>
      <c r="AE17" s="225"/>
      <c r="AF17" s="226"/>
      <c r="AG17" s="338"/>
      <c r="BD17" s="289" t="s">
        <v>60</v>
      </c>
    </row>
    <row r="18" spans="1:68" ht="14.25" customHeight="1" x14ac:dyDescent="0.2">
      <c r="A18" s="222"/>
      <c r="B18" s="222"/>
      <c r="C18" s="222"/>
      <c r="D18" s="218"/>
      <c r="E18" s="219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18"/>
      <c r="Q18" s="380"/>
      <c r="R18" s="380"/>
      <c r="S18" s="380"/>
      <c r="T18" s="219"/>
      <c r="U18" s="183" t="s">
        <v>61</v>
      </c>
      <c r="V18" s="183" t="s">
        <v>62</v>
      </c>
      <c r="W18" s="222"/>
      <c r="X18" s="222"/>
      <c r="Y18" s="208"/>
      <c r="Z18" s="222"/>
      <c r="AA18" s="272"/>
      <c r="AB18" s="272"/>
      <c r="AC18" s="272"/>
      <c r="AD18" s="227"/>
      <c r="AE18" s="228"/>
      <c r="AF18" s="229"/>
      <c r="AG18" s="339"/>
      <c r="BD18" s="197"/>
    </row>
    <row r="19" spans="1:68" ht="27.75" customHeight="1" x14ac:dyDescent="0.2">
      <c r="A19" s="231" t="s">
        <v>63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48"/>
      <c r="AB19" s="48"/>
      <c r="AC19" s="48"/>
    </row>
    <row r="20" spans="1:68" ht="16.5" customHeight="1" x14ac:dyDescent="0.25">
      <c r="A20" s="215" t="s">
        <v>63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84"/>
      <c r="AB20" s="184"/>
      <c r="AC20" s="184"/>
    </row>
    <row r="21" spans="1:68" ht="14.25" customHeight="1" x14ac:dyDescent="0.25">
      <c r="A21" s="214" t="s">
        <v>64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85"/>
      <c r="AB21" s="185"/>
      <c r="AC21" s="18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8">
        <v>4607111035752</v>
      </c>
      <c r="E22" s="199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2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3"/>
      <c r="R22" s="203"/>
      <c r="S22" s="203"/>
      <c r="T22" s="204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212"/>
      <c r="P23" s="193" t="s">
        <v>72</v>
      </c>
      <c r="Q23" s="194"/>
      <c r="R23" s="194"/>
      <c r="S23" s="194"/>
      <c r="T23" s="194"/>
      <c r="U23" s="194"/>
      <c r="V23" s="195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212"/>
      <c r="P24" s="193" t="s">
        <v>72</v>
      </c>
      <c r="Q24" s="194"/>
      <c r="R24" s="194"/>
      <c r="S24" s="194"/>
      <c r="T24" s="194"/>
      <c r="U24" s="194"/>
      <c r="V24" s="195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31" t="s">
        <v>74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48"/>
      <c r="AB25" s="48"/>
      <c r="AC25" s="48"/>
    </row>
    <row r="26" spans="1:68" ht="16.5" customHeight="1" x14ac:dyDescent="0.25">
      <c r="A26" s="215" t="s">
        <v>75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84"/>
      <c r="AB26" s="184"/>
      <c r="AC26" s="184"/>
    </row>
    <row r="27" spans="1:68" ht="14.25" customHeight="1" x14ac:dyDescent="0.25">
      <c r="A27" s="214" t="s">
        <v>76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8">
        <v>4607111036605</v>
      </c>
      <c r="E28" s="199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8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3"/>
      <c r="R28" s="203"/>
      <c r="S28" s="203"/>
      <c r="T28" s="204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8">
        <v>4607111036520</v>
      </c>
      <c r="E29" s="199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6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3"/>
      <c r="R29" s="203"/>
      <c r="S29" s="203"/>
      <c r="T29" s="204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8">
        <v>4607111036537</v>
      </c>
      <c r="E30" s="199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8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3"/>
      <c r="R30" s="203"/>
      <c r="S30" s="203"/>
      <c r="T30" s="204"/>
      <c r="U30" s="34"/>
      <c r="V30" s="34"/>
      <c r="W30" s="35" t="s">
        <v>70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8">
        <v>4607111036599</v>
      </c>
      <c r="E31" s="199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3"/>
      <c r="R31" s="203"/>
      <c r="S31" s="203"/>
      <c r="T31" s="204"/>
      <c r="U31" s="34"/>
      <c r="V31" s="34"/>
      <c r="W31" s="35" t="s">
        <v>70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212"/>
      <c r="P32" s="193" t="s">
        <v>72</v>
      </c>
      <c r="Q32" s="194"/>
      <c r="R32" s="194"/>
      <c r="S32" s="194"/>
      <c r="T32" s="194"/>
      <c r="U32" s="194"/>
      <c r="V32" s="195"/>
      <c r="W32" s="37" t="s">
        <v>70</v>
      </c>
      <c r="X32" s="191">
        <f>IFERROR(SUM(X28:X31),"0")</f>
        <v>0</v>
      </c>
      <c r="Y32" s="191">
        <f>IFERROR(SUM(Y28:Y31),"0")</f>
        <v>0</v>
      </c>
      <c r="Z32" s="191">
        <f>IFERROR(IF(Z28="",0,Z28),"0")+IFERROR(IF(Z29="",0,Z29),"0")+IFERROR(IF(Z30="",0,Z30),"0")+IFERROR(IF(Z31="",0,Z31),"0")</f>
        <v>0</v>
      </c>
      <c r="AA32" s="192"/>
      <c r="AB32" s="192"/>
      <c r="AC32" s="192"/>
    </row>
    <row r="33" spans="1:68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212"/>
      <c r="P33" s="193" t="s">
        <v>72</v>
      </c>
      <c r="Q33" s="194"/>
      <c r="R33" s="194"/>
      <c r="S33" s="194"/>
      <c r="T33" s="194"/>
      <c r="U33" s="194"/>
      <c r="V33" s="195"/>
      <c r="W33" s="37" t="s">
        <v>73</v>
      </c>
      <c r="X33" s="191">
        <f>IFERROR(SUMPRODUCT(X28:X31*H28:H31),"0")</f>
        <v>0</v>
      </c>
      <c r="Y33" s="191">
        <f>IFERROR(SUMPRODUCT(Y28:Y31*H28:H31),"0")</f>
        <v>0</v>
      </c>
      <c r="Z33" s="37"/>
      <c r="AA33" s="192"/>
      <c r="AB33" s="192"/>
      <c r="AC33" s="192"/>
    </row>
    <row r="34" spans="1:68" ht="16.5" customHeight="1" x14ac:dyDescent="0.25">
      <c r="A34" s="215" t="s">
        <v>87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84"/>
      <c r="AB34" s="184"/>
      <c r="AC34" s="184"/>
    </row>
    <row r="35" spans="1:68" ht="14.25" customHeight="1" x14ac:dyDescent="0.25">
      <c r="A35" s="214" t="s">
        <v>64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8">
        <v>4607111036285</v>
      </c>
      <c r="E36" s="199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3"/>
      <c r="R36" s="203"/>
      <c r="S36" s="203"/>
      <c r="T36" s="204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8">
        <v>4607111036308</v>
      </c>
      <c r="E37" s="199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02" t="s">
        <v>92</v>
      </c>
      <c r="Q37" s="203"/>
      <c r="R37" s="203"/>
      <c r="S37" s="203"/>
      <c r="T37" s="204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8">
        <v>4607111036292</v>
      </c>
      <c r="E38" s="199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3"/>
      <c r="R38" s="203"/>
      <c r="S38" s="203"/>
      <c r="T38" s="204"/>
      <c r="U38" s="34"/>
      <c r="V38" s="34"/>
      <c r="W38" s="35" t="s">
        <v>70</v>
      </c>
      <c r="X38" s="189">
        <v>60</v>
      </c>
      <c r="Y38" s="190">
        <f>IFERROR(IF(X38="","",X38),"")</f>
        <v>60</v>
      </c>
      <c r="Z38" s="36">
        <f>IFERROR(IF(X38="","",X38*0.0155),"")</f>
        <v>0.92999999999999994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211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212"/>
      <c r="P39" s="193" t="s">
        <v>72</v>
      </c>
      <c r="Q39" s="194"/>
      <c r="R39" s="194"/>
      <c r="S39" s="194"/>
      <c r="T39" s="194"/>
      <c r="U39" s="194"/>
      <c r="V39" s="195"/>
      <c r="W39" s="37" t="s">
        <v>70</v>
      </c>
      <c r="X39" s="191">
        <f>IFERROR(SUM(X36:X38),"0")</f>
        <v>60</v>
      </c>
      <c r="Y39" s="191">
        <f>IFERROR(SUM(Y36:Y38),"0")</f>
        <v>60</v>
      </c>
      <c r="Z39" s="191">
        <f>IFERROR(IF(Z36="",0,Z36),"0")+IFERROR(IF(Z37="",0,Z37),"0")+IFERROR(IF(Z38="",0,Z38),"0")</f>
        <v>0.92999999999999994</v>
      </c>
      <c r="AA39" s="192"/>
      <c r="AB39" s="192"/>
      <c r="AC39" s="192"/>
    </row>
    <row r="40" spans="1:68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212"/>
      <c r="P40" s="193" t="s">
        <v>72</v>
      </c>
      <c r="Q40" s="194"/>
      <c r="R40" s="194"/>
      <c r="S40" s="194"/>
      <c r="T40" s="194"/>
      <c r="U40" s="194"/>
      <c r="V40" s="195"/>
      <c r="W40" s="37" t="s">
        <v>73</v>
      </c>
      <c r="X40" s="191">
        <f>IFERROR(SUMPRODUCT(X36:X38*H36:H38),"0")</f>
        <v>360</v>
      </c>
      <c r="Y40" s="191">
        <f>IFERROR(SUMPRODUCT(Y36:Y38*H36:H38),"0")</f>
        <v>360</v>
      </c>
      <c r="Z40" s="37"/>
      <c r="AA40" s="192"/>
      <c r="AB40" s="192"/>
      <c r="AC40" s="192"/>
    </row>
    <row r="41" spans="1:68" ht="16.5" customHeight="1" x14ac:dyDescent="0.25">
      <c r="A41" s="215" t="s">
        <v>95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84"/>
      <c r="AB41" s="184"/>
      <c r="AC41" s="184"/>
    </row>
    <row r="42" spans="1:68" ht="14.25" customHeight="1" x14ac:dyDescent="0.25">
      <c r="A42" s="214" t="s">
        <v>96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85"/>
      <c r="AB42" s="185"/>
      <c r="AC42" s="18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8">
        <v>4607111038951</v>
      </c>
      <c r="E43" s="199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4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3"/>
      <c r="R43" s="203"/>
      <c r="S43" s="203"/>
      <c r="T43" s="204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8">
        <v>4607111037596</v>
      </c>
      <c r="E44" s="199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6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3"/>
      <c r="R44" s="203"/>
      <c r="S44" s="203"/>
      <c r="T44" s="204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8">
        <v>4607111037053</v>
      </c>
      <c r="E45" s="199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3"/>
      <c r="R45" s="203"/>
      <c r="S45" s="203"/>
      <c r="T45" s="204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8">
        <v>4607111037060</v>
      </c>
      <c r="E46" s="199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7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3"/>
      <c r="R46" s="203"/>
      <c r="S46" s="203"/>
      <c r="T46" s="204"/>
      <c r="U46" s="34"/>
      <c r="V46" s="34"/>
      <c r="W46" s="35" t="s">
        <v>70</v>
      </c>
      <c r="X46" s="189">
        <v>10</v>
      </c>
      <c r="Y46" s="19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8">
        <v>4607111038968</v>
      </c>
      <c r="E47" s="199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34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3"/>
      <c r="R47" s="203"/>
      <c r="S47" s="203"/>
      <c r="T47" s="204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212"/>
      <c r="P48" s="193" t="s">
        <v>72</v>
      </c>
      <c r="Q48" s="194"/>
      <c r="R48" s="194"/>
      <c r="S48" s="194"/>
      <c r="T48" s="194"/>
      <c r="U48" s="194"/>
      <c r="V48" s="195"/>
      <c r="W48" s="37" t="s">
        <v>70</v>
      </c>
      <c r="X48" s="191">
        <f>IFERROR(SUM(X43:X47),"0")</f>
        <v>10</v>
      </c>
      <c r="Y48" s="191">
        <f>IFERROR(SUM(Y43:Y47),"0")</f>
        <v>10</v>
      </c>
      <c r="Z48" s="191">
        <f>IFERROR(IF(Z43="",0,Z43),"0")+IFERROR(IF(Z44="",0,Z44),"0")+IFERROR(IF(Z45="",0,Z45),"0")+IFERROR(IF(Z46="",0,Z46),"0")+IFERROR(IF(Z47="",0,Z47),"0")</f>
        <v>9.5000000000000001E-2</v>
      </c>
      <c r="AA48" s="192"/>
      <c r="AB48" s="192"/>
      <c r="AC48" s="192"/>
    </row>
    <row r="49" spans="1:68" x14ac:dyDescent="0.2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212"/>
      <c r="P49" s="193" t="s">
        <v>72</v>
      </c>
      <c r="Q49" s="194"/>
      <c r="R49" s="194"/>
      <c r="S49" s="194"/>
      <c r="T49" s="194"/>
      <c r="U49" s="194"/>
      <c r="V49" s="195"/>
      <c r="W49" s="37" t="s">
        <v>73</v>
      </c>
      <c r="X49" s="191">
        <f>IFERROR(SUMPRODUCT(X43:X47*H43:H47),"0")</f>
        <v>12</v>
      </c>
      <c r="Y49" s="191">
        <f>IFERROR(SUMPRODUCT(Y43:Y47*H43:H47),"0")</f>
        <v>12</v>
      </c>
      <c r="Z49" s="37"/>
      <c r="AA49" s="192"/>
      <c r="AB49" s="192"/>
      <c r="AC49" s="192"/>
    </row>
    <row r="50" spans="1:68" ht="16.5" customHeight="1" x14ac:dyDescent="0.25">
      <c r="A50" s="215" t="s">
        <v>108</v>
      </c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84"/>
      <c r="AB50" s="184"/>
      <c r="AC50" s="184"/>
    </row>
    <row r="51" spans="1:68" ht="14.25" customHeight="1" x14ac:dyDescent="0.25">
      <c r="A51" s="214" t="s">
        <v>64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8">
        <v>4607111037190</v>
      </c>
      <c r="E52" s="199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3"/>
      <c r="R52" s="203"/>
      <c r="S52" s="203"/>
      <c r="T52" s="204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8">
        <v>4607111037183</v>
      </c>
      <c r="E53" s="199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3"/>
      <c r="R53" s="203"/>
      <c r="S53" s="203"/>
      <c r="T53" s="204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8">
        <v>4607111037091</v>
      </c>
      <c r="E54" s="199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3"/>
      <c r="R54" s="203"/>
      <c r="S54" s="203"/>
      <c r="T54" s="204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8">
        <v>4607111036902</v>
      </c>
      <c r="E55" s="199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3"/>
      <c r="R55" s="203"/>
      <c r="S55" s="203"/>
      <c r="T55" s="204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8">
        <v>4607111036858</v>
      </c>
      <c r="E56" s="199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3"/>
      <c r="R56" s="203"/>
      <c r="S56" s="203"/>
      <c r="T56" s="204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8">
        <v>4607111036889</v>
      </c>
      <c r="E57" s="199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03"/>
      <c r="R57" s="203"/>
      <c r="S57" s="203"/>
      <c r="T57" s="204"/>
      <c r="U57" s="34"/>
      <c r="V57" s="34"/>
      <c r="W57" s="35" t="s">
        <v>70</v>
      </c>
      <c r="X57" s="189">
        <v>144</v>
      </c>
      <c r="Y57" s="190">
        <f t="shared" si="0"/>
        <v>144</v>
      </c>
      <c r="Z57" s="36">
        <f t="shared" si="1"/>
        <v>2.2320000000000002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1077.9839999999999</v>
      </c>
      <c r="BN57" s="67">
        <f t="shared" si="3"/>
        <v>1077.9839999999999</v>
      </c>
      <c r="BO57" s="67">
        <f t="shared" si="4"/>
        <v>1.7142857142857142</v>
      </c>
      <c r="BP57" s="67">
        <f t="shared" si="5"/>
        <v>1.7142857142857142</v>
      </c>
    </row>
    <row r="58" spans="1:68" ht="27" customHeight="1" x14ac:dyDescent="0.25">
      <c r="A58" s="54" t="s">
        <v>121</v>
      </c>
      <c r="B58" s="54" t="s">
        <v>122</v>
      </c>
      <c r="C58" s="31">
        <v>4301071047</v>
      </c>
      <c r="D58" s="198">
        <v>4607111039330</v>
      </c>
      <c r="E58" s="199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2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203"/>
      <c r="R58" s="203"/>
      <c r="S58" s="203"/>
      <c r="T58" s="204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4301070947</v>
      </c>
      <c r="D59" s="198">
        <v>4607111037510</v>
      </c>
      <c r="E59" s="199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27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3"/>
      <c r="R59" s="203"/>
      <c r="S59" s="203"/>
      <c r="T59" s="204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212"/>
      <c r="P60" s="193" t="s">
        <v>72</v>
      </c>
      <c r="Q60" s="194"/>
      <c r="R60" s="194"/>
      <c r="S60" s="194"/>
      <c r="T60" s="194"/>
      <c r="U60" s="194"/>
      <c r="V60" s="195"/>
      <c r="W60" s="37" t="s">
        <v>70</v>
      </c>
      <c r="X60" s="191">
        <f>IFERROR(SUM(X52:X59),"0")</f>
        <v>144</v>
      </c>
      <c r="Y60" s="191">
        <f>IFERROR(SUM(Y52:Y59),"0")</f>
        <v>144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2.2320000000000002</v>
      </c>
      <c r="AA60" s="192"/>
      <c r="AB60" s="192"/>
      <c r="AC60" s="192"/>
    </row>
    <row r="61" spans="1:68" x14ac:dyDescent="0.2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212"/>
      <c r="P61" s="193" t="s">
        <v>72</v>
      </c>
      <c r="Q61" s="194"/>
      <c r="R61" s="194"/>
      <c r="S61" s="194"/>
      <c r="T61" s="194"/>
      <c r="U61" s="194"/>
      <c r="V61" s="195"/>
      <c r="W61" s="37" t="s">
        <v>73</v>
      </c>
      <c r="X61" s="191">
        <f>IFERROR(SUMPRODUCT(X52:X59*H52:H59),"0")</f>
        <v>1036.8</v>
      </c>
      <c r="Y61" s="191">
        <f>IFERROR(SUMPRODUCT(Y52:Y59*H52:H59),"0")</f>
        <v>1036.8</v>
      </c>
      <c r="Z61" s="37"/>
      <c r="AA61" s="192"/>
      <c r="AB61" s="192"/>
      <c r="AC61" s="192"/>
    </row>
    <row r="62" spans="1:68" ht="16.5" customHeight="1" x14ac:dyDescent="0.25">
      <c r="A62" s="215" t="s">
        <v>125</v>
      </c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84"/>
      <c r="AB62" s="184"/>
      <c r="AC62" s="184"/>
    </row>
    <row r="63" spans="1:68" ht="14.25" customHeight="1" x14ac:dyDescent="0.25">
      <c r="A63" s="214" t="s">
        <v>64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85"/>
      <c r="AB63" s="185"/>
      <c r="AC63" s="185"/>
    </row>
    <row r="64" spans="1:68" ht="27" customHeight="1" x14ac:dyDescent="0.25">
      <c r="A64" s="54" t="s">
        <v>126</v>
      </c>
      <c r="B64" s="54" t="s">
        <v>127</v>
      </c>
      <c r="C64" s="31">
        <v>4301070977</v>
      </c>
      <c r="D64" s="198">
        <v>4607111037411</v>
      </c>
      <c r="E64" s="199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2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3"/>
      <c r="R64" s="203"/>
      <c r="S64" s="203"/>
      <c r="T64" s="204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8">
        <v>4607111036728</v>
      </c>
      <c r="E65" s="199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2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3"/>
      <c r="R65" s="203"/>
      <c r="S65" s="203"/>
      <c r="T65" s="204"/>
      <c r="U65" s="34"/>
      <c r="V65" s="34"/>
      <c r="W65" s="35" t="s">
        <v>70</v>
      </c>
      <c r="X65" s="189">
        <v>420</v>
      </c>
      <c r="Y65" s="190">
        <f>IFERROR(IF(X65="","",X65),"")</f>
        <v>420</v>
      </c>
      <c r="Z65" s="36">
        <f>IFERROR(IF(X65="","",X65*0.00866),"")</f>
        <v>3.6371999999999995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2189.5439999999999</v>
      </c>
      <c r="BN65" s="67">
        <f>IFERROR(Y65*I65,"0")</f>
        <v>2189.5439999999999</v>
      </c>
      <c r="BO65" s="67">
        <f>IFERROR(X65/J65,"0")</f>
        <v>2.9166666666666665</v>
      </c>
      <c r="BP65" s="67">
        <f>IFERROR(Y65/J65,"0")</f>
        <v>2.9166666666666665</v>
      </c>
    </row>
    <row r="66" spans="1:68" x14ac:dyDescent="0.2">
      <c r="A66" s="211"/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212"/>
      <c r="P66" s="193" t="s">
        <v>72</v>
      </c>
      <c r="Q66" s="194"/>
      <c r="R66" s="194"/>
      <c r="S66" s="194"/>
      <c r="T66" s="194"/>
      <c r="U66" s="194"/>
      <c r="V66" s="195"/>
      <c r="W66" s="37" t="s">
        <v>70</v>
      </c>
      <c r="X66" s="191">
        <f>IFERROR(SUM(X64:X65),"0")</f>
        <v>420</v>
      </c>
      <c r="Y66" s="191">
        <f>IFERROR(SUM(Y64:Y65),"0")</f>
        <v>420</v>
      </c>
      <c r="Z66" s="191">
        <f>IFERROR(IF(Z64="",0,Z64),"0")+IFERROR(IF(Z65="",0,Z65),"0")</f>
        <v>3.6371999999999995</v>
      </c>
      <c r="AA66" s="192"/>
      <c r="AB66" s="192"/>
      <c r="AC66" s="192"/>
    </row>
    <row r="67" spans="1:68" x14ac:dyDescent="0.2">
      <c r="A67" s="197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212"/>
      <c r="P67" s="193" t="s">
        <v>72</v>
      </c>
      <c r="Q67" s="194"/>
      <c r="R67" s="194"/>
      <c r="S67" s="194"/>
      <c r="T67" s="194"/>
      <c r="U67" s="194"/>
      <c r="V67" s="195"/>
      <c r="W67" s="37" t="s">
        <v>73</v>
      </c>
      <c r="X67" s="191">
        <f>IFERROR(SUMPRODUCT(X64:X65*H64:H65),"0")</f>
        <v>2100</v>
      </c>
      <c r="Y67" s="191">
        <f>IFERROR(SUMPRODUCT(Y64:Y65*H64:H65),"0")</f>
        <v>2100</v>
      </c>
      <c r="Z67" s="37"/>
      <c r="AA67" s="192"/>
      <c r="AB67" s="192"/>
      <c r="AC67" s="192"/>
    </row>
    <row r="68" spans="1:68" ht="16.5" customHeight="1" x14ac:dyDescent="0.25">
      <c r="A68" s="215" t="s">
        <v>131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84"/>
      <c r="AB68" s="184"/>
      <c r="AC68" s="184"/>
    </row>
    <row r="69" spans="1:68" ht="14.25" customHeight="1" x14ac:dyDescent="0.25">
      <c r="A69" s="214" t="s">
        <v>132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8">
        <v>4607111033659</v>
      </c>
      <c r="E70" s="199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28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3"/>
      <c r="R70" s="203"/>
      <c r="S70" s="203"/>
      <c r="T70" s="204"/>
      <c r="U70" s="34"/>
      <c r="V70" s="34"/>
      <c r="W70" s="35" t="s">
        <v>70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11"/>
      <c r="B71" s="197"/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212"/>
      <c r="P71" s="193" t="s">
        <v>72</v>
      </c>
      <c r="Q71" s="194"/>
      <c r="R71" s="194"/>
      <c r="S71" s="194"/>
      <c r="T71" s="194"/>
      <c r="U71" s="194"/>
      <c r="V71" s="195"/>
      <c r="W71" s="37" t="s">
        <v>70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x14ac:dyDescent="0.2">
      <c r="A72" s="197"/>
      <c r="B72" s="197"/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212"/>
      <c r="P72" s="193" t="s">
        <v>72</v>
      </c>
      <c r="Q72" s="194"/>
      <c r="R72" s="194"/>
      <c r="S72" s="194"/>
      <c r="T72" s="194"/>
      <c r="U72" s="194"/>
      <c r="V72" s="195"/>
      <c r="W72" s="37" t="s">
        <v>73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customHeight="1" x14ac:dyDescent="0.25">
      <c r="A73" s="215" t="s">
        <v>135</v>
      </c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84"/>
      <c r="AB73" s="184"/>
      <c r="AC73" s="184"/>
    </row>
    <row r="74" spans="1:68" ht="14.25" customHeight="1" x14ac:dyDescent="0.25">
      <c r="A74" s="214" t="s">
        <v>136</v>
      </c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8">
        <v>4607111034137</v>
      </c>
      <c r="E75" s="199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2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3"/>
      <c r="R75" s="203"/>
      <c r="S75" s="203"/>
      <c r="T75" s="204"/>
      <c r="U75" s="34"/>
      <c r="V75" s="34"/>
      <c r="W75" s="35" t="s">
        <v>70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8">
        <v>4607111034120</v>
      </c>
      <c r="E76" s="199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3"/>
      <c r="R76" s="203"/>
      <c r="S76" s="203"/>
      <c r="T76" s="204"/>
      <c r="U76" s="34"/>
      <c r="V76" s="34"/>
      <c r="W76" s="35" t="s">
        <v>70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11"/>
      <c r="B77" s="197"/>
      <c r="C77" s="197"/>
      <c r="D77" s="197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212"/>
      <c r="P77" s="193" t="s">
        <v>72</v>
      </c>
      <c r="Q77" s="194"/>
      <c r="R77" s="194"/>
      <c r="S77" s="194"/>
      <c r="T77" s="194"/>
      <c r="U77" s="194"/>
      <c r="V77" s="195"/>
      <c r="W77" s="37" t="s">
        <v>70</v>
      </c>
      <c r="X77" s="191">
        <f>IFERROR(SUM(X75:X76),"0")</f>
        <v>28</v>
      </c>
      <c r="Y77" s="191">
        <f>IFERROR(SUM(Y75:Y76),"0")</f>
        <v>28</v>
      </c>
      <c r="Z77" s="191">
        <f>IFERROR(IF(Z75="",0,Z75),"0")+IFERROR(IF(Z76="",0,Z76),"0")</f>
        <v>0.50063999999999997</v>
      </c>
      <c r="AA77" s="192"/>
      <c r="AB77" s="192"/>
      <c r="AC77" s="192"/>
    </row>
    <row r="78" spans="1:68" x14ac:dyDescent="0.2">
      <c r="A78" s="197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212"/>
      <c r="P78" s="193" t="s">
        <v>72</v>
      </c>
      <c r="Q78" s="194"/>
      <c r="R78" s="194"/>
      <c r="S78" s="194"/>
      <c r="T78" s="194"/>
      <c r="U78" s="194"/>
      <c r="V78" s="195"/>
      <c r="W78" s="37" t="s">
        <v>73</v>
      </c>
      <c r="X78" s="191">
        <f>IFERROR(SUMPRODUCT(X75:X76*H75:H76),"0")</f>
        <v>100.8</v>
      </c>
      <c r="Y78" s="191">
        <f>IFERROR(SUMPRODUCT(Y75:Y76*H75:H76),"0")</f>
        <v>100.8</v>
      </c>
      <c r="Z78" s="37"/>
      <c r="AA78" s="192"/>
      <c r="AB78" s="192"/>
      <c r="AC78" s="192"/>
    </row>
    <row r="79" spans="1:68" ht="16.5" customHeight="1" x14ac:dyDescent="0.25">
      <c r="A79" s="215" t="s">
        <v>141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84"/>
      <c r="AB79" s="184"/>
      <c r="AC79" s="184"/>
    </row>
    <row r="80" spans="1:68" ht="14.25" customHeight="1" x14ac:dyDescent="0.25">
      <c r="A80" s="214" t="s">
        <v>132</v>
      </c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8">
        <v>4607111036407</v>
      </c>
      <c r="E81" s="199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3"/>
      <c r="R81" s="203"/>
      <c r="S81" s="203"/>
      <c r="T81" s="204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8">
        <v>4607111033628</v>
      </c>
      <c r="E82" s="199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23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3"/>
      <c r="R82" s="203"/>
      <c r="S82" s="203"/>
      <c r="T82" s="204"/>
      <c r="U82" s="34"/>
      <c r="V82" s="34"/>
      <c r="W82" s="35" t="s">
        <v>70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8">
        <v>4607111033451</v>
      </c>
      <c r="E83" s="199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22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3"/>
      <c r="R83" s="203"/>
      <c r="S83" s="203"/>
      <c r="T83" s="204"/>
      <c r="U83" s="34"/>
      <c r="V83" s="34"/>
      <c r="W83" s="35" t="s">
        <v>70</v>
      </c>
      <c r="X83" s="189">
        <v>56</v>
      </c>
      <c r="Y83" s="190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8">
        <v>4607111035141</v>
      </c>
      <c r="E84" s="199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2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3"/>
      <c r="R84" s="203"/>
      <c r="S84" s="203"/>
      <c r="T84" s="204"/>
      <c r="U84" s="34"/>
      <c r="V84" s="34"/>
      <c r="W84" s="35" t="s">
        <v>70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8">
        <v>4607111033444</v>
      </c>
      <c r="E85" s="199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0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3"/>
      <c r="R85" s="203"/>
      <c r="S85" s="203"/>
      <c r="T85" s="204"/>
      <c r="U85" s="34"/>
      <c r="V85" s="34"/>
      <c r="W85" s="35" t="s">
        <v>70</v>
      </c>
      <c r="X85" s="189">
        <v>196</v>
      </c>
      <c r="Y85" s="190">
        <f t="shared" si="6"/>
        <v>196</v>
      </c>
      <c r="Z85" s="36">
        <f t="shared" si="7"/>
        <v>3.50448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843.50560000000007</v>
      </c>
      <c r="BN85" s="67">
        <f t="shared" si="9"/>
        <v>843.50560000000007</v>
      </c>
      <c r="BO85" s="67">
        <f t="shared" si="10"/>
        <v>2.8</v>
      </c>
      <c r="BP85" s="67">
        <f t="shared" si="11"/>
        <v>2.8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8">
        <v>4607111035028</v>
      </c>
      <c r="E86" s="199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39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3"/>
      <c r="R86" s="203"/>
      <c r="S86" s="203"/>
      <c r="T86" s="204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7"/>
      <c r="C87" s="197"/>
      <c r="D87" s="197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212"/>
      <c r="P87" s="193" t="s">
        <v>72</v>
      </c>
      <c r="Q87" s="194"/>
      <c r="R87" s="194"/>
      <c r="S87" s="194"/>
      <c r="T87" s="194"/>
      <c r="U87" s="194"/>
      <c r="V87" s="195"/>
      <c r="W87" s="37" t="s">
        <v>70</v>
      </c>
      <c r="X87" s="191">
        <f>IFERROR(SUM(X81:X86),"0")</f>
        <v>252</v>
      </c>
      <c r="Y87" s="191">
        <f>IFERROR(SUM(Y81:Y86),"0")</f>
        <v>252</v>
      </c>
      <c r="Z87" s="191">
        <f>IFERROR(IF(Z81="",0,Z81),"0")+IFERROR(IF(Z82="",0,Z82),"0")+IFERROR(IF(Z83="",0,Z83),"0")+IFERROR(IF(Z84="",0,Z84),"0")+IFERROR(IF(Z85="",0,Z85),"0")+IFERROR(IF(Z86="",0,Z86),"0")</f>
        <v>4.5057600000000004</v>
      </c>
      <c r="AA87" s="192"/>
      <c r="AB87" s="192"/>
      <c r="AC87" s="192"/>
    </row>
    <row r="88" spans="1:68" x14ac:dyDescent="0.2">
      <c r="A88" s="197"/>
      <c r="B88" s="197"/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212"/>
      <c r="P88" s="193" t="s">
        <v>72</v>
      </c>
      <c r="Q88" s="194"/>
      <c r="R88" s="194"/>
      <c r="S88" s="194"/>
      <c r="T88" s="194"/>
      <c r="U88" s="194"/>
      <c r="V88" s="195"/>
      <c r="W88" s="37" t="s">
        <v>73</v>
      </c>
      <c r="X88" s="191">
        <f>IFERROR(SUMPRODUCT(X81:X86*H81:H86),"0")</f>
        <v>907.2</v>
      </c>
      <c r="Y88" s="191">
        <f>IFERROR(SUMPRODUCT(Y81:Y86*H81:H86),"0")</f>
        <v>907.2</v>
      </c>
      <c r="Z88" s="37"/>
      <c r="AA88" s="192"/>
      <c r="AB88" s="192"/>
      <c r="AC88" s="192"/>
    </row>
    <row r="89" spans="1:68" ht="16.5" customHeight="1" x14ac:dyDescent="0.25">
      <c r="A89" s="215" t="s">
        <v>154</v>
      </c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84"/>
      <c r="AB89" s="184"/>
      <c r="AC89" s="184"/>
    </row>
    <row r="90" spans="1:68" ht="14.25" customHeight="1" x14ac:dyDescent="0.25">
      <c r="A90" s="214" t="s">
        <v>155</v>
      </c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8">
        <v>4607025784012</v>
      </c>
      <c r="E91" s="199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29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3"/>
      <c r="R91" s="203"/>
      <c r="S91" s="203"/>
      <c r="T91" s="204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8">
        <v>4607025784319</v>
      </c>
      <c r="E92" s="199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3"/>
      <c r="R92" s="203"/>
      <c r="S92" s="203"/>
      <c r="T92" s="204"/>
      <c r="U92" s="34"/>
      <c r="V92" s="34"/>
      <c r="W92" s="35" t="s">
        <v>70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8">
        <v>4607111035370</v>
      </c>
      <c r="E93" s="199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26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3"/>
      <c r="R93" s="203"/>
      <c r="S93" s="203"/>
      <c r="T93" s="204"/>
      <c r="U93" s="34"/>
      <c r="V93" s="34"/>
      <c r="W93" s="35" t="s">
        <v>70</v>
      </c>
      <c r="X93" s="189">
        <v>36</v>
      </c>
      <c r="Y93" s="190">
        <f>IFERROR(IF(X93="","",X93),"")</f>
        <v>36</v>
      </c>
      <c r="Z93" s="36">
        <f>IFERROR(IF(X93="","",X93*0.0155),"")</f>
        <v>0.55800000000000005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124.70399999999999</v>
      </c>
      <c r="BN93" s="67">
        <f>IFERROR(Y93*I93,"0")</f>
        <v>124.70399999999999</v>
      </c>
      <c r="BO93" s="67">
        <f>IFERROR(X93/J93,"0")</f>
        <v>0.42857142857142855</v>
      </c>
      <c r="BP93" s="67">
        <f>IFERROR(Y93/J93,"0")</f>
        <v>0.42857142857142855</v>
      </c>
    </row>
    <row r="94" spans="1:68" x14ac:dyDescent="0.2">
      <c r="A94" s="211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212"/>
      <c r="P94" s="193" t="s">
        <v>72</v>
      </c>
      <c r="Q94" s="194"/>
      <c r="R94" s="194"/>
      <c r="S94" s="194"/>
      <c r="T94" s="194"/>
      <c r="U94" s="194"/>
      <c r="V94" s="195"/>
      <c r="W94" s="37" t="s">
        <v>70</v>
      </c>
      <c r="X94" s="191">
        <f>IFERROR(SUM(X91:X93),"0")</f>
        <v>36</v>
      </c>
      <c r="Y94" s="191">
        <f>IFERROR(SUM(Y91:Y93),"0")</f>
        <v>36</v>
      </c>
      <c r="Z94" s="191">
        <f>IFERROR(IF(Z91="",0,Z91),"0")+IFERROR(IF(Z92="",0,Z92),"0")+IFERROR(IF(Z93="",0,Z93),"0")</f>
        <v>0.55800000000000005</v>
      </c>
      <c r="AA94" s="192"/>
      <c r="AB94" s="192"/>
      <c r="AC94" s="192"/>
    </row>
    <row r="95" spans="1:68" x14ac:dyDescent="0.2">
      <c r="A95" s="197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212"/>
      <c r="P95" s="193" t="s">
        <v>72</v>
      </c>
      <c r="Q95" s="194"/>
      <c r="R95" s="194"/>
      <c r="S95" s="194"/>
      <c r="T95" s="194"/>
      <c r="U95" s="194"/>
      <c r="V95" s="195"/>
      <c r="W95" s="37" t="s">
        <v>73</v>
      </c>
      <c r="X95" s="191">
        <f>IFERROR(SUMPRODUCT(X91:X93*H91:H93),"0")</f>
        <v>110.88</v>
      </c>
      <c r="Y95" s="191">
        <f>IFERROR(SUMPRODUCT(Y91:Y93*H91:H93),"0")</f>
        <v>110.88</v>
      </c>
      <c r="Z95" s="37"/>
      <c r="AA95" s="192"/>
      <c r="AB95" s="192"/>
      <c r="AC95" s="192"/>
    </row>
    <row r="96" spans="1:68" ht="16.5" customHeight="1" x14ac:dyDescent="0.25">
      <c r="A96" s="215" t="s">
        <v>162</v>
      </c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84"/>
      <c r="AB96" s="184"/>
      <c r="AC96" s="184"/>
    </row>
    <row r="97" spans="1:68" ht="14.25" customHeight="1" x14ac:dyDescent="0.25">
      <c r="A97" s="214" t="s">
        <v>64</v>
      </c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8">
        <v>4607111033970</v>
      </c>
      <c r="E98" s="199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27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3"/>
      <c r="R98" s="203"/>
      <c r="S98" s="203"/>
      <c r="T98" s="204"/>
      <c r="U98" s="34"/>
      <c r="V98" s="34"/>
      <c r="W98" s="35" t="s">
        <v>70</v>
      </c>
      <c r="X98" s="189">
        <v>0</v>
      </c>
      <c r="Y98" s="190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8">
        <v>4607111034144</v>
      </c>
      <c r="E99" s="199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7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3"/>
      <c r="R99" s="203"/>
      <c r="S99" s="203"/>
      <c r="T99" s="204"/>
      <c r="U99" s="34"/>
      <c r="V99" s="34"/>
      <c r="W99" s="35" t="s">
        <v>70</v>
      </c>
      <c r="X99" s="189">
        <v>84</v>
      </c>
      <c r="Y99" s="190">
        <f t="shared" si="12"/>
        <v>84</v>
      </c>
      <c r="Z99" s="36">
        <f t="shared" si="13"/>
        <v>1.302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628.82399999999996</v>
      </c>
      <c r="BN99" s="67">
        <f t="shared" si="15"/>
        <v>628.82399999999996</v>
      </c>
      <c r="BO99" s="67">
        <f t="shared" si="16"/>
        <v>1</v>
      </c>
      <c r="BP99" s="67">
        <f t="shared" si="17"/>
        <v>1</v>
      </c>
    </row>
    <row r="100" spans="1:68" ht="27" customHeight="1" x14ac:dyDescent="0.25">
      <c r="A100" s="54" t="s">
        <v>167</v>
      </c>
      <c r="B100" s="54" t="s">
        <v>168</v>
      </c>
      <c r="C100" s="31">
        <v>4301071038</v>
      </c>
      <c r="D100" s="198">
        <v>4607111039248</v>
      </c>
      <c r="E100" s="199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203"/>
      <c r="R100" s="203"/>
      <c r="S100" s="203"/>
      <c r="T100" s="204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8">
        <v>4607111033987</v>
      </c>
      <c r="E101" s="199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2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203"/>
      <c r="R101" s="203"/>
      <c r="S101" s="203"/>
      <c r="T101" s="204"/>
      <c r="U101" s="34"/>
      <c r="V101" s="34"/>
      <c r="W101" s="35" t="s">
        <v>70</v>
      </c>
      <c r="X101" s="189">
        <v>0</v>
      </c>
      <c r="Y101" s="190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4301071049</v>
      </c>
      <c r="D102" s="198">
        <v>4607111039293</v>
      </c>
      <c r="E102" s="199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8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203"/>
      <c r="R102" s="203"/>
      <c r="S102" s="203"/>
      <c r="T102" s="204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8">
        <v>4607111034151</v>
      </c>
      <c r="E103" s="199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203"/>
      <c r="R103" s="203"/>
      <c r="S103" s="203"/>
      <c r="T103" s="204"/>
      <c r="U103" s="34"/>
      <c r="V103" s="34"/>
      <c r="W103" s="35" t="s">
        <v>70</v>
      </c>
      <c r="X103" s="189">
        <v>144</v>
      </c>
      <c r="Y103" s="190">
        <f t="shared" si="12"/>
        <v>144</v>
      </c>
      <c r="Z103" s="36">
        <f t="shared" si="13"/>
        <v>2.2320000000000002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1077.9839999999999</v>
      </c>
      <c r="BN103" s="67">
        <f t="shared" si="15"/>
        <v>1077.9839999999999</v>
      </c>
      <c r="BO103" s="67">
        <f t="shared" si="16"/>
        <v>1.7142857142857142</v>
      </c>
      <c r="BP103" s="67">
        <f t="shared" si="17"/>
        <v>1.7142857142857142</v>
      </c>
    </row>
    <row r="104" spans="1:68" ht="27" customHeight="1" x14ac:dyDescent="0.25">
      <c r="A104" s="54" t="s">
        <v>175</v>
      </c>
      <c r="B104" s="54" t="s">
        <v>176</v>
      </c>
      <c r="C104" s="31">
        <v>4301071039</v>
      </c>
      <c r="D104" s="198">
        <v>4607111039279</v>
      </c>
      <c r="E104" s="199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203"/>
      <c r="R104" s="203"/>
      <c r="S104" s="203"/>
      <c r="T104" s="204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4301070945</v>
      </c>
      <c r="D105" s="198">
        <v>4607111037435</v>
      </c>
      <c r="E105" s="199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25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203"/>
      <c r="R105" s="203"/>
      <c r="S105" s="203"/>
      <c r="T105" s="204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1"/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212"/>
      <c r="P106" s="193" t="s">
        <v>72</v>
      </c>
      <c r="Q106" s="194"/>
      <c r="R106" s="194"/>
      <c r="S106" s="194"/>
      <c r="T106" s="194"/>
      <c r="U106" s="194"/>
      <c r="V106" s="195"/>
      <c r="W106" s="37" t="s">
        <v>70</v>
      </c>
      <c r="X106" s="191">
        <f>IFERROR(SUM(X98:X105),"0")</f>
        <v>228</v>
      </c>
      <c r="Y106" s="191">
        <f>IFERROR(SUM(Y98:Y105),"0")</f>
        <v>228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3.5340000000000003</v>
      </c>
      <c r="AA106" s="192"/>
      <c r="AB106" s="192"/>
      <c r="AC106" s="192"/>
    </row>
    <row r="107" spans="1:68" x14ac:dyDescent="0.2">
      <c r="A107" s="197"/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212"/>
      <c r="P107" s="193" t="s">
        <v>72</v>
      </c>
      <c r="Q107" s="194"/>
      <c r="R107" s="194"/>
      <c r="S107" s="194"/>
      <c r="T107" s="194"/>
      <c r="U107" s="194"/>
      <c r="V107" s="195"/>
      <c r="W107" s="37" t="s">
        <v>73</v>
      </c>
      <c r="X107" s="191">
        <f>IFERROR(SUMPRODUCT(X98:X105*H98:H105),"0")</f>
        <v>1641.6</v>
      </c>
      <c r="Y107" s="191">
        <f>IFERROR(SUMPRODUCT(Y98:Y105*H98:H105),"0")</f>
        <v>1641.6</v>
      </c>
      <c r="Z107" s="37"/>
      <c r="AA107" s="192"/>
      <c r="AB107" s="192"/>
      <c r="AC107" s="192"/>
    </row>
    <row r="108" spans="1:68" ht="16.5" customHeight="1" x14ac:dyDescent="0.25">
      <c r="A108" s="215" t="s">
        <v>179</v>
      </c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84"/>
      <c r="AB108" s="184"/>
      <c r="AC108" s="184"/>
    </row>
    <row r="109" spans="1:68" ht="14.25" customHeight="1" x14ac:dyDescent="0.25">
      <c r="A109" s="214" t="s">
        <v>132</v>
      </c>
      <c r="B109" s="197"/>
      <c r="C109" s="197"/>
      <c r="D109" s="197"/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8">
        <v>4607111034014</v>
      </c>
      <c r="E110" s="199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24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203"/>
      <c r="R110" s="203"/>
      <c r="S110" s="203"/>
      <c r="T110" s="204"/>
      <c r="U110" s="34"/>
      <c r="V110" s="34"/>
      <c r="W110" s="35" t="s">
        <v>70</v>
      </c>
      <c r="X110" s="189">
        <v>14</v>
      </c>
      <c r="Y110" s="190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51.850399999999993</v>
      </c>
      <c r="BN110" s="67">
        <f>IFERROR(Y110*I110,"0")</f>
        <v>51.850399999999993</v>
      </c>
      <c r="BO110" s="67">
        <f>IFERROR(X110/J110,"0")</f>
        <v>0.2</v>
      </c>
      <c r="BP110" s="67">
        <f>IFERROR(Y110/J110,"0")</f>
        <v>0.2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8">
        <v>4607111033994</v>
      </c>
      <c r="E111" s="199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27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203"/>
      <c r="R111" s="203"/>
      <c r="S111" s="203"/>
      <c r="T111" s="204"/>
      <c r="U111" s="34"/>
      <c r="V111" s="34"/>
      <c r="W111" s="35" t="s">
        <v>70</v>
      </c>
      <c r="X111" s="189">
        <v>70</v>
      </c>
      <c r="Y111" s="190">
        <f>IFERROR(IF(X111="","",X111),"")</f>
        <v>70</v>
      </c>
      <c r="Z111" s="36">
        <f>IFERROR(IF(X111="","",X111*0.01788),"")</f>
        <v>1.2516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259.25200000000001</v>
      </c>
      <c r="BN111" s="67">
        <f>IFERROR(Y111*I111,"0")</f>
        <v>259.25200000000001</v>
      </c>
      <c r="BO111" s="67">
        <f>IFERROR(X111/J111,"0")</f>
        <v>1</v>
      </c>
      <c r="BP111" s="67">
        <f>IFERROR(Y111/J111,"0")</f>
        <v>1</v>
      </c>
    </row>
    <row r="112" spans="1:68" x14ac:dyDescent="0.2">
      <c r="A112" s="211"/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212"/>
      <c r="P112" s="193" t="s">
        <v>72</v>
      </c>
      <c r="Q112" s="194"/>
      <c r="R112" s="194"/>
      <c r="S112" s="194"/>
      <c r="T112" s="194"/>
      <c r="U112" s="194"/>
      <c r="V112" s="195"/>
      <c r="W112" s="37" t="s">
        <v>70</v>
      </c>
      <c r="X112" s="191">
        <f>IFERROR(SUM(X110:X111),"0")</f>
        <v>84</v>
      </c>
      <c r="Y112" s="191">
        <f>IFERROR(SUM(Y110:Y111),"0")</f>
        <v>84</v>
      </c>
      <c r="Z112" s="191">
        <f>IFERROR(IF(Z110="",0,Z110),"0")+IFERROR(IF(Z111="",0,Z111),"0")</f>
        <v>1.5019200000000001</v>
      </c>
      <c r="AA112" s="192"/>
      <c r="AB112" s="192"/>
      <c r="AC112" s="192"/>
    </row>
    <row r="113" spans="1:68" x14ac:dyDescent="0.2">
      <c r="A113" s="197"/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212"/>
      <c r="P113" s="193" t="s">
        <v>72</v>
      </c>
      <c r="Q113" s="194"/>
      <c r="R113" s="194"/>
      <c r="S113" s="194"/>
      <c r="T113" s="194"/>
      <c r="U113" s="194"/>
      <c r="V113" s="195"/>
      <c r="W113" s="37" t="s">
        <v>73</v>
      </c>
      <c r="X113" s="191">
        <f>IFERROR(SUMPRODUCT(X110:X111*H110:H111),"0")</f>
        <v>252</v>
      </c>
      <c r="Y113" s="191">
        <f>IFERROR(SUMPRODUCT(Y110:Y111*H110:H111),"0")</f>
        <v>252</v>
      </c>
      <c r="Z113" s="37"/>
      <c r="AA113" s="192"/>
      <c r="AB113" s="192"/>
      <c r="AC113" s="192"/>
    </row>
    <row r="114" spans="1:68" ht="16.5" customHeight="1" x14ac:dyDescent="0.25">
      <c r="A114" s="215" t="s">
        <v>184</v>
      </c>
      <c r="B114" s="197"/>
      <c r="C114" s="197"/>
      <c r="D114" s="197"/>
      <c r="E114" s="197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84"/>
      <c r="AB114" s="184"/>
      <c r="AC114" s="184"/>
    </row>
    <row r="115" spans="1:68" ht="14.25" customHeight="1" x14ac:dyDescent="0.25">
      <c r="A115" s="214" t="s">
        <v>132</v>
      </c>
      <c r="B115" s="197"/>
      <c r="C115" s="197"/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85"/>
      <c r="AB115" s="185"/>
      <c r="AC115" s="185"/>
    </row>
    <row r="116" spans="1:68" ht="27" customHeight="1" x14ac:dyDescent="0.25">
      <c r="A116" s="54" t="s">
        <v>185</v>
      </c>
      <c r="B116" s="54" t="s">
        <v>186</v>
      </c>
      <c r="C116" s="31">
        <v>4301135311</v>
      </c>
      <c r="D116" s="198">
        <v>4607111039095</v>
      </c>
      <c r="E116" s="199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3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203"/>
      <c r="R116" s="203"/>
      <c r="S116" s="203"/>
      <c r="T116" s="204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8">
        <v>4607111034199</v>
      </c>
      <c r="E117" s="199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3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203"/>
      <c r="R117" s="203"/>
      <c r="S117" s="203"/>
      <c r="T117" s="204"/>
      <c r="U117" s="34"/>
      <c r="V117" s="34"/>
      <c r="W117" s="35" t="s">
        <v>70</v>
      </c>
      <c r="X117" s="189">
        <v>168</v>
      </c>
      <c r="Y117" s="190">
        <f>IFERROR(IF(X117="","",X117),"")</f>
        <v>168</v>
      </c>
      <c r="Z117" s="36">
        <f>IFERROR(IF(X117="","",X117*0.01788),"")</f>
        <v>3.0038399999999998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622.20479999999998</v>
      </c>
      <c r="BN117" s="67">
        <f>IFERROR(Y117*I117,"0")</f>
        <v>622.20479999999998</v>
      </c>
      <c r="BO117" s="67">
        <f>IFERROR(X117/J117,"0")</f>
        <v>2.4</v>
      </c>
      <c r="BP117" s="67">
        <f>IFERROR(Y117/J117,"0")</f>
        <v>2.4</v>
      </c>
    </row>
    <row r="118" spans="1:68" x14ac:dyDescent="0.2">
      <c r="A118" s="211"/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212"/>
      <c r="P118" s="193" t="s">
        <v>72</v>
      </c>
      <c r="Q118" s="194"/>
      <c r="R118" s="194"/>
      <c r="S118" s="194"/>
      <c r="T118" s="194"/>
      <c r="U118" s="194"/>
      <c r="V118" s="195"/>
      <c r="W118" s="37" t="s">
        <v>70</v>
      </c>
      <c r="X118" s="191">
        <f>IFERROR(SUM(X116:X117),"0")</f>
        <v>168</v>
      </c>
      <c r="Y118" s="191">
        <f>IFERROR(SUM(Y116:Y117),"0")</f>
        <v>168</v>
      </c>
      <c r="Z118" s="191">
        <f>IFERROR(IF(Z116="",0,Z116),"0")+IFERROR(IF(Z117="",0,Z117),"0")</f>
        <v>3.0038399999999998</v>
      </c>
      <c r="AA118" s="192"/>
      <c r="AB118" s="192"/>
      <c r="AC118" s="192"/>
    </row>
    <row r="119" spans="1:68" x14ac:dyDescent="0.2">
      <c r="A119" s="197"/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212"/>
      <c r="P119" s="193" t="s">
        <v>72</v>
      </c>
      <c r="Q119" s="194"/>
      <c r="R119" s="194"/>
      <c r="S119" s="194"/>
      <c r="T119" s="194"/>
      <c r="U119" s="194"/>
      <c r="V119" s="195"/>
      <c r="W119" s="37" t="s">
        <v>73</v>
      </c>
      <c r="X119" s="191">
        <f>IFERROR(SUMPRODUCT(X116:X117*H116:H117),"0")</f>
        <v>504</v>
      </c>
      <c r="Y119" s="191">
        <f>IFERROR(SUMPRODUCT(Y116:Y117*H116:H117),"0")</f>
        <v>504</v>
      </c>
      <c r="Z119" s="37"/>
      <c r="AA119" s="192"/>
      <c r="AB119" s="192"/>
      <c r="AC119" s="192"/>
    </row>
    <row r="120" spans="1:68" ht="16.5" customHeight="1" x14ac:dyDescent="0.25">
      <c r="A120" s="215" t="s">
        <v>189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84"/>
      <c r="AB120" s="184"/>
      <c r="AC120" s="184"/>
    </row>
    <row r="121" spans="1:68" ht="14.25" customHeight="1" x14ac:dyDescent="0.25">
      <c r="A121" s="214" t="s">
        <v>132</v>
      </c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8">
        <v>4607111034380</v>
      </c>
      <c r="E122" s="199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203"/>
      <c r="R122" s="203"/>
      <c r="S122" s="203"/>
      <c r="T122" s="204"/>
      <c r="U122" s="34"/>
      <c r="V122" s="34"/>
      <c r="W122" s="35" t="s">
        <v>70</v>
      </c>
      <c r="X122" s="189">
        <v>28</v>
      </c>
      <c r="Y122" s="190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91.839999999999989</v>
      </c>
      <c r="BN122" s="67">
        <f>IFERROR(Y122*I122,"0")</f>
        <v>91.839999999999989</v>
      </c>
      <c r="BO122" s="67">
        <f>IFERROR(X122/J122,"0")</f>
        <v>0.4</v>
      </c>
      <c r="BP122" s="67">
        <f>IFERROR(Y122/J122,"0")</f>
        <v>0.4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8">
        <v>4607111034397</v>
      </c>
      <c r="E123" s="199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2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203"/>
      <c r="R123" s="203"/>
      <c r="S123" s="203"/>
      <c r="T123" s="204"/>
      <c r="U123" s="34"/>
      <c r="V123" s="34"/>
      <c r="W123" s="35" t="s">
        <v>70</v>
      </c>
      <c r="X123" s="189">
        <v>0</v>
      </c>
      <c r="Y123" s="190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211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212"/>
      <c r="P124" s="193" t="s">
        <v>72</v>
      </c>
      <c r="Q124" s="194"/>
      <c r="R124" s="194"/>
      <c r="S124" s="194"/>
      <c r="T124" s="194"/>
      <c r="U124" s="194"/>
      <c r="V124" s="195"/>
      <c r="W124" s="37" t="s">
        <v>70</v>
      </c>
      <c r="X124" s="191">
        <f>IFERROR(SUM(X122:X123),"0")</f>
        <v>28</v>
      </c>
      <c r="Y124" s="191">
        <f>IFERROR(SUM(Y122:Y123),"0")</f>
        <v>28</v>
      </c>
      <c r="Z124" s="191">
        <f>IFERROR(IF(Z122="",0,Z122),"0")+IFERROR(IF(Z123="",0,Z123),"0")</f>
        <v>0.50063999999999997</v>
      </c>
      <c r="AA124" s="192"/>
      <c r="AB124" s="192"/>
      <c r="AC124" s="192"/>
    </row>
    <row r="125" spans="1:68" x14ac:dyDescent="0.2">
      <c r="A125" s="197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212"/>
      <c r="P125" s="193" t="s">
        <v>72</v>
      </c>
      <c r="Q125" s="194"/>
      <c r="R125" s="194"/>
      <c r="S125" s="194"/>
      <c r="T125" s="194"/>
      <c r="U125" s="194"/>
      <c r="V125" s="195"/>
      <c r="W125" s="37" t="s">
        <v>73</v>
      </c>
      <c r="X125" s="191">
        <f>IFERROR(SUMPRODUCT(X122:X123*H122:H123),"0")</f>
        <v>84</v>
      </c>
      <c r="Y125" s="191">
        <f>IFERROR(SUMPRODUCT(Y122:Y123*H122:H123),"0")</f>
        <v>84</v>
      </c>
      <c r="Z125" s="37"/>
      <c r="AA125" s="192"/>
      <c r="AB125" s="192"/>
      <c r="AC125" s="192"/>
    </row>
    <row r="126" spans="1:68" ht="16.5" customHeight="1" x14ac:dyDescent="0.25">
      <c r="A126" s="215" t="s">
        <v>194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84"/>
      <c r="AB126" s="184"/>
      <c r="AC126" s="184"/>
    </row>
    <row r="127" spans="1:68" ht="14.25" customHeight="1" x14ac:dyDescent="0.25">
      <c r="A127" s="214" t="s">
        <v>132</v>
      </c>
      <c r="B127" s="197"/>
      <c r="C127" s="197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8">
        <v>4607111035806</v>
      </c>
      <c r="E128" s="199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24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203"/>
      <c r="R128" s="203"/>
      <c r="S128" s="203"/>
      <c r="T128" s="204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211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212"/>
      <c r="P129" s="193" t="s">
        <v>72</v>
      </c>
      <c r="Q129" s="194"/>
      <c r="R129" s="194"/>
      <c r="S129" s="194"/>
      <c r="T129" s="194"/>
      <c r="U129" s="194"/>
      <c r="V129" s="195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x14ac:dyDescent="0.2">
      <c r="A130" s="197"/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212"/>
      <c r="P130" s="193" t="s">
        <v>72</v>
      </c>
      <c r="Q130" s="194"/>
      <c r="R130" s="194"/>
      <c r="S130" s="194"/>
      <c r="T130" s="194"/>
      <c r="U130" s="194"/>
      <c r="V130" s="195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customHeight="1" x14ac:dyDescent="0.25">
      <c r="A131" s="215" t="s">
        <v>197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84"/>
      <c r="AB131" s="184"/>
      <c r="AC131" s="184"/>
    </row>
    <row r="132" spans="1:68" ht="14.25" customHeight="1" x14ac:dyDescent="0.25">
      <c r="A132" s="214" t="s">
        <v>198</v>
      </c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85"/>
      <c r="AB132" s="185"/>
      <c r="AC132" s="185"/>
    </row>
    <row r="133" spans="1:68" ht="27" customHeight="1" x14ac:dyDescent="0.25">
      <c r="A133" s="54" t="s">
        <v>199</v>
      </c>
      <c r="B133" s="54" t="s">
        <v>200</v>
      </c>
      <c r="C133" s="31">
        <v>4301071054</v>
      </c>
      <c r="D133" s="198">
        <v>4607111035639</v>
      </c>
      <c r="E133" s="199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241" t="s">
        <v>202</v>
      </c>
      <c r="Q133" s="203"/>
      <c r="R133" s="203"/>
      <c r="S133" s="203"/>
      <c r="T133" s="204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203</v>
      </c>
      <c r="B134" s="54" t="s">
        <v>204</v>
      </c>
      <c r="C134" s="31">
        <v>4301135540</v>
      </c>
      <c r="D134" s="198">
        <v>4607111035646</v>
      </c>
      <c r="E134" s="199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203"/>
      <c r="R134" s="203"/>
      <c r="S134" s="203"/>
      <c r="T134" s="204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1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212"/>
      <c r="P135" s="193" t="s">
        <v>72</v>
      </c>
      <c r="Q135" s="194"/>
      <c r="R135" s="194"/>
      <c r="S135" s="194"/>
      <c r="T135" s="194"/>
      <c r="U135" s="194"/>
      <c r="V135" s="195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x14ac:dyDescent="0.2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212"/>
      <c r="P136" s="193" t="s">
        <v>72</v>
      </c>
      <c r="Q136" s="194"/>
      <c r="R136" s="194"/>
      <c r="S136" s="194"/>
      <c r="T136" s="194"/>
      <c r="U136" s="194"/>
      <c r="V136" s="195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customHeight="1" x14ac:dyDescent="0.25">
      <c r="A137" s="215" t="s">
        <v>205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84"/>
      <c r="AB137" s="184"/>
      <c r="AC137" s="184"/>
    </row>
    <row r="138" spans="1:68" ht="14.25" customHeight="1" x14ac:dyDescent="0.25">
      <c r="A138" s="214" t="s">
        <v>132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85"/>
      <c r="AB138" s="185"/>
      <c r="AC138" s="185"/>
    </row>
    <row r="139" spans="1:68" ht="27" customHeight="1" x14ac:dyDescent="0.25">
      <c r="A139" s="54" t="s">
        <v>206</v>
      </c>
      <c r="B139" s="54" t="s">
        <v>207</v>
      </c>
      <c r="C139" s="31">
        <v>4301135281</v>
      </c>
      <c r="D139" s="198">
        <v>4607111036568</v>
      </c>
      <c r="E139" s="199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2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203"/>
      <c r="R139" s="203"/>
      <c r="S139" s="203"/>
      <c r="T139" s="204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1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212"/>
      <c r="P140" s="193" t="s">
        <v>72</v>
      </c>
      <c r="Q140" s="194"/>
      <c r="R140" s="194"/>
      <c r="S140" s="194"/>
      <c r="T140" s="194"/>
      <c r="U140" s="194"/>
      <c r="V140" s="195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x14ac:dyDescent="0.2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212"/>
      <c r="P141" s="193" t="s">
        <v>72</v>
      </c>
      <c r="Q141" s="194"/>
      <c r="R141" s="194"/>
      <c r="S141" s="194"/>
      <c r="T141" s="194"/>
      <c r="U141" s="194"/>
      <c r="V141" s="195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customHeight="1" x14ac:dyDescent="0.2">
      <c r="A142" s="231" t="s">
        <v>208</v>
      </c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  <c r="Z142" s="232"/>
      <c r="AA142" s="48"/>
      <c r="AB142" s="48"/>
      <c r="AC142" s="48"/>
    </row>
    <row r="143" spans="1:68" ht="16.5" customHeight="1" x14ac:dyDescent="0.25">
      <c r="A143" s="215" t="s">
        <v>209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  <c r="AA143" s="184"/>
      <c r="AB143" s="184"/>
      <c r="AC143" s="184"/>
    </row>
    <row r="144" spans="1:68" ht="14.25" customHeight="1" x14ac:dyDescent="0.25">
      <c r="A144" s="214" t="s">
        <v>132</v>
      </c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  <c r="AA144" s="185"/>
      <c r="AB144" s="185"/>
      <c r="AC144" s="185"/>
    </row>
    <row r="145" spans="1:68" ht="27" customHeight="1" x14ac:dyDescent="0.25">
      <c r="A145" s="54" t="s">
        <v>210</v>
      </c>
      <c r="B145" s="54" t="s">
        <v>211</v>
      </c>
      <c r="C145" s="31">
        <v>4301135317</v>
      </c>
      <c r="D145" s="198">
        <v>4607111039057</v>
      </c>
      <c r="E145" s="199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378" t="s">
        <v>212</v>
      </c>
      <c r="Q145" s="203"/>
      <c r="R145" s="203"/>
      <c r="S145" s="203"/>
      <c r="T145" s="204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1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197"/>
      <c r="O146" s="212"/>
      <c r="P146" s="193" t="s">
        <v>72</v>
      </c>
      <c r="Q146" s="194"/>
      <c r="R146" s="194"/>
      <c r="S146" s="194"/>
      <c r="T146" s="194"/>
      <c r="U146" s="194"/>
      <c r="V146" s="195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212"/>
      <c r="P147" s="193" t="s">
        <v>72</v>
      </c>
      <c r="Q147" s="194"/>
      <c r="R147" s="194"/>
      <c r="S147" s="194"/>
      <c r="T147" s="194"/>
      <c r="U147" s="194"/>
      <c r="V147" s="195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15" t="s">
        <v>213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  <c r="AA148" s="184"/>
      <c r="AB148" s="184"/>
      <c r="AC148" s="184"/>
    </row>
    <row r="149" spans="1:68" ht="14.25" customHeight="1" x14ac:dyDescent="0.25">
      <c r="A149" s="214" t="s">
        <v>64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  <c r="AA149" s="185"/>
      <c r="AB149" s="185"/>
      <c r="AC149" s="185"/>
    </row>
    <row r="150" spans="1:68" ht="16.5" customHeight="1" x14ac:dyDescent="0.25">
      <c r="A150" s="54" t="s">
        <v>214</v>
      </c>
      <c r="B150" s="54" t="s">
        <v>215</v>
      </c>
      <c r="C150" s="31">
        <v>4301071062</v>
      </c>
      <c r="D150" s="198">
        <v>4607111036384</v>
      </c>
      <c r="E150" s="199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382" t="s">
        <v>216</v>
      </c>
      <c r="Q150" s="203"/>
      <c r="R150" s="203"/>
      <c r="S150" s="203"/>
      <c r="T150" s="204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217</v>
      </c>
      <c r="B151" s="54" t="s">
        <v>218</v>
      </c>
      <c r="C151" s="31">
        <v>4301070956</v>
      </c>
      <c r="D151" s="198">
        <v>4640242180250</v>
      </c>
      <c r="E151" s="199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210" t="s">
        <v>219</v>
      </c>
      <c r="Q151" s="203"/>
      <c r="R151" s="203"/>
      <c r="S151" s="203"/>
      <c r="T151" s="204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8">
        <v>4607111036216</v>
      </c>
      <c r="E152" s="199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87" t="s">
        <v>222</v>
      </c>
      <c r="Q152" s="203"/>
      <c r="R152" s="203"/>
      <c r="S152" s="203"/>
      <c r="T152" s="204"/>
      <c r="U152" s="34"/>
      <c r="V152" s="34"/>
      <c r="W152" s="35" t="s">
        <v>70</v>
      </c>
      <c r="X152" s="189">
        <v>312</v>
      </c>
      <c r="Y152" s="190">
        <f>IFERROR(IF(X152="","",X152),"")</f>
        <v>312</v>
      </c>
      <c r="Z152" s="36">
        <f>IFERROR(IF(X152="","",X152*0.00866),"")</f>
        <v>2.7019199999999999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1626.5183999999999</v>
      </c>
      <c r="BN152" s="67">
        <f>IFERROR(Y152*I152,"0")</f>
        <v>1626.5183999999999</v>
      </c>
      <c r="BO152" s="67">
        <f>IFERROR(X152/J152,"0")</f>
        <v>2.1666666666666665</v>
      </c>
      <c r="BP152" s="67">
        <f>IFERROR(Y152/J152,"0")</f>
        <v>2.1666666666666665</v>
      </c>
    </row>
    <row r="153" spans="1:68" ht="27" customHeight="1" x14ac:dyDescent="0.25">
      <c r="A153" s="54" t="s">
        <v>223</v>
      </c>
      <c r="B153" s="54" t="s">
        <v>224</v>
      </c>
      <c r="C153" s="31">
        <v>4301071027</v>
      </c>
      <c r="D153" s="198">
        <v>4607111036278</v>
      </c>
      <c r="E153" s="199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58" t="s">
        <v>225</v>
      </c>
      <c r="Q153" s="203"/>
      <c r="R153" s="203"/>
      <c r="S153" s="203"/>
      <c r="T153" s="204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1"/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212"/>
      <c r="P154" s="193" t="s">
        <v>72</v>
      </c>
      <c r="Q154" s="194"/>
      <c r="R154" s="194"/>
      <c r="S154" s="194"/>
      <c r="T154" s="194"/>
      <c r="U154" s="194"/>
      <c r="V154" s="195"/>
      <c r="W154" s="37" t="s">
        <v>70</v>
      </c>
      <c r="X154" s="191">
        <f>IFERROR(SUM(X150:X153),"0")</f>
        <v>312</v>
      </c>
      <c r="Y154" s="191">
        <f>IFERROR(SUM(Y150:Y153),"0")</f>
        <v>312</v>
      </c>
      <c r="Z154" s="191">
        <f>IFERROR(IF(Z150="",0,Z150),"0")+IFERROR(IF(Z151="",0,Z151),"0")+IFERROR(IF(Z152="",0,Z152),"0")+IFERROR(IF(Z153="",0,Z153),"0")</f>
        <v>2.7019199999999999</v>
      </c>
      <c r="AA154" s="192"/>
      <c r="AB154" s="192"/>
      <c r="AC154" s="192"/>
    </row>
    <row r="155" spans="1:68" x14ac:dyDescent="0.2">
      <c r="A155" s="197"/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212"/>
      <c r="P155" s="193" t="s">
        <v>72</v>
      </c>
      <c r="Q155" s="194"/>
      <c r="R155" s="194"/>
      <c r="S155" s="194"/>
      <c r="T155" s="194"/>
      <c r="U155" s="194"/>
      <c r="V155" s="195"/>
      <c r="W155" s="37" t="s">
        <v>73</v>
      </c>
      <c r="X155" s="191">
        <f>IFERROR(SUMPRODUCT(X150:X153*H150:H153),"0")</f>
        <v>1560</v>
      </c>
      <c r="Y155" s="191">
        <f>IFERROR(SUMPRODUCT(Y150:Y153*H150:H153),"0")</f>
        <v>1560</v>
      </c>
      <c r="Z155" s="37"/>
      <c r="AA155" s="192"/>
      <c r="AB155" s="192"/>
      <c r="AC155" s="192"/>
    </row>
    <row r="156" spans="1:68" ht="14.25" customHeight="1" x14ac:dyDescent="0.25">
      <c r="A156" s="214" t="s">
        <v>226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85"/>
      <c r="AB156" s="185"/>
      <c r="AC156" s="185"/>
    </row>
    <row r="157" spans="1:68" ht="27" customHeight="1" x14ac:dyDescent="0.25">
      <c r="A157" s="54" t="s">
        <v>227</v>
      </c>
      <c r="B157" s="54" t="s">
        <v>228</v>
      </c>
      <c r="C157" s="31">
        <v>4301080153</v>
      </c>
      <c r="D157" s="198">
        <v>4607111036827</v>
      </c>
      <c r="E157" s="199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3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03"/>
      <c r="R157" s="203"/>
      <c r="S157" s="203"/>
      <c r="T157" s="204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229</v>
      </c>
      <c r="B158" s="54" t="s">
        <v>230</v>
      </c>
      <c r="C158" s="31">
        <v>4301080154</v>
      </c>
      <c r="D158" s="198">
        <v>4607111036834</v>
      </c>
      <c r="E158" s="199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03"/>
      <c r="R158" s="203"/>
      <c r="S158" s="203"/>
      <c r="T158" s="204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1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212"/>
      <c r="P159" s="193" t="s">
        <v>72</v>
      </c>
      <c r="Q159" s="194"/>
      <c r="R159" s="194"/>
      <c r="S159" s="194"/>
      <c r="T159" s="194"/>
      <c r="U159" s="194"/>
      <c r="V159" s="195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212"/>
      <c r="P160" s="193" t="s">
        <v>72</v>
      </c>
      <c r="Q160" s="194"/>
      <c r="R160" s="194"/>
      <c r="S160" s="194"/>
      <c r="T160" s="194"/>
      <c r="U160" s="194"/>
      <c r="V160" s="195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31" t="s">
        <v>231</v>
      </c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48"/>
      <c r="AB161" s="48"/>
      <c r="AC161" s="48"/>
    </row>
    <row r="162" spans="1:68" ht="16.5" customHeight="1" x14ac:dyDescent="0.25">
      <c r="A162" s="215" t="s">
        <v>232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84"/>
      <c r="AB162" s="184"/>
      <c r="AC162" s="184"/>
    </row>
    <row r="163" spans="1:68" ht="14.25" customHeight="1" x14ac:dyDescent="0.25">
      <c r="A163" s="214" t="s">
        <v>76</v>
      </c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8">
        <v>4607111035721</v>
      </c>
      <c r="E164" s="199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26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03"/>
      <c r="R164" s="203"/>
      <c r="S164" s="203"/>
      <c r="T164" s="204"/>
      <c r="U164" s="34"/>
      <c r="V164" s="34"/>
      <c r="W164" s="35" t="s">
        <v>70</v>
      </c>
      <c r="X164" s="189">
        <v>70</v>
      </c>
      <c r="Y164" s="190">
        <f>IFERROR(IF(X164="","",X164),"")</f>
        <v>70</v>
      </c>
      <c r="Z164" s="36">
        <f>IFERROR(IF(X164="","",X164*0.01788),"")</f>
        <v>1.2516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237.16</v>
      </c>
      <c r="BN164" s="67">
        <f>IFERROR(Y164*I164,"0")</f>
        <v>237.16</v>
      </c>
      <c r="BO164" s="67">
        <f>IFERROR(X164/J164,"0")</f>
        <v>1</v>
      </c>
      <c r="BP164" s="67">
        <f>IFERROR(Y164/J164,"0")</f>
        <v>1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8">
        <v>4607111035691</v>
      </c>
      <c r="E165" s="199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3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03"/>
      <c r="R165" s="203"/>
      <c r="S165" s="203"/>
      <c r="T165" s="204"/>
      <c r="U165" s="34"/>
      <c r="V165" s="34"/>
      <c r="W165" s="35" t="s">
        <v>70</v>
      </c>
      <c r="X165" s="189">
        <v>0</v>
      </c>
      <c r="Y165" s="190">
        <f>IFERROR(IF(X165="","",X165),"")</f>
        <v>0</v>
      </c>
      <c r="Z165" s="36">
        <f>IFERROR(IF(X165="","",X165*0.01788),"")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8">
        <v>4607111038487</v>
      </c>
      <c r="E166" s="199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34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03"/>
      <c r="R166" s="203"/>
      <c r="S166" s="203"/>
      <c r="T166" s="204"/>
      <c r="U166" s="34"/>
      <c r="V166" s="34"/>
      <c r="W166" s="35" t="s">
        <v>70</v>
      </c>
      <c r="X166" s="189">
        <v>28</v>
      </c>
      <c r="Y166" s="190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104.608</v>
      </c>
      <c r="BN166" s="67">
        <f>IFERROR(Y166*I166,"0")</f>
        <v>104.608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211"/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212"/>
      <c r="P167" s="193" t="s">
        <v>72</v>
      </c>
      <c r="Q167" s="194"/>
      <c r="R167" s="194"/>
      <c r="S167" s="194"/>
      <c r="T167" s="194"/>
      <c r="U167" s="194"/>
      <c r="V167" s="195"/>
      <c r="W167" s="37" t="s">
        <v>70</v>
      </c>
      <c r="X167" s="191">
        <f>IFERROR(SUM(X164:X166),"0")</f>
        <v>98</v>
      </c>
      <c r="Y167" s="191">
        <f>IFERROR(SUM(Y164:Y166),"0")</f>
        <v>98</v>
      </c>
      <c r="Z167" s="191">
        <f>IFERROR(IF(Z164="",0,Z164),"0")+IFERROR(IF(Z165="",0,Z165),"0")+IFERROR(IF(Z166="",0,Z166),"0")</f>
        <v>1.75224</v>
      </c>
      <c r="AA167" s="192"/>
      <c r="AB167" s="192"/>
      <c r="AC167" s="192"/>
    </row>
    <row r="168" spans="1:68" x14ac:dyDescent="0.2">
      <c r="A168" s="197"/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212"/>
      <c r="P168" s="193" t="s">
        <v>72</v>
      </c>
      <c r="Q168" s="194"/>
      <c r="R168" s="194"/>
      <c r="S168" s="194"/>
      <c r="T168" s="194"/>
      <c r="U168" s="194"/>
      <c r="V168" s="195"/>
      <c r="W168" s="37" t="s">
        <v>73</v>
      </c>
      <c r="X168" s="191">
        <f>IFERROR(SUMPRODUCT(X164:X166*H164:H166),"0")</f>
        <v>294</v>
      </c>
      <c r="Y168" s="191">
        <f>IFERROR(SUMPRODUCT(Y164:Y166*H164:H166),"0")</f>
        <v>294</v>
      </c>
      <c r="Z168" s="37"/>
      <c r="AA168" s="192"/>
      <c r="AB168" s="192"/>
      <c r="AC168" s="192"/>
    </row>
    <row r="169" spans="1:68" ht="14.25" customHeight="1" x14ac:dyDescent="0.25">
      <c r="A169" s="214" t="s">
        <v>239</v>
      </c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85"/>
      <c r="AB169" s="185"/>
      <c r="AC169" s="185"/>
    </row>
    <row r="170" spans="1:68" ht="27" customHeight="1" x14ac:dyDescent="0.25">
      <c r="A170" s="54" t="s">
        <v>240</v>
      </c>
      <c r="B170" s="54" t="s">
        <v>241</v>
      </c>
      <c r="C170" s="31">
        <v>4301051319</v>
      </c>
      <c r="D170" s="198">
        <v>4680115881204</v>
      </c>
      <c r="E170" s="199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3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03"/>
      <c r="R170" s="203"/>
      <c r="S170" s="203"/>
      <c r="T170" s="204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1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197"/>
      <c r="O171" s="212"/>
      <c r="P171" s="193" t="s">
        <v>72</v>
      </c>
      <c r="Q171" s="194"/>
      <c r="R171" s="194"/>
      <c r="S171" s="194"/>
      <c r="T171" s="194"/>
      <c r="U171" s="194"/>
      <c r="V171" s="195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212"/>
      <c r="P172" s="193" t="s">
        <v>72</v>
      </c>
      <c r="Q172" s="194"/>
      <c r="R172" s="194"/>
      <c r="S172" s="194"/>
      <c r="T172" s="194"/>
      <c r="U172" s="194"/>
      <c r="V172" s="195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customHeight="1" x14ac:dyDescent="0.2">
      <c r="A173" s="231" t="s">
        <v>244</v>
      </c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48"/>
      <c r="AB173" s="48"/>
      <c r="AC173" s="48"/>
    </row>
    <row r="174" spans="1:68" ht="16.5" customHeight="1" x14ac:dyDescent="0.25">
      <c r="A174" s="215" t="s">
        <v>245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84"/>
      <c r="AB174" s="184"/>
      <c r="AC174" s="184"/>
    </row>
    <row r="175" spans="1:68" ht="14.25" customHeight="1" x14ac:dyDescent="0.25">
      <c r="A175" s="214" t="s">
        <v>64</v>
      </c>
      <c r="B175" s="197"/>
      <c r="C175" s="197"/>
      <c r="D175" s="197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8">
        <v>4607111037022</v>
      </c>
      <c r="E176" s="199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25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203"/>
      <c r="R176" s="203"/>
      <c r="S176" s="203"/>
      <c r="T176" s="204"/>
      <c r="U176" s="34"/>
      <c r="V176" s="34"/>
      <c r="W176" s="35" t="s">
        <v>70</v>
      </c>
      <c r="X176" s="189">
        <v>12</v>
      </c>
      <c r="Y176" s="190">
        <f>IFERROR(IF(X176="","",X176),"")</f>
        <v>12</v>
      </c>
      <c r="Z176" s="36">
        <f>IFERROR(IF(X176="","",X176*0.0155),"")</f>
        <v>0.186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70.44</v>
      </c>
      <c r="BN176" s="67">
        <f>IFERROR(Y176*I176,"0")</f>
        <v>70.44</v>
      </c>
      <c r="BO176" s="67">
        <f>IFERROR(X176/J176,"0")</f>
        <v>0.14285714285714285</v>
      </c>
      <c r="BP176" s="67">
        <f>IFERROR(Y176/J176,"0")</f>
        <v>0.14285714285714285</v>
      </c>
    </row>
    <row r="177" spans="1:68" ht="27" customHeight="1" x14ac:dyDescent="0.25">
      <c r="A177" s="54" t="s">
        <v>248</v>
      </c>
      <c r="B177" s="54" t="s">
        <v>249</v>
      </c>
      <c r="C177" s="31">
        <v>4301070990</v>
      </c>
      <c r="D177" s="198">
        <v>4607111038494</v>
      </c>
      <c r="E177" s="199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203"/>
      <c r="R177" s="203"/>
      <c r="S177" s="203"/>
      <c r="T177" s="204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250</v>
      </c>
      <c r="B178" s="54" t="s">
        <v>251</v>
      </c>
      <c r="C178" s="31">
        <v>4301070966</v>
      </c>
      <c r="D178" s="198">
        <v>4607111038135</v>
      </c>
      <c r="E178" s="199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2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203"/>
      <c r="R178" s="203"/>
      <c r="S178" s="203"/>
      <c r="T178" s="204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1"/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212"/>
      <c r="P179" s="193" t="s">
        <v>72</v>
      </c>
      <c r="Q179" s="194"/>
      <c r="R179" s="194"/>
      <c r="S179" s="194"/>
      <c r="T179" s="194"/>
      <c r="U179" s="194"/>
      <c r="V179" s="195"/>
      <c r="W179" s="37" t="s">
        <v>70</v>
      </c>
      <c r="X179" s="191">
        <f>IFERROR(SUM(X176:X178),"0")</f>
        <v>12</v>
      </c>
      <c r="Y179" s="191">
        <f>IFERROR(SUM(Y176:Y178),"0")</f>
        <v>12</v>
      </c>
      <c r="Z179" s="191">
        <f>IFERROR(IF(Z176="",0,Z176),"0")+IFERROR(IF(Z177="",0,Z177),"0")+IFERROR(IF(Z178="",0,Z178),"0")</f>
        <v>0.186</v>
      </c>
      <c r="AA179" s="192"/>
      <c r="AB179" s="192"/>
      <c r="AC179" s="192"/>
    </row>
    <row r="180" spans="1:68" x14ac:dyDescent="0.2">
      <c r="A180" s="197"/>
      <c r="B180" s="197"/>
      <c r="C180" s="197"/>
      <c r="D180" s="197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212"/>
      <c r="P180" s="193" t="s">
        <v>72</v>
      </c>
      <c r="Q180" s="194"/>
      <c r="R180" s="194"/>
      <c r="S180" s="194"/>
      <c r="T180" s="194"/>
      <c r="U180" s="194"/>
      <c r="V180" s="195"/>
      <c r="W180" s="37" t="s">
        <v>73</v>
      </c>
      <c r="X180" s="191">
        <f>IFERROR(SUMPRODUCT(X176:X178*H176:H178),"0")</f>
        <v>67.199999999999989</v>
      </c>
      <c r="Y180" s="191">
        <f>IFERROR(SUMPRODUCT(Y176:Y178*H176:H178),"0")</f>
        <v>67.199999999999989</v>
      </c>
      <c r="Z180" s="37"/>
      <c r="AA180" s="192"/>
      <c r="AB180" s="192"/>
      <c r="AC180" s="192"/>
    </row>
    <row r="181" spans="1:68" ht="16.5" customHeight="1" x14ac:dyDescent="0.25">
      <c r="A181" s="215" t="s">
        <v>252</v>
      </c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  <c r="AA181" s="184"/>
      <c r="AB181" s="184"/>
      <c r="AC181" s="184"/>
    </row>
    <row r="182" spans="1:68" ht="14.25" customHeight="1" x14ac:dyDescent="0.25">
      <c r="A182" s="214" t="s">
        <v>64</v>
      </c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197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  <c r="AA182" s="185"/>
      <c r="AB182" s="185"/>
      <c r="AC182" s="185"/>
    </row>
    <row r="183" spans="1:68" ht="27" customHeight="1" x14ac:dyDescent="0.25">
      <c r="A183" s="54" t="s">
        <v>253</v>
      </c>
      <c r="B183" s="54" t="s">
        <v>254</v>
      </c>
      <c r="C183" s="31">
        <v>4301070996</v>
      </c>
      <c r="D183" s="198">
        <v>4607111038654</v>
      </c>
      <c r="E183" s="199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203"/>
      <c r="R183" s="203"/>
      <c r="S183" s="203"/>
      <c r="T183" s="204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8">
        <v>4607111038586</v>
      </c>
      <c r="E184" s="199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203"/>
      <c r="R184" s="203"/>
      <c r="S184" s="203"/>
      <c r="T184" s="204"/>
      <c r="U184" s="34"/>
      <c r="V184" s="34"/>
      <c r="W184" s="35" t="s">
        <v>70</v>
      </c>
      <c r="X184" s="189">
        <v>0</v>
      </c>
      <c r="Y184" s="190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customHeight="1" x14ac:dyDescent="0.25">
      <c r="A185" s="54" t="s">
        <v>257</v>
      </c>
      <c r="B185" s="54" t="s">
        <v>258</v>
      </c>
      <c r="C185" s="31">
        <v>4301070962</v>
      </c>
      <c r="D185" s="198">
        <v>4607111038609</v>
      </c>
      <c r="E185" s="199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3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203"/>
      <c r="R185" s="203"/>
      <c r="S185" s="203"/>
      <c r="T185" s="204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8">
        <v>4607111038630</v>
      </c>
      <c r="E186" s="199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23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203"/>
      <c r="R186" s="203"/>
      <c r="S186" s="203"/>
      <c r="T186" s="204"/>
      <c r="U186" s="34"/>
      <c r="V186" s="34"/>
      <c r="W186" s="35" t="s">
        <v>70</v>
      </c>
      <c r="X186" s="189">
        <v>12</v>
      </c>
      <c r="Y186" s="190">
        <f t="shared" si="18"/>
        <v>12</v>
      </c>
      <c r="Z186" s="36">
        <f t="shared" si="19"/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70.44</v>
      </c>
      <c r="BN186" s="67">
        <f t="shared" si="21"/>
        <v>70.44</v>
      </c>
      <c r="BO186" s="67">
        <f t="shared" si="22"/>
        <v>0.14285714285714285</v>
      </c>
      <c r="BP186" s="67">
        <f t="shared" si="23"/>
        <v>0.14285714285714285</v>
      </c>
    </row>
    <row r="187" spans="1:68" ht="27" customHeight="1" x14ac:dyDescent="0.25">
      <c r="A187" s="54" t="s">
        <v>261</v>
      </c>
      <c r="B187" s="54" t="s">
        <v>262</v>
      </c>
      <c r="C187" s="31">
        <v>4301070959</v>
      </c>
      <c r="D187" s="198">
        <v>4607111038616</v>
      </c>
      <c r="E187" s="199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5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203"/>
      <c r="R187" s="203"/>
      <c r="S187" s="203"/>
      <c r="T187" s="204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8">
        <v>4607111038623</v>
      </c>
      <c r="E188" s="199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26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203"/>
      <c r="R188" s="203"/>
      <c r="S188" s="203"/>
      <c r="T188" s="204"/>
      <c r="U188" s="34"/>
      <c r="V188" s="34"/>
      <c r="W188" s="35" t="s">
        <v>70</v>
      </c>
      <c r="X188" s="189">
        <v>0</v>
      </c>
      <c r="Y188" s="190">
        <f t="shared" si="18"/>
        <v>0</v>
      </c>
      <c r="Z188" s="36">
        <f t="shared" si="19"/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0</v>
      </c>
      <c r="BN188" s="67">
        <f t="shared" si="21"/>
        <v>0</v>
      </c>
      <c r="BO188" s="67">
        <f t="shared" si="22"/>
        <v>0</v>
      </c>
      <c r="BP188" s="67">
        <f t="shared" si="23"/>
        <v>0</v>
      </c>
    </row>
    <row r="189" spans="1:68" x14ac:dyDescent="0.2">
      <c r="A189" s="211"/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212"/>
      <c r="P189" s="193" t="s">
        <v>72</v>
      </c>
      <c r="Q189" s="194"/>
      <c r="R189" s="194"/>
      <c r="S189" s="194"/>
      <c r="T189" s="194"/>
      <c r="U189" s="194"/>
      <c r="V189" s="195"/>
      <c r="W189" s="37" t="s">
        <v>70</v>
      </c>
      <c r="X189" s="191">
        <f>IFERROR(SUM(X183:X188),"0")</f>
        <v>12</v>
      </c>
      <c r="Y189" s="191">
        <f>IFERROR(SUM(Y183:Y188),"0")</f>
        <v>12</v>
      </c>
      <c r="Z189" s="191">
        <f>IFERROR(IF(Z183="",0,Z183),"0")+IFERROR(IF(Z184="",0,Z184),"0")+IFERROR(IF(Z185="",0,Z185),"0")+IFERROR(IF(Z186="",0,Z186),"0")+IFERROR(IF(Z187="",0,Z187),"0")+IFERROR(IF(Z188="",0,Z188),"0")</f>
        <v>0.186</v>
      </c>
      <c r="AA189" s="192"/>
      <c r="AB189" s="192"/>
      <c r="AC189" s="192"/>
    </row>
    <row r="190" spans="1:68" x14ac:dyDescent="0.2">
      <c r="A190" s="197"/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212"/>
      <c r="P190" s="193" t="s">
        <v>72</v>
      </c>
      <c r="Q190" s="194"/>
      <c r="R190" s="194"/>
      <c r="S190" s="194"/>
      <c r="T190" s="194"/>
      <c r="U190" s="194"/>
      <c r="V190" s="195"/>
      <c r="W190" s="37" t="s">
        <v>73</v>
      </c>
      <c r="X190" s="191">
        <f>IFERROR(SUMPRODUCT(X183:X188*H183:H188),"0")</f>
        <v>67.199999999999989</v>
      </c>
      <c r="Y190" s="191">
        <f>IFERROR(SUMPRODUCT(Y183:Y188*H183:H188),"0")</f>
        <v>67.199999999999989</v>
      </c>
      <c r="Z190" s="37"/>
      <c r="AA190" s="192"/>
      <c r="AB190" s="192"/>
      <c r="AC190" s="192"/>
    </row>
    <row r="191" spans="1:68" ht="16.5" customHeight="1" x14ac:dyDescent="0.25">
      <c r="A191" s="215" t="s">
        <v>265</v>
      </c>
      <c r="B191" s="197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  <c r="AA191" s="184"/>
      <c r="AB191" s="184"/>
      <c r="AC191" s="184"/>
    </row>
    <row r="192" spans="1:68" ht="14.25" customHeight="1" x14ac:dyDescent="0.25">
      <c r="A192" s="214" t="s">
        <v>64</v>
      </c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85"/>
      <c r="AB192" s="185"/>
      <c r="AC192" s="185"/>
    </row>
    <row r="193" spans="1:68" ht="27" customHeight="1" x14ac:dyDescent="0.25">
      <c r="A193" s="54" t="s">
        <v>266</v>
      </c>
      <c r="B193" s="54" t="s">
        <v>267</v>
      </c>
      <c r="C193" s="31">
        <v>4301070915</v>
      </c>
      <c r="D193" s="198">
        <v>4607111035882</v>
      </c>
      <c r="E193" s="199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28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203"/>
      <c r="R193" s="203"/>
      <c r="S193" s="203"/>
      <c r="T193" s="204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8">
        <v>4607111035905</v>
      </c>
      <c r="E194" s="199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203"/>
      <c r="R194" s="203"/>
      <c r="S194" s="203"/>
      <c r="T194" s="204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270</v>
      </c>
      <c r="B195" s="54" t="s">
        <v>271</v>
      </c>
      <c r="C195" s="31">
        <v>4301070917</v>
      </c>
      <c r="D195" s="198">
        <v>4607111035912</v>
      </c>
      <c r="E195" s="199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2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203"/>
      <c r="R195" s="203"/>
      <c r="S195" s="203"/>
      <c r="T195" s="204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8">
        <v>4607111035929</v>
      </c>
      <c r="E196" s="199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203"/>
      <c r="R196" s="203"/>
      <c r="S196" s="203"/>
      <c r="T196" s="204"/>
      <c r="U196" s="34"/>
      <c r="V196" s="34"/>
      <c r="W196" s="35" t="s">
        <v>70</v>
      </c>
      <c r="X196" s="189">
        <v>12</v>
      </c>
      <c r="Y196" s="190">
        <f>IFERROR(IF(X196="","",X196),"")</f>
        <v>12</v>
      </c>
      <c r="Z196" s="36">
        <f>IFERROR(IF(X196="","",X196*0.0155),"")</f>
        <v>0.186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11"/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212"/>
      <c r="P197" s="193" t="s">
        <v>72</v>
      </c>
      <c r="Q197" s="194"/>
      <c r="R197" s="194"/>
      <c r="S197" s="194"/>
      <c r="T197" s="194"/>
      <c r="U197" s="194"/>
      <c r="V197" s="195"/>
      <c r="W197" s="37" t="s">
        <v>70</v>
      </c>
      <c r="X197" s="191">
        <f>IFERROR(SUM(X193:X196),"0")</f>
        <v>12</v>
      </c>
      <c r="Y197" s="191">
        <f>IFERROR(SUM(Y193:Y196),"0")</f>
        <v>12</v>
      </c>
      <c r="Z197" s="191">
        <f>IFERROR(IF(Z193="",0,Z193),"0")+IFERROR(IF(Z194="",0,Z194),"0")+IFERROR(IF(Z195="",0,Z195),"0")+IFERROR(IF(Z196="",0,Z196),"0")</f>
        <v>0.186</v>
      </c>
      <c r="AA197" s="192"/>
      <c r="AB197" s="192"/>
      <c r="AC197" s="192"/>
    </row>
    <row r="198" spans="1:68" x14ac:dyDescent="0.2">
      <c r="A198" s="197"/>
      <c r="B198" s="197"/>
      <c r="C198" s="197"/>
      <c r="D198" s="197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212"/>
      <c r="P198" s="193" t="s">
        <v>72</v>
      </c>
      <c r="Q198" s="194"/>
      <c r="R198" s="194"/>
      <c r="S198" s="194"/>
      <c r="T198" s="194"/>
      <c r="U198" s="194"/>
      <c r="V198" s="195"/>
      <c r="W198" s="37" t="s">
        <v>73</v>
      </c>
      <c r="X198" s="191">
        <f>IFERROR(SUMPRODUCT(X193:X196*H193:H196),"0")</f>
        <v>86.4</v>
      </c>
      <c r="Y198" s="191">
        <f>IFERROR(SUMPRODUCT(Y193:Y196*H193:H196),"0")</f>
        <v>86.4</v>
      </c>
      <c r="Z198" s="37"/>
      <c r="AA198" s="192"/>
      <c r="AB198" s="192"/>
      <c r="AC198" s="192"/>
    </row>
    <row r="199" spans="1:68" ht="16.5" customHeight="1" x14ac:dyDescent="0.25">
      <c r="A199" s="215" t="s">
        <v>274</v>
      </c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  <c r="AA199" s="184"/>
      <c r="AB199" s="184"/>
      <c r="AC199" s="184"/>
    </row>
    <row r="200" spans="1:68" ht="14.25" customHeight="1" x14ac:dyDescent="0.25">
      <c r="A200" s="214" t="s">
        <v>64</v>
      </c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  <c r="AA200" s="185"/>
      <c r="AB200" s="185"/>
      <c r="AC200" s="185"/>
    </row>
    <row r="201" spans="1:68" ht="16.5" customHeight="1" x14ac:dyDescent="0.25">
      <c r="A201" s="54" t="s">
        <v>275</v>
      </c>
      <c r="B201" s="54" t="s">
        <v>276</v>
      </c>
      <c r="C201" s="31">
        <v>4301071033</v>
      </c>
      <c r="D201" s="198">
        <v>4607111035332</v>
      </c>
      <c r="E201" s="199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53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203"/>
      <c r="R201" s="203"/>
      <c r="S201" s="203"/>
      <c r="T201" s="204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customHeight="1" x14ac:dyDescent="0.25">
      <c r="A202" s="54" t="s">
        <v>277</v>
      </c>
      <c r="B202" s="54" t="s">
        <v>278</v>
      </c>
      <c r="C202" s="31">
        <v>4301071000</v>
      </c>
      <c r="D202" s="198">
        <v>4607111038708</v>
      </c>
      <c r="E202" s="199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2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203"/>
      <c r="R202" s="203"/>
      <c r="S202" s="203"/>
      <c r="T202" s="204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11"/>
      <c r="B203" s="197"/>
      <c r="C203" s="197"/>
      <c r="D203" s="197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212"/>
      <c r="P203" s="193" t="s">
        <v>72</v>
      </c>
      <c r="Q203" s="194"/>
      <c r="R203" s="194"/>
      <c r="S203" s="194"/>
      <c r="T203" s="194"/>
      <c r="U203" s="194"/>
      <c r="V203" s="195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x14ac:dyDescent="0.2">
      <c r="A204" s="197"/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212"/>
      <c r="P204" s="193" t="s">
        <v>72</v>
      </c>
      <c r="Q204" s="194"/>
      <c r="R204" s="194"/>
      <c r="S204" s="194"/>
      <c r="T204" s="194"/>
      <c r="U204" s="194"/>
      <c r="V204" s="195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customHeight="1" x14ac:dyDescent="0.2">
      <c r="A205" s="231" t="s">
        <v>279</v>
      </c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  <c r="AA205" s="48"/>
      <c r="AB205" s="48"/>
      <c r="AC205" s="48"/>
    </row>
    <row r="206" spans="1:68" ht="16.5" customHeight="1" x14ac:dyDescent="0.25">
      <c r="A206" s="215" t="s">
        <v>280</v>
      </c>
      <c r="B206" s="197"/>
      <c r="C206" s="197"/>
      <c r="D206" s="197"/>
      <c r="E206" s="197"/>
      <c r="F206" s="197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84"/>
      <c r="AB206" s="184"/>
      <c r="AC206" s="184"/>
    </row>
    <row r="207" spans="1:68" ht="14.25" customHeight="1" x14ac:dyDescent="0.25">
      <c r="A207" s="214" t="s">
        <v>64</v>
      </c>
      <c r="B207" s="197"/>
      <c r="C207" s="197"/>
      <c r="D207" s="197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85"/>
      <c r="AB207" s="185"/>
      <c r="AC207" s="185"/>
    </row>
    <row r="208" spans="1:68" ht="27" customHeight="1" x14ac:dyDescent="0.25">
      <c r="A208" s="54" t="s">
        <v>281</v>
      </c>
      <c r="B208" s="54" t="s">
        <v>282</v>
      </c>
      <c r="C208" s="31">
        <v>4301071036</v>
      </c>
      <c r="D208" s="198">
        <v>4607111036162</v>
      </c>
      <c r="E208" s="199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335" t="s">
        <v>283</v>
      </c>
      <c r="Q208" s="203"/>
      <c r="R208" s="203"/>
      <c r="S208" s="203"/>
      <c r="T208" s="204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11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212"/>
      <c r="P209" s="193" t="s">
        <v>72</v>
      </c>
      <c r="Q209" s="194"/>
      <c r="R209" s="194"/>
      <c r="S209" s="194"/>
      <c r="T209" s="194"/>
      <c r="U209" s="194"/>
      <c r="V209" s="195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x14ac:dyDescent="0.2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212"/>
      <c r="P210" s="193" t="s">
        <v>72</v>
      </c>
      <c r="Q210" s="194"/>
      <c r="R210" s="194"/>
      <c r="S210" s="194"/>
      <c r="T210" s="194"/>
      <c r="U210" s="194"/>
      <c r="V210" s="195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customHeight="1" x14ac:dyDescent="0.2">
      <c r="A211" s="231" t="s">
        <v>284</v>
      </c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  <c r="AA211" s="48"/>
      <c r="AB211" s="48"/>
      <c r="AC211" s="48"/>
    </row>
    <row r="212" spans="1:68" ht="16.5" customHeight="1" x14ac:dyDescent="0.25">
      <c r="A212" s="215" t="s">
        <v>285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84"/>
      <c r="AB212" s="184"/>
      <c r="AC212" s="184"/>
    </row>
    <row r="213" spans="1:68" ht="14.25" customHeight="1" x14ac:dyDescent="0.25">
      <c r="A213" s="214" t="s">
        <v>64</v>
      </c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8">
        <v>4607111035899</v>
      </c>
      <c r="E214" s="199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2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203"/>
      <c r="R214" s="203"/>
      <c r="S214" s="203"/>
      <c r="T214" s="204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288</v>
      </c>
      <c r="B215" s="54" t="s">
        <v>289</v>
      </c>
      <c r="C215" s="31">
        <v>4301070991</v>
      </c>
      <c r="D215" s="198">
        <v>4607111038180</v>
      </c>
      <c r="E215" s="199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203"/>
      <c r="R215" s="203"/>
      <c r="S215" s="203"/>
      <c r="T215" s="204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1"/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212"/>
      <c r="P216" s="193" t="s">
        <v>72</v>
      </c>
      <c r="Q216" s="194"/>
      <c r="R216" s="194"/>
      <c r="S216" s="194"/>
      <c r="T216" s="194"/>
      <c r="U216" s="194"/>
      <c r="V216" s="195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x14ac:dyDescent="0.2">
      <c r="A217" s="197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197"/>
      <c r="O217" s="212"/>
      <c r="P217" s="193" t="s">
        <v>72</v>
      </c>
      <c r="Q217" s="194"/>
      <c r="R217" s="194"/>
      <c r="S217" s="194"/>
      <c r="T217" s="194"/>
      <c r="U217" s="194"/>
      <c r="V217" s="195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customHeight="1" x14ac:dyDescent="0.2">
      <c r="A218" s="231" t="s">
        <v>209</v>
      </c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48"/>
      <c r="AB218" s="48"/>
      <c r="AC218" s="48"/>
    </row>
    <row r="219" spans="1:68" ht="16.5" customHeight="1" x14ac:dyDescent="0.25">
      <c r="A219" s="215" t="s">
        <v>209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  <c r="AA219" s="184"/>
      <c r="AB219" s="184"/>
      <c r="AC219" s="184"/>
    </row>
    <row r="220" spans="1:68" ht="14.25" customHeight="1" x14ac:dyDescent="0.25">
      <c r="A220" s="214" t="s">
        <v>64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8">
        <v>4640242181264</v>
      </c>
      <c r="E221" s="199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84" t="s">
        <v>292</v>
      </c>
      <c r="Q221" s="203"/>
      <c r="R221" s="203"/>
      <c r="S221" s="203"/>
      <c r="T221" s="204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8">
        <v>4640242181325</v>
      </c>
      <c r="E222" s="199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279" t="s">
        <v>295</v>
      </c>
      <c r="Q222" s="203"/>
      <c r="R222" s="203"/>
      <c r="S222" s="203"/>
      <c r="T222" s="204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8">
        <v>4640242180670</v>
      </c>
      <c r="E223" s="199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53" t="s">
        <v>298</v>
      </c>
      <c r="Q223" s="203"/>
      <c r="R223" s="203"/>
      <c r="S223" s="203"/>
      <c r="T223" s="204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1"/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212"/>
      <c r="P224" s="193" t="s">
        <v>72</v>
      </c>
      <c r="Q224" s="194"/>
      <c r="R224" s="194"/>
      <c r="S224" s="194"/>
      <c r="T224" s="194"/>
      <c r="U224" s="194"/>
      <c r="V224" s="195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x14ac:dyDescent="0.2">
      <c r="A225" s="197"/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212"/>
      <c r="P225" s="193" t="s">
        <v>72</v>
      </c>
      <c r="Q225" s="194"/>
      <c r="R225" s="194"/>
      <c r="S225" s="194"/>
      <c r="T225" s="194"/>
      <c r="U225" s="194"/>
      <c r="V225" s="195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customHeight="1" x14ac:dyDescent="0.25">
      <c r="A226" s="214" t="s">
        <v>136</v>
      </c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8">
        <v>4640242180427</v>
      </c>
      <c r="E227" s="199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265" t="s">
        <v>301</v>
      </c>
      <c r="Q227" s="203"/>
      <c r="R227" s="203"/>
      <c r="S227" s="203"/>
      <c r="T227" s="204"/>
      <c r="U227" s="34"/>
      <c r="V227" s="34"/>
      <c r="W227" s="35" t="s">
        <v>70</v>
      </c>
      <c r="X227" s="189">
        <v>288</v>
      </c>
      <c r="Y227" s="190">
        <f>IFERROR(IF(X227="","",X227),"")</f>
        <v>288</v>
      </c>
      <c r="Z227" s="36">
        <f>IFERROR(IF(X227="","",X227*0.00502),"")</f>
        <v>1.4457599999999999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551.52</v>
      </c>
      <c r="BN227" s="67">
        <f>IFERROR(Y227*I227,"0")</f>
        <v>551.52</v>
      </c>
      <c r="BO227" s="67">
        <f>IFERROR(X227/J227,"0")</f>
        <v>1.2307692307692308</v>
      </c>
      <c r="BP227" s="67">
        <f>IFERROR(Y227/J227,"0")</f>
        <v>1.2307692307692308</v>
      </c>
    </row>
    <row r="228" spans="1:68" x14ac:dyDescent="0.2">
      <c r="A228" s="211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197"/>
      <c r="O228" s="212"/>
      <c r="P228" s="193" t="s">
        <v>72</v>
      </c>
      <c r="Q228" s="194"/>
      <c r="R228" s="194"/>
      <c r="S228" s="194"/>
      <c r="T228" s="194"/>
      <c r="U228" s="194"/>
      <c r="V228" s="195"/>
      <c r="W228" s="37" t="s">
        <v>70</v>
      </c>
      <c r="X228" s="191">
        <f>IFERROR(SUM(X227:X227),"0")</f>
        <v>288</v>
      </c>
      <c r="Y228" s="191">
        <f>IFERROR(SUM(Y227:Y227),"0")</f>
        <v>288</v>
      </c>
      <c r="Z228" s="191">
        <f>IFERROR(IF(Z227="",0,Z227),"0")</f>
        <v>1.4457599999999999</v>
      </c>
      <c r="AA228" s="192"/>
      <c r="AB228" s="192"/>
      <c r="AC228" s="192"/>
    </row>
    <row r="229" spans="1:68" x14ac:dyDescent="0.2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197"/>
      <c r="O229" s="212"/>
      <c r="P229" s="193" t="s">
        <v>72</v>
      </c>
      <c r="Q229" s="194"/>
      <c r="R229" s="194"/>
      <c r="S229" s="194"/>
      <c r="T229" s="194"/>
      <c r="U229" s="194"/>
      <c r="V229" s="195"/>
      <c r="W229" s="37" t="s">
        <v>73</v>
      </c>
      <c r="X229" s="191">
        <f>IFERROR(SUMPRODUCT(X227:X227*H227:H227),"0")</f>
        <v>518.4</v>
      </c>
      <c r="Y229" s="191">
        <f>IFERROR(SUMPRODUCT(Y227:Y227*H227:H227),"0")</f>
        <v>518.4</v>
      </c>
      <c r="Z229" s="37"/>
      <c r="AA229" s="192"/>
      <c r="AB229" s="192"/>
      <c r="AC229" s="192"/>
    </row>
    <row r="230" spans="1:68" ht="14.25" customHeight="1" x14ac:dyDescent="0.25">
      <c r="A230" s="214" t="s">
        <v>76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8">
        <v>4640242180397</v>
      </c>
      <c r="E231" s="199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92" t="s">
        <v>304</v>
      </c>
      <c r="Q231" s="203"/>
      <c r="R231" s="203"/>
      <c r="S231" s="203"/>
      <c r="T231" s="204"/>
      <c r="U231" s="34"/>
      <c r="V231" s="34"/>
      <c r="W231" s="35" t="s">
        <v>70</v>
      </c>
      <c r="X231" s="189">
        <v>192</v>
      </c>
      <c r="Y231" s="190">
        <f>IFERROR(IF(X231="","",X231),"")</f>
        <v>192</v>
      </c>
      <c r="Z231" s="36">
        <f>IFERROR(IF(X231="","",X231*0.0155),"")</f>
        <v>2.976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1201.92</v>
      </c>
      <c r="BN231" s="67">
        <f>IFERROR(Y231*I231,"0")</f>
        <v>1201.92</v>
      </c>
      <c r="BO231" s="67">
        <f>IFERROR(X231/J231,"0")</f>
        <v>2.2857142857142856</v>
      </c>
      <c r="BP231" s="67">
        <f>IFERROR(Y231/J231,"0")</f>
        <v>2.2857142857142856</v>
      </c>
    </row>
    <row r="232" spans="1:68" ht="27" customHeight="1" x14ac:dyDescent="0.25">
      <c r="A232" s="54" t="s">
        <v>305</v>
      </c>
      <c r="B232" s="54" t="s">
        <v>306</v>
      </c>
      <c r="C232" s="31">
        <v>4301132104</v>
      </c>
      <c r="D232" s="198">
        <v>4640242181219</v>
      </c>
      <c r="E232" s="199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288" t="s">
        <v>307</v>
      </c>
      <c r="Q232" s="203"/>
      <c r="R232" s="203"/>
      <c r="S232" s="203"/>
      <c r="T232" s="204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1"/>
      <c r="B233" s="197"/>
      <c r="C233" s="197"/>
      <c r="D233" s="197"/>
      <c r="E233" s="197"/>
      <c r="F233" s="197"/>
      <c r="G233" s="197"/>
      <c r="H233" s="197"/>
      <c r="I233" s="197"/>
      <c r="J233" s="197"/>
      <c r="K233" s="197"/>
      <c r="L233" s="197"/>
      <c r="M233" s="197"/>
      <c r="N233" s="197"/>
      <c r="O233" s="212"/>
      <c r="P233" s="193" t="s">
        <v>72</v>
      </c>
      <c r="Q233" s="194"/>
      <c r="R233" s="194"/>
      <c r="S233" s="194"/>
      <c r="T233" s="194"/>
      <c r="U233" s="194"/>
      <c r="V233" s="195"/>
      <c r="W233" s="37" t="s">
        <v>70</v>
      </c>
      <c r="X233" s="191">
        <f>IFERROR(SUM(X231:X232),"0")</f>
        <v>192</v>
      </c>
      <c r="Y233" s="191">
        <f>IFERROR(SUM(Y231:Y232),"0")</f>
        <v>192</v>
      </c>
      <c r="Z233" s="191">
        <f>IFERROR(IF(Z231="",0,Z231),"0")+IFERROR(IF(Z232="",0,Z232),"0")</f>
        <v>2.976</v>
      </c>
      <c r="AA233" s="192"/>
      <c r="AB233" s="192"/>
      <c r="AC233" s="192"/>
    </row>
    <row r="234" spans="1:68" x14ac:dyDescent="0.2">
      <c r="A234" s="197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197"/>
      <c r="O234" s="212"/>
      <c r="P234" s="193" t="s">
        <v>72</v>
      </c>
      <c r="Q234" s="194"/>
      <c r="R234" s="194"/>
      <c r="S234" s="194"/>
      <c r="T234" s="194"/>
      <c r="U234" s="194"/>
      <c r="V234" s="195"/>
      <c r="W234" s="37" t="s">
        <v>73</v>
      </c>
      <c r="X234" s="191">
        <f>IFERROR(SUMPRODUCT(X231:X232*H231:H232),"0")</f>
        <v>1152</v>
      </c>
      <c r="Y234" s="191">
        <f>IFERROR(SUMPRODUCT(Y231:Y232*H231:H232),"0")</f>
        <v>1152</v>
      </c>
      <c r="Z234" s="37"/>
      <c r="AA234" s="192"/>
      <c r="AB234" s="192"/>
      <c r="AC234" s="192"/>
    </row>
    <row r="235" spans="1:68" ht="14.25" customHeight="1" x14ac:dyDescent="0.25">
      <c r="A235" s="214" t="s">
        <v>155</v>
      </c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8">
        <v>4640242180304</v>
      </c>
      <c r="E236" s="199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361" t="s">
        <v>310</v>
      </c>
      <c r="Q236" s="203"/>
      <c r="R236" s="203"/>
      <c r="S236" s="203"/>
      <c r="T236" s="204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8">
        <v>4640242180236</v>
      </c>
      <c r="E237" s="199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69" t="s">
        <v>313</v>
      </c>
      <c r="Q237" s="203"/>
      <c r="R237" s="203"/>
      <c r="S237" s="203"/>
      <c r="T237" s="204"/>
      <c r="U237" s="34"/>
      <c r="V237" s="34"/>
      <c r="W237" s="35" t="s">
        <v>70</v>
      </c>
      <c r="X237" s="189">
        <v>240</v>
      </c>
      <c r="Y237" s="190">
        <f>IFERROR(IF(X237="","",X237),"")</f>
        <v>240</v>
      </c>
      <c r="Z237" s="36">
        <f>IFERROR(IF(X237="","",X237*0.0155),"")</f>
        <v>3.7199999999999998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1256.4000000000001</v>
      </c>
      <c r="BN237" s="67">
        <f>IFERROR(Y237*I237,"0")</f>
        <v>1256.4000000000001</v>
      </c>
      <c r="BO237" s="67">
        <f>IFERROR(X237/J237,"0")</f>
        <v>2.8571428571428572</v>
      </c>
      <c r="BP237" s="67">
        <f>IFERROR(Y237/J237,"0")</f>
        <v>2.8571428571428572</v>
      </c>
    </row>
    <row r="238" spans="1:68" ht="27" customHeight="1" x14ac:dyDescent="0.25">
      <c r="A238" s="54" t="s">
        <v>314</v>
      </c>
      <c r="B238" s="54" t="s">
        <v>315</v>
      </c>
      <c r="C238" s="31">
        <v>4301136029</v>
      </c>
      <c r="D238" s="198">
        <v>4640242180410</v>
      </c>
      <c r="E238" s="199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0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203"/>
      <c r="R238" s="203"/>
      <c r="S238" s="203"/>
      <c r="T238" s="204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1"/>
      <c r="B239" s="197"/>
      <c r="C239" s="197"/>
      <c r="D239" s="197"/>
      <c r="E239" s="197"/>
      <c r="F239" s="197"/>
      <c r="G239" s="197"/>
      <c r="H239" s="197"/>
      <c r="I239" s="197"/>
      <c r="J239" s="197"/>
      <c r="K239" s="197"/>
      <c r="L239" s="197"/>
      <c r="M239" s="197"/>
      <c r="N239" s="197"/>
      <c r="O239" s="212"/>
      <c r="P239" s="193" t="s">
        <v>72</v>
      </c>
      <c r="Q239" s="194"/>
      <c r="R239" s="194"/>
      <c r="S239" s="194"/>
      <c r="T239" s="194"/>
      <c r="U239" s="194"/>
      <c r="V239" s="195"/>
      <c r="W239" s="37" t="s">
        <v>70</v>
      </c>
      <c r="X239" s="191">
        <f>IFERROR(SUM(X236:X238),"0")</f>
        <v>240</v>
      </c>
      <c r="Y239" s="191">
        <f>IFERROR(SUM(Y236:Y238),"0")</f>
        <v>240</v>
      </c>
      <c r="Z239" s="191">
        <f>IFERROR(IF(Z236="",0,Z236),"0")+IFERROR(IF(Z237="",0,Z237),"0")+IFERROR(IF(Z238="",0,Z238),"0")</f>
        <v>3.7199999999999998</v>
      </c>
      <c r="AA239" s="192"/>
      <c r="AB239" s="192"/>
      <c r="AC239" s="192"/>
    </row>
    <row r="240" spans="1:68" x14ac:dyDescent="0.2">
      <c r="A240" s="197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212"/>
      <c r="P240" s="193" t="s">
        <v>72</v>
      </c>
      <c r="Q240" s="194"/>
      <c r="R240" s="194"/>
      <c r="S240" s="194"/>
      <c r="T240" s="194"/>
      <c r="U240" s="194"/>
      <c r="V240" s="195"/>
      <c r="W240" s="37" t="s">
        <v>73</v>
      </c>
      <c r="X240" s="191">
        <f>IFERROR(SUMPRODUCT(X236:X238*H236:H238),"0")</f>
        <v>1200</v>
      </c>
      <c r="Y240" s="191">
        <f>IFERROR(SUMPRODUCT(Y236:Y238*H236:H238),"0")</f>
        <v>1200</v>
      </c>
      <c r="Z240" s="37"/>
      <c r="AA240" s="192"/>
      <c r="AB240" s="192"/>
      <c r="AC240" s="192"/>
    </row>
    <row r="241" spans="1:68" ht="14.25" customHeight="1" x14ac:dyDescent="0.25">
      <c r="A241" s="214" t="s">
        <v>132</v>
      </c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85"/>
      <c r="AB241" s="185"/>
      <c r="AC241" s="185"/>
    </row>
    <row r="242" spans="1:68" ht="27" customHeight="1" x14ac:dyDescent="0.25">
      <c r="A242" s="54" t="s">
        <v>316</v>
      </c>
      <c r="B242" s="54" t="s">
        <v>317</v>
      </c>
      <c r="C242" s="31">
        <v>4301135193</v>
      </c>
      <c r="D242" s="198">
        <v>4640242180403</v>
      </c>
      <c r="E242" s="199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357" t="s">
        <v>318</v>
      </c>
      <c r="Q242" s="203"/>
      <c r="R242" s="203"/>
      <c r="S242" s="203"/>
      <c r="T242" s="204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8">
        <v>4640242181561</v>
      </c>
      <c r="E243" s="199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13" t="s">
        <v>321</v>
      </c>
      <c r="Q243" s="203"/>
      <c r="R243" s="203"/>
      <c r="S243" s="203"/>
      <c r="T243" s="204"/>
      <c r="U243" s="34"/>
      <c r="V243" s="34"/>
      <c r="W243" s="35" t="s">
        <v>70</v>
      </c>
      <c r="X243" s="189">
        <v>154</v>
      </c>
      <c r="Y243" s="190">
        <f t="shared" si="24"/>
        <v>154</v>
      </c>
      <c r="Z243" s="36">
        <f>IFERROR(IF(X243="","",X243*0.00936),"")</f>
        <v>1.4414400000000001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599.36799999999994</v>
      </c>
      <c r="BN243" s="67">
        <f t="shared" si="26"/>
        <v>599.36799999999994</v>
      </c>
      <c r="BO243" s="67">
        <f t="shared" si="27"/>
        <v>1.2222222222222223</v>
      </c>
      <c r="BP243" s="67">
        <f t="shared" si="28"/>
        <v>1.2222222222222223</v>
      </c>
    </row>
    <row r="244" spans="1:68" ht="37.5" customHeight="1" x14ac:dyDescent="0.25">
      <c r="A244" s="54" t="s">
        <v>322</v>
      </c>
      <c r="B244" s="54" t="s">
        <v>323</v>
      </c>
      <c r="C244" s="31">
        <v>4301135187</v>
      </c>
      <c r="D244" s="198">
        <v>4640242180328</v>
      </c>
      <c r="E244" s="199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391" t="s">
        <v>324</v>
      </c>
      <c r="Q244" s="203"/>
      <c r="R244" s="203"/>
      <c r="S244" s="203"/>
      <c r="T244" s="204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8">
        <v>4640242180311</v>
      </c>
      <c r="E245" s="199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3" t="s">
        <v>327</v>
      </c>
      <c r="Q245" s="203"/>
      <c r="R245" s="203"/>
      <c r="S245" s="203"/>
      <c r="T245" s="204"/>
      <c r="U245" s="34"/>
      <c r="V245" s="34"/>
      <c r="W245" s="35" t="s">
        <v>70</v>
      </c>
      <c r="X245" s="189">
        <v>48</v>
      </c>
      <c r="Y245" s="190">
        <f t="shared" si="24"/>
        <v>48</v>
      </c>
      <c r="Z245" s="36">
        <f>IFERROR(IF(X245="","",X245*0.0155),"")</f>
        <v>0.74399999999999999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275.28000000000003</v>
      </c>
      <c r="BN245" s="67">
        <f t="shared" si="26"/>
        <v>275.28000000000003</v>
      </c>
      <c r="BO245" s="67">
        <f t="shared" si="27"/>
        <v>0.5714285714285714</v>
      </c>
      <c r="BP245" s="67">
        <f t="shared" si="28"/>
        <v>0.5714285714285714</v>
      </c>
    </row>
    <row r="246" spans="1:68" ht="27" customHeight="1" x14ac:dyDescent="0.25">
      <c r="A246" s="54" t="s">
        <v>328</v>
      </c>
      <c r="B246" s="54" t="s">
        <v>329</v>
      </c>
      <c r="C246" s="31">
        <v>4301135320</v>
      </c>
      <c r="D246" s="198">
        <v>4640242181592</v>
      </c>
      <c r="E246" s="199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334" t="s">
        <v>330</v>
      </c>
      <c r="Q246" s="203"/>
      <c r="R246" s="203"/>
      <c r="S246" s="203"/>
      <c r="T246" s="204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8">
        <v>4640242181523</v>
      </c>
      <c r="E247" s="199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256" t="s">
        <v>333</v>
      </c>
      <c r="Q247" s="203"/>
      <c r="R247" s="203"/>
      <c r="S247" s="203"/>
      <c r="T247" s="204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customHeight="1" x14ac:dyDescent="0.25">
      <c r="A248" s="54" t="s">
        <v>334</v>
      </c>
      <c r="B248" s="54" t="s">
        <v>335</v>
      </c>
      <c r="C248" s="31">
        <v>4301135404</v>
      </c>
      <c r="D248" s="198">
        <v>4640242181516</v>
      </c>
      <c r="E248" s="199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03" t="s">
        <v>336</v>
      </c>
      <c r="Q248" s="203"/>
      <c r="R248" s="203"/>
      <c r="S248" s="203"/>
      <c r="T248" s="204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customHeight="1" x14ac:dyDescent="0.25">
      <c r="A249" s="54" t="s">
        <v>337</v>
      </c>
      <c r="B249" s="54" t="s">
        <v>338</v>
      </c>
      <c r="C249" s="31">
        <v>4301135402</v>
      </c>
      <c r="D249" s="198">
        <v>4640242181493</v>
      </c>
      <c r="E249" s="199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395" t="s">
        <v>339</v>
      </c>
      <c r="Q249" s="203"/>
      <c r="R249" s="203"/>
      <c r="S249" s="203"/>
      <c r="T249" s="204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8">
        <v>4640242181486</v>
      </c>
      <c r="E250" s="199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349" t="s">
        <v>342</v>
      </c>
      <c r="Q250" s="203"/>
      <c r="R250" s="203"/>
      <c r="S250" s="203"/>
      <c r="T250" s="204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4301135403</v>
      </c>
      <c r="D251" s="198">
        <v>4640242181509</v>
      </c>
      <c r="E251" s="199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292" t="s">
        <v>345</v>
      </c>
      <c r="Q251" s="203"/>
      <c r="R251" s="203"/>
      <c r="S251" s="203"/>
      <c r="T251" s="204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4301135304</v>
      </c>
      <c r="D252" s="198">
        <v>4640242181240</v>
      </c>
      <c r="E252" s="199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72" t="s">
        <v>348</v>
      </c>
      <c r="Q252" s="203"/>
      <c r="R252" s="203"/>
      <c r="S252" s="203"/>
      <c r="T252" s="204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8">
        <v>4640242181318</v>
      </c>
      <c r="E253" s="199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234" t="s">
        <v>351</v>
      </c>
      <c r="Q253" s="203"/>
      <c r="R253" s="203"/>
      <c r="S253" s="203"/>
      <c r="T253" s="204"/>
      <c r="U253" s="34"/>
      <c r="V253" s="34"/>
      <c r="W253" s="35" t="s">
        <v>70</v>
      </c>
      <c r="X253" s="189">
        <v>28</v>
      </c>
      <c r="Y253" s="190">
        <f t="shared" si="24"/>
        <v>28</v>
      </c>
      <c r="Z253" s="36">
        <f t="shared" si="29"/>
        <v>0.26207999999999998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83.664000000000001</v>
      </c>
      <c r="BN253" s="67">
        <f t="shared" si="26"/>
        <v>83.664000000000001</v>
      </c>
      <c r="BO253" s="67">
        <f t="shared" si="27"/>
        <v>0.22222222222222221</v>
      </c>
      <c r="BP253" s="67">
        <f t="shared" si="28"/>
        <v>0.22222222222222221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8">
        <v>4640242181578</v>
      </c>
      <c r="E254" s="199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291" t="s">
        <v>354</v>
      </c>
      <c r="Q254" s="203"/>
      <c r="R254" s="203"/>
      <c r="S254" s="203"/>
      <c r="T254" s="204"/>
      <c r="U254" s="34"/>
      <c r="V254" s="34"/>
      <c r="W254" s="35" t="s">
        <v>70</v>
      </c>
      <c r="X254" s="189">
        <v>36</v>
      </c>
      <c r="Y254" s="190">
        <f t="shared" si="24"/>
        <v>36</v>
      </c>
      <c r="Z254" s="36">
        <f>IFERROR(IF(X254="","",X254*0.00502),"")</f>
        <v>0.18071999999999999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102.42</v>
      </c>
      <c r="BN254" s="67">
        <f t="shared" si="26"/>
        <v>102.42</v>
      </c>
      <c r="BO254" s="67">
        <f t="shared" si="27"/>
        <v>0.15384615384615385</v>
      </c>
      <c r="BP254" s="67">
        <f t="shared" si="28"/>
        <v>0.15384615384615385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8">
        <v>4640242181394</v>
      </c>
      <c r="E255" s="199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347" t="s">
        <v>357</v>
      </c>
      <c r="Q255" s="203"/>
      <c r="R255" s="203"/>
      <c r="S255" s="203"/>
      <c r="T255" s="204"/>
      <c r="U255" s="34"/>
      <c r="V255" s="34"/>
      <c r="W255" s="35" t="s">
        <v>70</v>
      </c>
      <c r="X255" s="189">
        <v>18</v>
      </c>
      <c r="Y255" s="190">
        <f t="shared" si="24"/>
        <v>18</v>
      </c>
      <c r="Z255" s="36">
        <f>IFERROR(IF(X255="","",X255*0.00502),"")</f>
        <v>9.0359999999999996E-2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51.21</v>
      </c>
      <c r="BN255" s="67">
        <f t="shared" si="26"/>
        <v>51.21</v>
      </c>
      <c r="BO255" s="67">
        <f t="shared" si="27"/>
        <v>7.6923076923076927E-2</v>
      </c>
      <c r="BP255" s="67">
        <f t="shared" si="28"/>
        <v>7.6923076923076927E-2</v>
      </c>
    </row>
    <row r="256" spans="1:68" ht="27" customHeight="1" x14ac:dyDescent="0.25">
      <c r="A256" s="54" t="s">
        <v>358</v>
      </c>
      <c r="B256" s="54" t="s">
        <v>359</v>
      </c>
      <c r="C256" s="31">
        <v>4301135309</v>
      </c>
      <c r="D256" s="198">
        <v>4640242181332</v>
      </c>
      <c r="E256" s="199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294" t="s">
        <v>360</v>
      </c>
      <c r="Q256" s="203"/>
      <c r="R256" s="203"/>
      <c r="S256" s="203"/>
      <c r="T256" s="204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361</v>
      </c>
      <c r="B257" s="54" t="s">
        <v>362</v>
      </c>
      <c r="C257" s="31">
        <v>4301135308</v>
      </c>
      <c r="D257" s="198">
        <v>4640242181349</v>
      </c>
      <c r="E257" s="199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282" t="s">
        <v>363</v>
      </c>
      <c r="Q257" s="203"/>
      <c r="R257" s="203"/>
      <c r="S257" s="203"/>
      <c r="T257" s="204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364</v>
      </c>
      <c r="B258" s="54" t="s">
        <v>365</v>
      </c>
      <c r="C258" s="31">
        <v>4301135307</v>
      </c>
      <c r="D258" s="198">
        <v>4640242181370</v>
      </c>
      <c r="E258" s="199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352" t="s">
        <v>366</v>
      </c>
      <c r="Q258" s="203"/>
      <c r="R258" s="203"/>
      <c r="S258" s="203"/>
      <c r="T258" s="204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4301135319</v>
      </c>
      <c r="D259" s="198">
        <v>4607111037473</v>
      </c>
      <c r="E259" s="199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350" t="s">
        <v>369</v>
      </c>
      <c r="Q259" s="203"/>
      <c r="R259" s="203"/>
      <c r="S259" s="203"/>
      <c r="T259" s="204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370</v>
      </c>
      <c r="B260" s="54" t="s">
        <v>371</v>
      </c>
      <c r="C260" s="31">
        <v>4301135198</v>
      </c>
      <c r="D260" s="198">
        <v>4640242180663</v>
      </c>
      <c r="E260" s="199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55" t="s">
        <v>372</v>
      </c>
      <c r="Q260" s="203"/>
      <c r="R260" s="203"/>
      <c r="S260" s="203"/>
      <c r="T260" s="204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1"/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212"/>
      <c r="P261" s="193" t="s">
        <v>72</v>
      </c>
      <c r="Q261" s="194"/>
      <c r="R261" s="194"/>
      <c r="S261" s="194"/>
      <c r="T261" s="194"/>
      <c r="U261" s="194"/>
      <c r="V261" s="195"/>
      <c r="W261" s="37" t="s">
        <v>70</v>
      </c>
      <c r="X261" s="191">
        <f>IFERROR(SUM(X242:X260),"0")</f>
        <v>284</v>
      </c>
      <c r="Y261" s="191">
        <f>IFERROR(SUM(Y242:Y260),"0")</f>
        <v>284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2.7185999999999999</v>
      </c>
      <c r="AA261" s="192"/>
      <c r="AB261" s="192"/>
      <c r="AC261" s="192"/>
    </row>
    <row r="262" spans="1:68" x14ac:dyDescent="0.2">
      <c r="A262" s="197"/>
      <c r="B262" s="197"/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97"/>
      <c r="N262" s="197"/>
      <c r="O262" s="212"/>
      <c r="P262" s="193" t="s">
        <v>72</v>
      </c>
      <c r="Q262" s="194"/>
      <c r="R262" s="194"/>
      <c r="S262" s="194"/>
      <c r="T262" s="194"/>
      <c r="U262" s="194"/>
      <c r="V262" s="195"/>
      <c r="W262" s="37" t="s">
        <v>73</v>
      </c>
      <c r="X262" s="191">
        <f>IFERROR(SUMPRODUCT(X242:X260*H242:H260),"0")</f>
        <v>1055.2</v>
      </c>
      <c r="Y262" s="191">
        <f>IFERROR(SUMPRODUCT(Y242:Y260*H242:H260),"0")</f>
        <v>1055.2</v>
      </c>
      <c r="Z262" s="37"/>
      <c r="AA262" s="192"/>
      <c r="AB262" s="192"/>
      <c r="AC262" s="192"/>
    </row>
    <row r="263" spans="1:68" ht="15" customHeight="1" x14ac:dyDescent="0.2">
      <c r="A263" s="331"/>
      <c r="B263" s="197"/>
      <c r="C263" s="197"/>
      <c r="D263" s="197"/>
      <c r="E263" s="197"/>
      <c r="F263" s="197"/>
      <c r="G263" s="197"/>
      <c r="H263" s="197"/>
      <c r="I263" s="197"/>
      <c r="J263" s="197"/>
      <c r="K263" s="197"/>
      <c r="L263" s="197"/>
      <c r="M263" s="197"/>
      <c r="N263" s="197"/>
      <c r="O263" s="315"/>
      <c r="P263" s="251" t="s">
        <v>373</v>
      </c>
      <c r="Q263" s="252"/>
      <c r="R263" s="252"/>
      <c r="S263" s="252"/>
      <c r="T263" s="252"/>
      <c r="U263" s="252"/>
      <c r="V263" s="206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13109.680000000002</v>
      </c>
      <c r="Y263" s="191">
        <f>IFERROR(Y24+Y33+Y40+Y49+Y61+Y67+Y72+Y78+Y88+Y95+Y107+Y113+Y119+Y125+Y130+Y136+Y141+Y147+Y155+Y160+Y168+Y172+Y180+Y190+Y198+Y204+Y210+Y217+Y225+Y229+Y234+Y240+Y262,"0")</f>
        <v>13109.680000000002</v>
      </c>
      <c r="Z263" s="37"/>
      <c r="AA263" s="192"/>
      <c r="AB263" s="192"/>
      <c r="AC263" s="192"/>
    </row>
    <row r="264" spans="1:68" x14ac:dyDescent="0.2">
      <c r="A264" s="197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197"/>
      <c r="O264" s="315"/>
      <c r="P264" s="251" t="s">
        <v>374</v>
      </c>
      <c r="Q264" s="252"/>
      <c r="R264" s="252"/>
      <c r="S264" s="252"/>
      <c r="T264" s="252"/>
      <c r="U264" s="252"/>
      <c r="V264" s="206"/>
      <c r="W264" s="37" t="s">
        <v>73</v>
      </c>
      <c r="X264" s="191">
        <f>IFERROR(SUM(BM22:BM260),"0")</f>
        <v>14041.901600000003</v>
      </c>
      <c r="Y264" s="191">
        <f>IFERROR(SUM(BN22:BN260),"0")</f>
        <v>14041.901600000003</v>
      </c>
      <c r="Z264" s="37"/>
      <c r="AA264" s="192"/>
      <c r="AB264" s="192"/>
      <c r="AC264" s="192"/>
    </row>
    <row r="265" spans="1:68" x14ac:dyDescent="0.2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197"/>
      <c r="O265" s="315"/>
      <c r="P265" s="251" t="s">
        <v>375</v>
      </c>
      <c r="Q265" s="252"/>
      <c r="R265" s="252"/>
      <c r="S265" s="252"/>
      <c r="T265" s="252"/>
      <c r="U265" s="252"/>
      <c r="V265" s="206"/>
      <c r="W265" s="37" t="s">
        <v>376</v>
      </c>
      <c r="X265" s="38">
        <f>ROUNDUP(SUM(BO22:BO260),0)</f>
        <v>30</v>
      </c>
      <c r="Y265" s="38">
        <f>ROUNDUP(SUM(BP22:BP260),0)</f>
        <v>30</v>
      </c>
      <c r="Z265" s="37"/>
      <c r="AA265" s="192"/>
      <c r="AB265" s="192"/>
      <c r="AC265" s="192"/>
    </row>
    <row r="266" spans="1:68" x14ac:dyDescent="0.2">
      <c r="A266" s="197"/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315"/>
      <c r="P266" s="251" t="s">
        <v>377</v>
      </c>
      <c r="Q266" s="252"/>
      <c r="R266" s="252"/>
      <c r="S266" s="252"/>
      <c r="T266" s="252"/>
      <c r="U266" s="252"/>
      <c r="V266" s="206"/>
      <c r="W266" s="37" t="s">
        <v>73</v>
      </c>
      <c r="X266" s="191">
        <f>GrossWeightTotal+PalletQtyTotal*25</f>
        <v>14791.901600000003</v>
      </c>
      <c r="Y266" s="191">
        <f>GrossWeightTotalR+PalletQtyTotalR*25</f>
        <v>14791.901600000003</v>
      </c>
      <c r="Z266" s="37"/>
      <c r="AA266" s="192"/>
      <c r="AB266" s="192"/>
      <c r="AC266" s="192"/>
    </row>
    <row r="267" spans="1:68" x14ac:dyDescent="0.2">
      <c r="A267" s="197"/>
      <c r="B267" s="197"/>
      <c r="C267" s="197"/>
      <c r="D267" s="197"/>
      <c r="E267" s="197"/>
      <c r="F267" s="197"/>
      <c r="G267" s="197"/>
      <c r="H267" s="197"/>
      <c r="I267" s="197"/>
      <c r="J267" s="197"/>
      <c r="K267" s="197"/>
      <c r="L267" s="197"/>
      <c r="M267" s="197"/>
      <c r="N267" s="197"/>
      <c r="O267" s="315"/>
      <c r="P267" s="251" t="s">
        <v>378</v>
      </c>
      <c r="Q267" s="252"/>
      <c r="R267" s="252"/>
      <c r="S267" s="252"/>
      <c r="T267" s="252"/>
      <c r="U267" s="252"/>
      <c r="V267" s="206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2908</v>
      </c>
      <c r="Y267" s="191">
        <f>IFERROR(Y23+Y32+Y39+Y48+Y60+Y66+Y71+Y77+Y87+Y94+Y106+Y112+Y118+Y124+Y129+Y135+Y140+Y146+Y154+Y159+Y167+Y171+Y179+Y189+Y197+Y203+Y209+Y216+Y224+Y228+Y233+Y239+Y261,"0")</f>
        <v>2908</v>
      </c>
      <c r="Z267" s="37"/>
      <c r="AA267" s="192"/>
      <c r="AB267" s="192"/>
      <c r="AC267" s="192"/>
    </row>
    <row r="268" spans="1:68" ht="14.25" customHeight="1" x14ac:dyDescent="0.2">
      <c r="A268" s="197"/>
      <c r="B268" s="197"/>
      <c r="C268" s="197"/>
      <c r="D268" s="197"/>
      <c r="E268" s="197"/>
      <c r="F268" s="197"/>
      <c r="G268" s="197"/>
      <c r="H268" s="197"/>
      <c r="I268" s="197"/>
      <c r="J268" s="197"/>
      <c r="K268" s="197"/>
      <c r="L268" s="197"/>
      <c r="M268" s="197"/>
      <c r="N268" s="197"/>
      <c r="O268" s="315"/>
      <c r="P268" s="251" t="s">
        <v>379</v>
      </c>
      <c r="Q268" s="252"/>
      <c r="R268" s="252"/>
      <c r="S268" s="252"/>
      <c r="T268" s="252"/>
      <c r="U268" s="252"/>
      <c r="V268" s="206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36.871520000000004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200" t="s">
        <v>74</v>
      </c>
      <c r="D270" s="336"/>
      <c r="E270" s="336"/>
      <c r="F270" s="336"/>
      <c r="G270" s="336"/>
      <c r="H270" s="336"/>
      <c r="I270" s="336"/>
      <c r="J270" s="336"/>
      <c r="K270" s="336"/>
      <c r="L270" s="336"/>
      <c r="M270" s="336"/>
      <c r="N270" s="336"/>
      <c r="O270" s="336"/>
      <c r="P270" s="336"/>
      <c r="Q270" s="336"/>
      <c r="R270" s="336"/>
      <c r="S270" s="260"/>
      <c r="T270" s="200" t="s">
        <v>208</v>
      </c>
      <c r="U270" s="260"/>
      <c r="V270" s="186" t="s">
        <v>231</v>
      </c>
      <c r="W270" s="200" t="s">
        <v>244</v>
      </c>
      <c r="X270" s="336"/>
      <c r="Y270" s="336"/>
      <c r="Z270" s="260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296" t="s">
        <v>382</v>
      </c>
      <c r="B271" s="200" t="s">
        <v>63</v>
      </c>
      <c r="C271" s="200" t="s">
        <v>75</v>
      </c>
      <c r="D271" s="200" t="s">
        <v>87</v>
      </c>
      <c r="E271" s="200" t="s">
        <v>95</v>
      </c>
      <c r="F271" s="200" t="s">
        <v>108</v>
      </c>
      <c r="G271" s="200" t="s">
        <v>125</v>
      </c>
      <c r="H271" s="200" t="s">
        <v>131</v>
      </c>
      <c r="I271" s="200" t="s">
        <v>135</v>
      </c>
      <c r="J271" s="200" t="s">
        <v>141</v>
      </c>
      <c r="K271" s="200" t="s">
        <v>154</v>
      </c>
      <c r="L271" s="200" t="s">
        <v>162</v>
      </c>
      <c r="M271" s="200" t="s">
        <v>179</v>
      </c>
      <c r="N271" s="187"/>
      <c r="O271" s="200" t="s">
        <v>184</v>
      </c>
      <c r="P271" s="200" t="s">
        <v>189</v>
      </c>
      <c r="Q271" s="200" t="s">
        <v>194</v>
      </c>
      <c r="R271" s="200" t="s">
        <v>197</v>
      </c>
      <c r="S271" s="200" t="s">
        <v>205</v>
      </c>
      <c r="T271" s="200" t="s">
        <v>209</v>
      </c>
      <c r="U271" s="200" t="s">
        <v>213</v>
      </c>
      <c r="V271" s="200" t="s">
        <v>232</v>
      </c>
      <c r="W271" s="200" t="s">
        <v>245</v>
      </c>
      <c r="X271" s="200" t="s">
        <v>252</v>
      </c>
      <c r="Y271" s="200" t="s">
        <v>265</v>
      </c>
      <c r="Z271" s="200" t="s">
        <v>274</v>
      </c>
      <c r="AA271" s="200" t="s">
        <v>280</v>
      </c>
      <c r="AB271" s="200" t="s">
        <v>285</v>
      </c>
      <c r="AC271" s="200" t="s">
        <v>209</v>
      </c>
      <c r="AF271" s="187"/>
    </row>
    <row r="272" spans="1:68" ht="13.5" customHeight="1" thickBot="1" x14ac:dyDescent="0.25">
      <c r="A272" s="297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187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  <c r="AB272" s="201"/>
      <c r="AC272" s="201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0</v>
      </c>
      <c r="D273" s="46">
        <f>IFERROR(X36*H36,"0")+IFERROR(X37*H37,"0")+IFERROR(X38*H38,"0")</f>
        <v>360</v>
      </c>
      <c r="E273" s="46">
        <f>IFERROR(X43*H43,"0")+IFERROR(X44*H44,"0")+IFERROR(X45*H45,"0")+IFERROR(X46*H46,"0")+IFERROR(X47*H47,"0")</f>
        <v>12</v>
      </c>
      <c r="F273" s="46">
        <f>IFERROR(X52*H52,"0")+IFERROR(X53*H53,"0")+IFERROR(X54*H54,"0")+IFERROR(X55*H55,"0")+IFERROR(X56*H56,"0")+IFERROR(X57*H57,"0")+IFERROR(X58*H58,"0")+IFERROR(X59*H59,"0")</f>
        <v>1036.8</v>
      </c>
      <c r="G273" s="46">
        <f>IFERROR(X64*H64,"0")+IFERROR(X65*H65,"0")</f>
        <v>2100</v>
      </c>
      <c r="H273" s="46">
        <f>IFERROR(X70*H70,"0")</f>
        <v>0</v>
      </c>
      <c r="I273" s="46">
        <f>IFERROR(X75*H75,"0")+IFERROR(X76*H76,"0")</f>
        <v>100.8</v>
      </c>
      <c r="J273" s="46">
        <f>IFERROR(X81*H81,"0")+IFERROR(X82*H82,"0")+IFERROR(X83*H83,"0")+IFERROR(X84*H84,"0")+IFERROR(X85*H85,"0")+IFERROR(X86*H86,"0")</f>
        <v>907.2</v>
      </c>
      <c r="K273" s="46">
        <f>IFERROR(X91*H91,"0")+IFERROR(X92*H92,"0")+IFERROR(X93*H93,"0")</f>
        <v>110.88</v>
      </c>
      <c r="L273" s="46">
        <f>IFERROR(X98*H98,"0")+IFERROR(X99*H99,"0")+IFERROR(X100*H100,"0")+IFERROR(X101*H101,"0")+IFERROR(X102*H102,"0")+IFERROR(X103*H103,"0")+IFERROR(X104*H104,"0")+IFERROR(X105*H105,"0")</f>
        <v>1641.6</v>
      </c>
      <c r="M273" s="46">
        <f>IFERROR(X110*H110,"0")+IFERROR(X111*H111,"0")</f>
        <v>252</v>
      </c>
      <c r="N273" s="187"/>
      <c r="O273" s="46">
        <f>IFERROR(X116*H116,"0")+IFERROR(X117*H117,"0")</f>
        <v>504</v>
      </c>
      <c r="P273" s="46">
        <f>IFERROR(X122*H122,"0")+IFERROR(X123*H123,"0")</f>
        <v>84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1560</v>
      </c>
      <c r="V273" s="46">
        <f>IFERROR(X164*H164,"0")+IFERROR(X165*H165,"0")+IFERROR(X166*H166,"0")+IFERROR(X170*H170,"0")</f>
        <v>294</v>
      </c>
      <c r="W273" s="46">
        <f>IFERROR(X176*H176,"0")+IFERROR(X177*H177,"0")+IFERROR(X178*H178,"0")</f>
        <v>67.199999999999989</v>
      </c>
      <c r="X273" s="46">
        <f>IFERROR(X183*H183,"0")+IFERROR(X184*H184,"0")+IFERROR(X185*H185,"0")+IFERROR(X186*H186,"0")+IFERROR(X187*H187,"0")+IFERROR(X188*H188,"0")</f>
        <v>67.199999999999989</v>
      </c>
      <c r="Y273" s="46">
        <f>IFERROR(X193*H193,"0")+IFERROR(X194*H194,"0")+IFERROR(X195*H195,"0")+IFERROR(X196*H196,"0")</f>
        <v>86.4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3925.6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6919.2</v>
      </c>
      <c r="B276" s="60">
        <f>SUMPRODUCT(--(BB:BB="ПГП"),--(W:W="кор"),H:H,Y:Y)+SUMPRODUCT(--(BB:BB="ПГП"),--(W:W="кг"),Y:Y)</f>
        <v>6190.4800000000014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93"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D84:E84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P216:V216"/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