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заказа'!$T$12</definedName>
    <definedName name="DeliveryConditionsList">Setting!$B$25:$B$35</definedName>
    <definedName name="DeliveryDate">'Бланк заказа'!$O$9</definedName>
    <definedName name="DeliveryMethodList">Setting!$B$3:$B$4</definedName>
    <definedName name="DeliveryNumAdressList">Setting!$D$6:$D$11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заказа'!$V$267:$V$267</definedName>
    <definedName name="GrossWeightTotalR">'Бланк заказа'!$W$267:$W$267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Setting!$B$24:$B$25</definedName>
    <definedName name="PalletQtyTotal">'Бланк заказа'!$V$268:$V$268</definedName>
    <definedName name="PalletQtyTotalR">'Бланк заказа'!$W$268:$W$268</definedName>
    <definedName name="PassportProxy">'Бланк заказа'!$J$9:$L$9</definedName>
    <definedName name="PassportProxySet">Setting!$D$24:$D$25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заказа'!$B$66:$B$66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заказа'!$B$87:$B$87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заказа'!$B$94:$B$94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заказа'!$B$102:$B$102</definedName>
    <definedName name="ProductId37">'Бланк заказа'!$B$103:$B$103</definedName>
    <definedName name="ProductId38">'Бланк заказа'!$B$108:$B$108</definedName>
    <definedName name="ProductId39">'Бланк заказа'!$B$113:$B$113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заказа'!$B$121:$B$121</definedName>
    <definedName name="ProductId44">'Бланк заказа'!$B$126:$B$126</definedName>
    <definedName name="ProductId45">'Бланк заказа'!$B$127:$B$127</definedName>
    <definedName name="ProductId46">'Бланк заказа'!$B$132:$B$132</definedName>
    <definedName name="ProductId47">'Бланк заказа'!$B$138:$B$138</definedName>
    <definedName name="ProductId48">'Бланк заказа'!$B$143:$B$143</definedName>
    <definedName name="ProductId49">'Бланк заказа'!$B$148:$B$148</definedName>
    <definedName name="ProductId5">'Бланк заказа'!$B$31:$B$31</definedName>
    <definedName name="ProductId50">'Бланк заказа'!$B$149:$B$149</definedName>
    <definedName name="ProductId51">'Бланк заказа'!$B$150:$B$150</definedName>
    <definedName name="ProductId52">'Бланк заказа'!$B$151:$B$151</definedName>
    <definedName name="ProductId53">'Бланк заказа'!$B$155:$B$155</definedName>
    <definedName name="ProductId54">'Бланк заказа'!$B$156:$B$156</definedName>
    <definedName name="ProductId55">'Бланк заказа'!$B$162:$B$162</definedName>
    <definedName name="ProductId56">'Бланк заказа'!$B$163:$B$163</definedName>
    <definedName name="ProductId57">'Бланк заказа'!$B$168:$B$168</definedName>
    <definedName name="ProductId58">'Бланк заказа'!$B$173:$B$173</definedName>
    <definedName name="ProductId59">'Бланк заказа'!$B$178:$B$178</definedName>
    <definedName name="ProductId6">'Бланк заказа'!$B$36:$B$36</definedName>
    <definedName name="ProductId60">'Бланк заказа'!$B$179:$B$179</definedName>
    <definedName name="ProductId61">'Бланк заказа'!$B$180:$B$180</definedName>
    <definedName name="ProductId62">'Бланк заказа'!$B$186:$B$186</definedName>
    <definedName name="ProductId63">'Бланк заказа'!$B$187:$B$187</definedName>
    <definedName name="ProductId64">'Бланк заказа'!$B$192:$B$192</definedName>
    <definedName name="ProductId65">'Бланк заказа'!$B$193:$B$193</definedName>
    <definedName name="ProductId66">'Бланк заказа'!$B$194:$B$194</definedName>
    <definedName name="ProductId67">'Бланк заказа'!$B$199:$B$199</definedName>
    <definedName name="ProductId68">'Бланк заказа'!$B$200:$B$200</definedName>
    <definedName name="ProductId69">'Бланк заказа'!$B$201:$B$201</definedName>
    <definedName name="ProductId7">'Бланк заказа'!$B$37:$B$37</definedName>
    <definedName name="ProductId70">'Бланк заказа'!$B$202:$B$202</definedName>
    <definedName name="ProductId71">'Бланк заказа'!$B$207:$B$207</definedName>
    <definedName name="ProductId72">'Бланк заказа'!$B$212:$B$212</definedName>
    <definedName name="ProductId73">'Бланк заказа'!$B$213:$B$213</definedName>
    <definedName name="ProductId74">'Бланк заказа'!$B$219:$B$219</definedName>
    <definedName name="ProductId75">'Бланк заказа'!$B$225:$B$225</definedName>
    <definedName name="ProductId76">'Бланк заказа'!$B$230:$B$230</definedName>
    <definedName name="ProductId77">'Бланк заказа'!$B$236:$B$236</definedName>
    <definedName name="ProductId78">'Бланк заказа'!$B$240:$B$240</definedName>
    <definedName name="ProductId79">'Бланк заказа'!$B$244:$B$244</definedName>
    <definedName name="ProductId8">'Бланк заказа'!$B$38:$B$38</definedName>
    <definedName name="ProductId80">'Бланк заказа'!$B$245:$B$245</definedName>
    <definedName name="ProductId81">'Бланк заказа'!$B$246:$B$246</definedName>
    <definedName name="ProductId82">'Бланк заказа'!$B$247:$B$247</definedName>
    <definedName name="ProductId83">'Бланк заказа'!$B$251:$B$251</definedName>
    <definedName name="ProductId84">'Бланк заказа'!$B$252:$B$252</definedName>
    <definedName name="ProductId85">'Бланк заказа'!$B$253:$B$253</definedName>
    <definedName name="ProductId86">'Бланк заказа'!$B$254:$B$254</definedName>
    <definedName name="ProductId87">'Бланк заказа'!$B$255:$B$255</definedName>
    <definedName name="ProductId88">'Бланк заказа'!$B$256:$B$256</definedName>
    <definedName name="ProductId89">'Бланк заказа'!$B$257:$B$257</definedName>
    <definedName name="ProductId9">'Бланк заказа'!$B$39:$B$39</definedName>
    <definedName name="ProductId90">'Бланк заказа'!$B$258:$B$258</definedName>
    <definedName name="ProductId91">'Бланк заказа'!$B$259:$B$259</definedName>
    <definedName name="ProductId92">'Бланк заказа'!$B$260:$B$260</definedName>
    <definedName name="ProductId93">'Бланк заказа'!$B$261:$B$261</definedName>
    <definedName name="ProductId94">'Бланк заказа'!$B$262:$B$262</definedName>
    <definedName name="ProductId95">'Бланк заказа'!$B$263:$B$263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заказа'!$V$22:$V$22</definedName>
    <definedName name="SalesQty10">'Бланк заказа'!$V$44:$V$44</definedName>
    <definedName name="SalesQty11">'Бланк заказа'!$V$45:$V$45</definedName>
    <definedName name="SalesQty12">'Бланк заказа'!$V$50:$V$50</definedName>
    <definedName name="SalesQty13">'Бланк заказа'!$V$51:$V$51</definedName>
    <definedName name="SalesQty14">'Бланк заказа'!$V$52:$V$52</definedName>
    <definedName name="SalesQty15">'Бланк заказа'!$V$53:$V$53</definedName>
    <definedName name="SalesQty16">'Бланк заказа'!$V$54:$V$54</definedName>
    <definedName name="SalesQty17">'Бланк заказа'!$V$55:$V$55</definedName>
    <definedName name="SalesQty18">'Бланк заказа'!$V$60:$V$60</definedName>
    <definedName name="SalesQty19">'Бланк заказа'!$V$61:$V$61</definedName>
    <definedName name="SalesQty2">'Бланк заказа'!$V$28:$V$28</definedName>
    <definedName name="SalesQty20">'Бланк заказа'!$V$66:$V$66</definedName>
    <definedName name="SalesQty21">'Бланк заказа'!$V$71:$V$71</definedName>
    <definedName name="SalesQty22">'Бланк заказа'!$V$72:$V$72</definedName>
    <definedName name="SalesQty23">'Бланк заказа'!$V$77:$V$77</definedName>
    <definedName name="SalesQty24">'Бланк заказа'!$V$78:$V$78</definedName>
    <definedName name="SalesQty25">'Бланк заказа'!$V$79:$V$79</definedName>
    <definedName name="SalesQty26">'Бланк заказа'!$V$80:$V$80</definedName>
    <definedName name="SalesQty27">'Бланк заказа'!$V$81:$V$81</definedName>
    <definedName name="SalesQty28">'Бланк заказа'!$V$82:$V$82</definedName>
    <definedName name="SalesQty29">'Бланк заказа'!$V$87:$V$87</definedName>
    <definedName name="SalesQty3">'Бланк заказа'!$V$29:$V$29</definedName>
    <definedName name="SalesQty30">'Бланк заказа'!$V$88:$V$88</definedName>
    <definedName name="SalesQty31">'Бланк заказа'!$V$89:$V$89</definedName>
    <definedName name="SalesQty32">'Бланк заказа'!$V$94:$V$94</definedName>
    <definedName name="SalesQty33">'Бланк заказа'!$V$95:$V$95</definedName>
    <definedName name="SalesQty34">'Бланк заказа'!$V$96:$V$96</definedName>
    <definedName name="SalesQty35">'Бланк заказа'!$V$97:$V$97</definedName>
    <definedName name="SalesQty36">'Бланк заказа'!$V$102:$V$102</definedName>
    <definedName name="SalesQty37">'Бланк заказа'!$V$103:$V$103</definedName>
    <definedName name="SalesQty38">'Бланк заказа'!$V$108:$V$108</definedName>
    <definedName name="SalesQty39">'Бланк заказа'!$V$113:$V$113</definedName>
    <definedName name="SalesQty4">'Бланк заказа'!$V$30:$V$30</definedName>
    <definedName name="SalesQty40">'Бланк заказа'!$V$114:$V$114</definedName>
    <definedName name="SalesQty41">'Бланк заказа'!$V$115:$V$115</definedName>
    <definedName name="SalesQty42">'Бланк заказа'!$V$116:$V$116</definedName>
    <definedName name="SalesQty43">'Бланк заказа'!$V$121:$V$121</definedName>
    <definedName name="SalesQty44">'Бланк заказа'!$V$126:$V$126</definedName>
    <definedName name="SalesQty45">'Бланк заказа'!$V$127:$V$127</definedName>
    <definedName name="SalesQty46">'Бланк заказа'!$V$132:$V$132</definedName>
    <definedName name="SalesQty47">'Бланк заказа'!$V$138:$V$138</definedName>
    <definedName name="SalesQty48">'Бланк заказа'!$V$143:$V$143</definedName>
    <definedName name="SalesQty49">'Бланк заказа'!$V$148:$V$148</definedName>
    <definedName name="SalesQty5">'Бланк заказа'!$V$31:$V$31</definedName>
    <definedName name="SalesQty50">'Бланк заказа'!$V$149:$V$149</definedName>
    <definedName name="SalesQty51">'Бланк заказа'!$V$150:$V$150</definedName>
    <definedName name="SalesQty52">'Бланк заказа'!$V$151:$V$151</definedName>
    <definedName name="SalesQty53">'Бланк заказа'!$V$155:$V$155</definedName>
    <definedName name="SalesQty54">'Бланк заказа'!$V$156:$V$156</definedName>
    <definedName name="SalesQty55">'Бланк заказа'!$V$162:$V$162</definedName>
    <definedName name="SalesQty56">'Бланк заказа'!$V$163:$V$163</definedName>
    <definedName name="SalesQty57">'Бланк заказа'!$V$168:$V$168</definedName>
    <definedName name="SalesQty58">'Бланк заказа'!$V$173:$V$173</definedName>
    <definedName name="SalesQty59">'Бланк заказа'!$V$178:$V$178</definedName>
    <definedName name="SalesQty6">'Бланк заказа'!$V$36:$V$36</definedName>
    <definedName name="SalesQty60">'Бланк заказа'!$V$179:$V$179</definedName>
    <definedName name="SalesQty61">'Бланк заказа'!$V$180:$V$180</definedName>
    <definedName name="SalesQty62">'Бланк заказа'!$V$186:$V$186</definedName>
    <definedName name="SalesQty63">'Бланк заказа'!$V$187:$V$187</definedName>
    <definedName name="SalesQty64">'Бланк заказа'!$V$192:$V$192</definedName>
    <definedName name="SalesQty65">'Бланк заказа'!$V$193:$V$193</definedName>
    <definedName name="SalesQty66">'Бланк заказа'!$V$194:$V$194</definedName>
    <definedName name="SalesQty67">'Бланк заказа'!$V$199:$V$199</definedName>
    <definedName name="SalesQty68">'Бланк заказа'!$V$200:$V$200</definedName>
    <definedName name="SalesQty69">'Бланк заказа'!$V$201:$V$201</definedName>
    <definedName name="SalesQty7">'Бланк заказа'!$V$37:$V$37</definedName>
    <definedName name="SalesQty70">'Бланк заказа'!$V$202:$V$202</definedName>
    <definedName name="SalesQty71">'Бланк заказа'!$V$207:$V$207</definedName>
    <definedName name="SalesQty72">'Бланк заказа'!$V$212:$V$212</definedName>
    <definedName name="SalesQty73">'Бланк заказа'!$V$213:$V$213</definedName>
    <definedName name="SalesQty74">'Бланк заказа'!$V$219:$V$219</definedName>
    <definedName name="SalesQty75">'Бланк заказа'!$V$225:$V$225</definedName>
    <definedName name="SalesQty76">'Бланк заказа'!$V$230:$V$230</definedName>
    <definedName name="SalesQty77">'Бланк заказа'!$V$236:$V$236</definedName>
    <definedName name="SalesQty78">'Бланк заказа'!$V$240:$V$240</definedName>
    <definedName name="SalesQty79">'Бланк заказа'!$V$244:$V$244</definedName>
    <definedName name="SalesQty8">'Бланк заказа'!$V$38:$V$38</definedName>
    <definedName name="SalesQty80">'Бланк заказа'!$V$245:$V$245</definedName>
    <definedName name="SalesQty81">'Бланк заказа'!$V$246:$V$246</definedName>
    <definedName name="SalesQty82">'Бланк заказа'!$V$247:$V$247</definedName>
    <definedName name="SalesQty83">'Бланк заказа'!$V$251:$V$251</definedName>
    <definedName name="SalesQty84">'Бланк заказа'!$V$252:$V$252</definedName>
    <definedName name="SalesQty85">'Бланк заказа'!$V$253:$V$253</definedName>
    <definedName name="SalesQty86">'Бланк заказа'!$V$254:$V$254</definedName>
    <definedName name="SalesQty87">'Бланк заказа'!$V$255:$V$255</definedName>
    <definedName name="SalesQty88">'Бланк заказа'!$V$256:$V$256</definedName>
    <definedName name="SalesQty89">'Бланк заказа'!$V$257:$V$257</definedName>
    <definedName name="SalesQty9">'Бланк заказа'!$V$39:$V$39</definedName>
    <definedName name="SalesQty90">'Бланк заказа'!$V$258:$V$258</definedName>
    <definedName name="SalesQty91">'Бланк заказа'!$V$259:$V$259</definedName>
    <definedName name="SalesQty92">'Бланк заказа'!$V$260:$V$260</definedName>
    <definedName name="SalesQty93">'Бланк заказа'!$V$261:$V$261</definedName>
    <definedName name="SalesQty94">'Бланк заказа'!$V$262:$V$262</definedName>
    <definedName name="SalesQty95">'Бланк заказа'!$V$263:$V$263</definedName>
    <definedName name="SalesRequestType">'Бланк заказа'!$T$11</definedName>
    <definedName name="SalesRoundBox1">'Бланк заказа'!$W$22:$W$22</definedName>
    <definedName name="SalesRoundBox10">'Бланк заказа'!$W$44:$W$44</definedName>
    <definedName name="SalesRoundBox11">'Бланк заказа'!$W$45:$W$45</definedName>
    <definedName name="SalesRoundBox12">'Бланк заказа'!$W$50:$W$50</definedName>
    <definedName name="SalesRoundBox13">'Бланк заказа'!$W$51:$W$51</definedName>
    <definedName name="SalesRoundBox14">'Бланк заказа'!$W$52:$W$52</definedName>
    <definedName name="SalesRoundBox15">'Бланк заказа'!$W$53:$W$53</definedName>
    <definedName name="SalesRoundBox16">'Бланк заказа'!$W$54:$W$54</definedName>
    <definedName name="SalesRoundBox17">'Бланк заказа'!$W$55:$W$55</definedName>
    <definedName name="SalesRoundBox18">'Бланк заказа'!$W$60:$W$60</definedName>
    <definedName name="SalesRoundBox19">'Бланк заказа'!$W$61:$W$61</definedName>
    <definedName name="SalesRoundBox2">'Бланк заказа'!$W$28:$W$28</definedName>
    <definedName name="SalesRoundBox20">'Бланк заказа'!$W$66:$W$66</definedName>
    <definedName name="SalesRoundBox21">'Бланк заказа'!$W$71:$W$71</definedName>
    <definedName name="SalesRoundBox22">'Бланк заказа'!$W$72:$W$72</definedName>
    <definedName name="SalesRoundBox23">'Бланк заказа'!$W$77:$W$77</definedName>
    <definedName name="SalesRoundBox24">'Бланк заказа'!$W$78:$W$78</definedName>
    <definedName name="SalesRoundBox25">'Бланк заказа'!$W$79:$W$79</definedName>
    <definedName name="SalesRoundBox26">'Бланк заказа'!$W$80:$W$80</definedName>
    <definedName name="SalesRoundBox27">'Бланк заказа'!$W$81:$W$81</definedName>
    <definedName name="SalesRoundBox28">'Бланк заказа'!$W$82:$W$82</definedName>
    <definedName name="SalesRoundBox29">'Бланк заказа'!$W$87:$W$87</definedName>
    <definedName name="SalesRoundBox3">'Бланк заказа'!$W$29:$W$29</definedName>
    <definedName name="SalesRoundBox30">'Бланк заказа'!$W$88:$W$88</definedName>
    <definedName name="SalesRoundBox31">'Бланк заказа'!$W$89:$W$89</definedName>
    <definedName name="SalesRoundBox32">'Бланк заказа'!$W$94:$W$94</definedName>
    <definedName name="SalesRoundBox33">'Бланк заказа'!$W$95:$W$95</definedName>
    <definedName name="SalesRoundBox34">'Бланк заказа'!$W$96:$W$96</definedName>
    <definedName name="SalesRoundBox35">'Бланк заказа'!$W$97:$W$97</definedName>
    <definedName name="SalesRoundBox36">'Бланк заказа'!$W$102:$W$102</definedName>
    <definedName name="SalesRoundBox37">'Бланк заказа'!$W$103:$W$103</definedName>
    <definedName name="SalesRoundBox38">'Бланк заказа'!$W$108:$W$108</definedName>
    <definedName name="SalesRoundBox39">'Бланк заказа'!$W$113:$W$113</definedName>
    <definedName name="SalesRoundBox4">'Бланк заказа'!$W$30:$W$30</definedName>
    <definedName name="SalesRoundBox40">'Бланк заказа'!$W$114:$W$114</definedName>
    <definedName name="SalesRoundBox41">'Бланк заказа'!$W$115:$W$115</definedName>
    <definedName name="SalesRoundBox42">'Бланк заказа'!$W$116:$W$116</definedName>
    <definedName name="SalesRoundBox43">'Бланк заказа'!$W$121:$W$121</definedName>
    <definedName name="SalesRoundBox44">'Бланк заказа'!$W$126:$W$126</definedName>
    <definedName name="SalesRoundBox45">'Бланк заказа'!$W$127:$W$127</definedName>
    <definedName name="SalesRoundBox46">'Бланк заказа'!$W$132:$W$132</definedName>
    <definedName name="SalesRoundBox47">'Бланк заказа'!$W$138:$W$138</definedName>
    <definedName name="SalesRoundBox48">'Бланк заказа'!$W$143:$W$143</definedName>
    <definedName name="SalesRoundBox49">'Бланк заказа'!$W$148:$W$148</definedName>
    <definedName name="SalesRoundBox5">'Бланк заказа'!$W$31:$W$31</definedName>
    <definedName name="SalesRoundBox50">'Бланк заказа'!$W$149:$W$149</definedName>
    <definedName name="SalesRoundBox51">'Бланк заказа'!$W$150:$W$150</definedName>
    <definedName name="SalesRoundBox52">'Бланк заказа'!$W$151:$W$151</definedName>
    <definedName name="SalesRoundBox53">'Бланк заказа'!$W$155:$W$155</definedName>
    <definedName name="SalesRoundBox54">'Бланк заказа'!$W$156:$W$156</definedName>
    <definedName name="SalesRoundBox55">'Бланк заказа'!$W$162:$W$162</definedName>
    <definedName name="SalesRoundBox56">'Бланк заказа'!$W$163:$W$163</definedName>
    <definedName name="SalesRoundBox57">'Бланк заказа'!$W$168:$W$168</definedName>
    <definedName name="SalesRoundBox58">'Бланк заказа'!$W$173:$W$173</definedName>
    <definedName name="SalesRoundBox59">'Бланк заказа'!$W$178:$W$178</definedName>
    <definedName name="SalesRoundBox6">'Бланк заказа'!$W$36:$W$36</definedName>
    <definedName name="SalesRoundBox60">'Бланк заказа'!$W$179:$W$179</definedName>
    <definedName name="SalesRoundBox61">'Бланк заказа'!$W$180:$W$180</definedName>
    <definedName name="SalesRoundBox62">'Бланк заказа'!$W$186:$W$186</definedName>
    <definedName name="SalesRoundBox63">'Бланк заказа'!$W$187:$W$187</definedName>
    <definedName name="SalesRoundBox64">'Бланк заказа'!$W$192:$W$192</definedName>
    <definedName name="SalesRoundBox65">'Бланк заказа'!$W$193:$W$193</definedName>
    <definedName name="SalesRoundBox66">'Бланк заказа'!$W$194:$W$194</definedName>
    <definedName name="SalesRoundBox67">'Бланк заказа'!$W$199:$W$199</definedName>
    <definedName name="SalesRoundBox68">'Бланк заказа'!$W$200:$W$200</definedName>
    <definedName name="SalesRoundBox69">'Бланк заказа'!$W$201:$W$201</definedName>
    <definedName name="SalesRoundBox7">'Бланк заказа'!$W$37:$W$37</definedName>
    <definedName name="SalesRoundBox70">'Бланк заказа'!$W$202:$W$202</definedName>
    <definedName name="SalesRoundBox71">'Бланк заказа'!$W$207:$W$207</definedName>
    <definedName name="SalesRoundBox72">'Бланк заказа'!$W$212:$W$212</definedName>
    <definedName name="SalesRoundBox73">'Бланк заказа'!$W$213:$W$213</definedName>
    <definedName name="SalesRoundBox74">'Бланк заказа'!$W$219:$W$219</definedName>
    <definedName name="SalesRoundBox75">'Бланк заказа'!$W$225:$W$225</definedName>
    <definedName name="SalesRoundBox76">'Бланк заказа'!$W$230:$W$230</definedName>
    <definedName name="SalesRoundBox77">'Бланк заказа'!$W$236:$W$236</definedName>
    <definedName name="SalesRoundBox78">'Бланк заказа'!$W$240:$W$240</definedName>
    <definedName name="SalesRoundBox79">'Бланк заказа'!$W$244:$W$244</definedName>
    <definedName name="SalesRoundBox8">'Бланк заказа'!$W$38:$W$38</definedName>
    <definedName name="SalesRoundBox80">'Бланк заказа'!$W$245:$W$245</definedName>
    <definedName name="SalesRoundBox81">'Бланк заказа'!$W$246:$W$246</definedName>
    <definedName name="SalesRoundBox82">'Бланк заказа'!$W$247:$W$247</definedName>
    <definedName name="SalesRoundBox83">'Бланк заказа'!$W$251:$W$251</definedName>
    <definedName name="SalesRoundBox84">'Бланк заказа'!$W$252:$W$252</definedName>
    <definedName name="SalesRoundBox85">'Бланк заказа'!$W$253:$W$253</definedName>
    <definedName name="SalesRoundBox86">'Бланк заказа'!$W$254:$W$254</definedName>
    <definedName name="SalesRoundBox87">'Бланк заказа'!$W$255:$W$255</definedName>
    <definedName name="SalesRoundBox88">'Бланк заказа'!$W$256:$W$256</definedName>
    <definedName name="SalesRoundBox89">'Бланк заказа'!$W$257:$W$257</definedName>
    <definedName name="SalesRoundBox9">'Бланк заказа'!$W$39:$W$39</definedName>
    <definedName name="SalesRoundBox90">'Бланк заказа'!$W$258:$W$258</definedName>
    <definedName name="SalesRoundBox91">'Бланк заказа'!$W$259:$W$259</definedName>
    <definedName name="SalesRoundBox92">'Бланк заказа'!$W$260:$W$260</definedName>
    <definedName name="SalesRoundBox93">'Бланк заказа'!$W$261:$W$261</definedName>
    <definedName name="SalesRoundBox94">'Бланк заказа'!$W$262:$W$262</definedName>
    <definedName name="SalesRoundBox95">'Бланк заказа'!$W$263:$W$263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заказа'!$U$44:$U$44</definedName>
    <definedName name="UnitOfMeasure11">'Бланк заказа'!$U$45:$U$45</definedName>
    <definedName name="UnitOfMeasure12">'Бланк заказа'!$U$50:$U$50</definedName>
    <definedName name="UnitOfMeasure13">'Бланк заказа'!$U$51:$U$51</definedName>
    <definedName name="UnitOfMeasure14">'Бланк заказа'!$U$52:$U$52</definedName>
    <definedName name="UnitOfMeasure15">'Бланк заказа'!$U$53:$U$53</definedName>
    <definedName name="UnitOfMeasure16">'Бланк заказа'!$U$54:$U$54</definedName>
    <definedName name="UnitOfMeasure17">'Бланк заказа'!$U$55:$U$55</definedName>
    <definedName name="UnitOfMeasure18">'Бланк заказа'!$U$60:$U$60</definedName>
    <definedName name="UnitOfMeasure19">'Бланк заказа'!$U$61:$U$61</definedName>
    <definedName name="UnitOfMeasure2">'Бланк заказа'!$U$28:$U$28</definedName>
    <definedName name="UnitOfMeasure20">'Бланк заказа'!$U$66:$U$66</definedName>
    <definedName name="UnitOfMeasure21">'Бланк заказа'!$U$71:$U$71</definedName>
    <definedName name="UnitOfMeasure22">'Бланк заказа'!$U$72:$U$72</definedName>
    <definedName name="UnitOfMeasure23">'Бланк заказа'!$U$77:$U$77</definedName>
    <definedName name="UnitOfMeasure24">'Бланк заказа'!$U$78:$U$78</definedName>
    <definedName name="UnitOfMeasure25">'Бланк заказа'!$U$79:$U$79</definedName>
    <definedName name="UnitOfMeasure26">'Бланк заказа'!$U$80:$U$80</definedName>
    <definedName name="UnitOfMeasure27">'Бланк заказа'!$U$81:$U$81</definedName>
    <definedName name="UnitOfMeasure28">'Бланк заказа'!$U$82:$U$82</definedName>
    <definedName name="UnitOfMeasure29">'Бланк заказа'!$U$87:$U$87</definedName>
    <definedName name="UnitOfMeasure3">'Бланк заказа'!$U$29:$U$29</definedName>
    <definedName name="UnitOfMeasure30">'Бланк заказа'!$U$88:$U$88</definedName>
    <definedName name="UnitOfMeasure31">'Бланк заказа'!$U$89:$U$89</definedName>
    <definedName name="UnitOfMeasure32">'Бланк заказа'!$U$94:$U$94</definedName>
    <definedName name="UnitOfMeasure33">'Бланк заказа'!$U$95:$U$95</definedName>
    <definedName name="UnitOfMeasure34">'Бланк заказа'!$U$96:$U$96</definedName>
    <definedName name="UnitOfMeasure35">'Бланк заказа'!$U$97:$U$97</definedName>
    <definedName name="UnitOfMeasure36">'Бланк заказа'!$U$102:$U$102</definedName>
    <definedName name="UnitOfMeasure37">'Бланк заказа'!$U$103:$U$103</definedName>
    <definedName name="UnitOfMeasure38">'Бланк заказа'!$U$108:$U$108</definedName>
    <definedName name="UnitOfMeasure39">'Бланк заказа'!$U$113:$U$113</definedName>
    <definedName name="UnitOfMeasure4">'Бланк заказа'!$U$30:$U$30</definedName>
    <definedName name="UnitOfMeasure40">'Бланк заказа'!$U$114:$U$114</definedName>
    <definedName name="UnitOfMeasure41">'Бланк заказа'!$U$115:$U$115</definedName>
    <definedName name="UnitOfMeasure42">'Бланк заказа'!$U$116:$U$116</definedName>
    <definedName name="UnitOfMeasure43">'Бланк заказа'!$U$121:$U$121</definedName>
    <definedName name="UnitOfMeasure44">'Бланк заказа'!$U$126:$U$126</definedName>
    <definedName name="UnitOfMeasure45">'Бланк заказа'!$U$127:$U$127</definedName>
    <definedName name="UnitOfMeasure46">'Бланк заказа'!$U$132:$U$132</definedName>
    <definedName name="UnitOfMeasure47">'Бланк заказа'!$U$138:$U$138</definedName>
    <definedName name="UnitOfMeasure48">'Бланк заказа'!$U$143:$U$143</definedName>
    <definedName name="UnitOfMeasure49">'Бланк заказа'!$U$148:$U$148</definedName>
    <definedName name="UnitOfMeasure5">'Бланк заказа'!$U$31:$U$31</definedName>
    <definedName name="UnitOfMeasure50">'Бланк заказа'!$U$149:$U$149</definedName>
    <definedName name="UnitOfMeasure51">'Бланк заказа'!$U$150:$U$150</definedName>
    <definedName name="UnitOfMeasure52">'Бланк заказа'!$U$151:$U$151</definedName>
    <definedName name="UnitOfMeasure53">'Бланк заказа'!$U$155:$U$155</definedName>
    <definedName name="UnitOfMeasure54">'Бланк заказа'!$U$156:$U$156</definedName>
    <definedName name="UnitOfMeasure55">'Бланк заказа'!$U$162:$U$162</definedName>
    <definedName name="UnitOfMeasure56">'Бланк заказа'!$U$163:$U$163</definedName>
    <definedName name="UnitOfMeasure57">'Бланк заказа'!$U$168:$U$168</definedName>
    <definedName name="UnitOfMeasure58">'Бланк заказа'!$U$173:$U$173</definedName>
    <definedName name="UnitOfMeasure59">'Бланк заказа'!$U$178:$U$178</definedName>
    <definedName name="UnitOfMeasure6">'Бланк заказа'!$U$36:$U$36</definedName>
    <definedName name="UnitOfMeasure60">'Бланк заказа'!$U$179:$U$179</definedName>
    <definedName name="UnitOfMeasure61">'Бланк заказа'!$U$180:$U$180</definedName>
    <definedName name="UnitOfMeasure62">'Бланк заказа'!$U$186:$U$186</definedName>
    <definedName name="UnitOfMeasure63">'Бланк заказа'!$U$187:$U$187</definedName>
    <definedName name="UnitOfMeasure64">'Бланк заказа'!$U$192:$U$192</definedName>
    <definedName name="UnitOfMeasure65">'Бланк заказа'!$U$193:$U$193</definedName>
    <definedName name="UnitOfMeasure66">'Бланк заказа'!$U$194:$U$194</definedName>
    <definedName name="UnitOfMeasure67">'Бланк заказа'!$U$199:$U$199</definedName>
    <definedName name="UnitOfMeasure68">'Бланк заказа'!$U$200:$U$200</definedName>
    <definedName name="UnitOfMeasure69">'Бланк заказа'!$U$201:$U$201</definedName>
    <definedName name="UnitOfMeasure7">'Бланк заказа'!$U$37:$U$37</definedName>
    <definedName name="UnitOfMeasure70">'Бланк заказа'!$U$202:$U$202</definedName>
    <definedName name="UnitOfMeasure71">'Бланк заказа'!$U$207:$U$207</definedName>
    <definedName name="UnitOfMeasure72">'Бланк заказа'!$U$212:$U$212</definedName>
    <definedName name="UnitOfMeasure73">'Бланк заказа'!$U$213:$U$213</definedName>
    <definedName name="UnitOfMeasure74">'Бланк заказа'!$U$219:$U$219</definedName>
    <definedName name="UnitOfMeasure75">'Бланк заказа'!$U$225:$U$225</definedName>
    <definedName name="UnitOfMeasure76">'Бланк заказа'!$U$230:$U$230</definedName>
    <definedName name="UnitOfMeasure77">'Бланк заказа'!$U$236:$U$236</definedName>
    <definedName name="UnitOfMeasure78">'Бланк заказа'!$U$240:$U$240</definedName>
    <definedName name="UnitOfMeasure79">'Бланк заказа'!$U$244:$U$244</definedName>
    <definedName name="UnitOfMeasure8">'Бланк заказа'!$U$38:$U$38</definedName>
    <definedName name="UnitOfMeasure80">'Бланк заказа'!$U$245:$U$245</definedName>
    <definedName name="UnitOfMeasure81">'Бланк заказа'!$U$246:$U$246</definedName>
    <definedName name="UnitOfMeasure82">'Бланк заказа'!$U$247:$U$247</definedName>
    <definedName name="UnitOfMeasure83">'Бланк заказа'!$U$251:$U$251</definedName>
    <definedName name="UnitOfMeasure84">'Бланк заказа'!$U$252:$U$252</definedName>
    <definedName name="UnitOfMeasure85">'Бланк заказа'!$U$253:$U$253</definedName>
    <definedName name="UnitOfMeasure86">'Бланк заказа'!$U$254:$U$254</definedName>
    <definedName name="UnitOfMeasure87">'Бланк заказа'!$U$255:$U$255</definedName>
    <definedName name="UnitOfMeasure88">'Бланк заказа'!$U$256:$U$256</definedName>
    <definedName name="UnitOfMeasure89">'Бланк заказа'!$U$257:$U$257</definedName>
    <definedName name="UnitOfMeasure9">'Бланк заказа'!$U$39:$U$39</definedName>
    <definedName name="UnitOfMeasure90">'Бланк заказа'!$U$258:$U$258</definedName>
    <definedName name="UnitOfMeasure91">'Бланк заказа'!$U$259:$U$259</definedName>
    <definedName name="UnitOfMeasure92">'Бланк заказа'!$U$260:$U$260</definedName>
    <definedName name="UnitOfMeasure93">'Бланк заказа'!$U$261:$U$261</definedName>
    <definedName name="UnitOfMeasure94">'Бланк заказа'!$U$262:$U$262</definedName>
    <definedName name="UnitOfMeasure95">'Бланк заказа'!$U$263:$U$263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  <definedName name="_xlnm._FilterDatabase" localSheetId="0" hidden="1">'Бланк заказа'!$B$18:$X$18</definedName>
  </definedNames>
  <calcPr calcId="181029" fullCalcOnLoad="1" refMode="R1C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53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b val="1"/>
      <sz val="10"/>
    </font>
    <font>
      <name val="Arial Cyr"/>
      <charset val="204"/>
      <color indexed="8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91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24" borderId="11" applyAlignment="1" applyProtection="1" pivotButton="0" quotePrefix="0" xfId="0">
      <alignment horizontal="center" vertical="center"/>
      <protection locked="1" hidden="1"/>
    </xf>
    <xf numFmtId="2" fontId="0" fillId="0" borderId="11" applyProtection="1" pivotButton="0" quotePrefix="0" xfId="0">
      <protection locked="1" hidden="1"/>
    </xf>
    <xf numFmtId="2" fontId="61" fillId="0" borderId="11" applyAlignment="1" applyProtection="1" pivotButton="0" quotePrefix="0" xfId="0">
      <alignment horizontal="center"/>
      <protection locked="1" hidden="1"/>
    </xf>
    <xf numFmtId="0" fontId="62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38" fillId="0" borderId="0" pivotButton="0" quotePrefix="0" xfId="0"/>
    <xf numFmtId="0" fontId="240" fillId="0" borderId="0" pivotButton="0" quotePrefix="0" xfId="0"/>
    <xf numFmtId="0" fontId="242" fillId="0" borderId="0" pivotButton="0" quotePrefix="0" xfId="0"/>
    <xf numFmtId="0" fontId="244" fillId="0" borderId="0" pivotButton="0" quotePrefix="0" xfId="0"/>
    <xf numFmtId="0" fontId="246" fillId="0" borderId="0" pivotButton="0" quotePrefix="0" xfId="0"/>
    <xf numFmtId="0" fontId="248" fillId="0" borderId="0" pivotButton="0" quotePrefix="0" xfId="0"/>
    <xf numFmtId="0" fontId="250" fillId="0" borderId="0" pivotButton="0" quotePrefix="0" xfId="0"/>
    <xf numFmtId="0" fontId="252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243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245" fillId="0" borderId="21" applyAlignment="1" pivotButton="0" quotePrefix="0" xfId="0">
      <alignment horizontal="left" vertical="center" wrapText="1"/>
    </xf>
    <xf numFmtId="0" fontId="247" fillId="0" borderId="21" applyAlignment="1" pivotButton="0" quotePrefix="0" xfId="0">
      <alignment horizontal="left" vertical="center" wrapText="1"/>
    </xf>
    <xf numFmtId="0" fontId="249" fillId="0" borderId="21" applyAlignment="1" pivotButton="0" quotePrefix="0" xfId="0">
      <alignment horizontal="left" vertical="center" wrapText="1"/>
    </xf>
    <xf numFmtId="0" fontId="251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235" fillId="0" borderId="21" applyAlignment="1" pivotButton="0" quotePrefix="0" xfId="0">
      <alignment horizontal="left" vertical="center" wrapText="1"/>
    </xf>
    <xf numFmtId="0" fontId="237" fillId="0" borderId="21" applyAlignment="1" pivotButton="0" quotePrefix="0" xfId="0">
      <alignment horizontal="left" vertical="center" wrapText="1"/>
    </xf>
    <xf numFmtId="0" fontId="239" fillId="0" borderId="21" applyAlignment="1" pivotButton="0" quotePrefix="0" xfId="0">
      <alignment horizontal="left" vertical="center" wrapText="1"/>
    </xf>
    <xf numFmtId="0" fontId="241" fillId="0" borderId="21" applyAlignment="1" pivotButton="0" quotePrefix="0" xfId="0">
      <alignment horizontal="left" vertical="center" wrapText="1"/>
    </xf>
    <xf numFmtId="2" fontId="28" fillId="26" borderId="0" applyAlignment="1" applyProtection="1" pivotButton="0" quotePrefix="0" xfId="0">
      <alignment horizontal="center"/>
      <protection locked="1" hidden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56" fillId="26" borderId="0" applyAlignment="1" applyProtection="1" pivotButton="0" quotePrefix="0" xfId="0">
      <alignment horizontal="center"/>
      <protection locked="1" hidden="1"/>
    </xf>
    <xf numFmtId="0" fontId="215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2" fillId="0" borderId="43" applyAlignment="1" applyProtection="1" pivotButton="0" quotePrefix="0" xfId="0">
      <alignment horizontal="center" vertical="center"/>
      <protection locked="1" hidden="1"/>
    </xf>
    <xf numFmtId="0" fontId="62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3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237" fillId="0" borderId="16" applyAlignment="1" pivotButton="0" quotePrefix="0" xfId="0">
      <alignment horizontal="left" vertical="center" wrapText="1"/>
    </xf>
    <xf numFmtId="0" fontId="239" fillId="0" borderId="16" applyAlignment="1" pivotButton="0" quotePrefix="0" xfId="0">
      <alignment horizontal="left" vertical="center" wrapText="1"/>
    </xf>
    <xf numFmtId="0" fontId="241" fillId="0" borderId="16" applyAlignment="1" pivotButton="0" quotePrefix="0" xfId="0">
      <alignment horizontal="left" vertical="center" wrapText="1"/>
    </xf>
    <xf numFmtId="0" fontId="243" fillId="0" borderId="16" applyAlignment="1" pivotButton="0" quotePrefix="0" xfId="0">
      <alignment horizontal="left" vertical="center" wrapText="1"/>
    </xf>
    <xf numFmtId="0" fontId="245" fillId="0" borderId="16" applyAlignment="1" pivotButton="0" quotePrefix="0" xfId="0">
      <alignment horizontal="left" vertical="center" wrapText="1"/>
    </xf>
    <xf numFmtId="0" fontId="247" fillId="0" borderId="16" applyAlignment="1" pivotButton="0" quotePrefix="0" xfId="0">
      <alignment horizontal="left" vertical="center" wrapText="1"/>
    </xf>
    <xf numFmtId="0" fontId="249" fillId="0" borderId="16" applyAlignment="1" pivotButton="0" quotePrefix="0" xfId="0">
      <alignment horizontal="left" vertical="center" wrapText="1"/>
    </xf>
    <xf numFmtId="0" fontId="251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A280"/>
  <sheetViews>
    <sheetView showGridLines="0" tabSelected="1" topLeftCell="A252" zoomScaleNormal="100" zoomScaleSheetLayoutView="100" workbookViewId="0">
      <selection activeCell="Z263" sqref="Z263"/>
    </sheetView>
  </sheetViews>
  <sheetFormatPr baseColWidth="8" defaultColWidth="9.140625" defaultRowHeight="12.75"/>
  <cols>
    <col width="9.140625" customWidth="1" style="1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1"/>
    <col width="9.42578125" customWidth="1" style="5" min="12" max="12"/>
    <col width="10.42578125" customWidth="1" style="4" min="13" max="13"/>
    <col width="7.42578125" customWidth="1" style="2" min="14" max="14"/>
    <col width="15.5703125" customWidth="1" style="2" min="15" max="15"/>
    <col width="8.140625" customWidth="1" style="1" min="16" max="16"/>
    <col width="6.140625" customWidth="1" style="1" min="17" max="17"/>
    <col width="10.85546875" customWidth="1" style="3" min="18" max="18"/>
    <col width="10.42578125" customWidth="1" style="3" min="19" max="19"/>
    <col width="9.42578125" customWidth="1" style="3" min="20" max="20"/>
    <col width="8.42578125" customWidth="1" style="3" min="21" max="21"/>
    <col width="10" customWidth="1" style="1" min="22" max="22"/>
    <col width="11" customWidth="1" style="1" min="23" max="23"/>
    <col width="10" customWidth="1" style="1" min="24" max="24"/>
    <col width="11.5703125" customWidth="1" style="1" min="25" max="25"/>
    <col width="10.42578125" customWidth="1" style="1" min="26" max="26"/>
    <col width="11.42578125" bestFit="1" customWidth="1" style="61" min="27" max="27"/>
    <col width="9.140625" customWidth="1" style="61" min="28" max="28"/>
    <col width="8.85546875" customWidth="1" style="61" min="29" max="29"/>
    <col width="13.5703125" customWidth="1" style="1" min="30" max="30"/>
    <col width="9.140625" customWidth="1" style="1" min="31" max="16384"/>
  </cols>
  <sheetData>
    <row r="1" ht="45" customFormat="1" customHeight="1" s="313">
      <c r="A1" s="48" t="n"/>
      <c r="B1" s="48" t="n"/>
      <c r="C1" s="48" t="n"/>
      <c r="D1" s="332" t="inlineStr">
        <is>
          <t xml:space="preserve">  БЛАНК ЗАКАЗА </t>
        </is>
      </c>
      <c r="G1" s="14" t="inlineStr">
        <is>
          <t>ЗПФ</t>
        </is>
      </c>
      <c r="H1" s="332" t="inlineStr">
        <is>
          <t>на отгрузку продукции с ООО Трейд-Сервис с</t>
        </is>
      </c>
      <c r="P1" s="333" t="inlineStr">
        <is>
          <t>18.03.2024</t>
        </is>
      </c>
      <c r="S1" s="15" t="n"/>
      <c r="T1" s="15" t="n"/>
      <c r="U1" s="15" t="n"/>
      <c r="V1" s="15" t="n"/>
      <c r="W1" s="15" t="n"/>
      <c r="X1" s="15" t="n"/>
      <c r="Y1" s="15" t="n"/>
      <c r="Z1" s="62" t="n"/>
      <c r="AA1" s="62" t="n"/>
      <c r="AB1" s="62" t="n"/>
      <c r="AC1" s="62" t="n"/>
    </row>
    <row r="2" ht="16.5" customFormat="1" customHeight="1" s="313">
      <c r="A2" s="34" t="inlineStr">
        <is>
          <t>бланк создан</t>
        </is>
      </c>
      <c r="B2" s="35" t="inlineStr">
        <is>
          <t>15.03.2024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335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1" t="n"/>
      <c r="P2" s="1" t="n"/>
      <c r="Q2" s="1" t="n"/>
      <c r="R2" s="1" t="n"/>
      <c r="S2" s="1" t="n"/>
      <c r="T2" s="1" t="n"/>
      <c r="U2" s="1" t="n"/>
      <c r="V2" s="19" t="n"/>
      <c r="W2" s="19" t="n"/>
      <c r="X2" s="19" t="n"/>
      <c r="Y2" s="19" t="n"/>
      <c r="Z2" s="60" t="n"/>
      <c r="AA2" s="60" t="n"/>
      <c r="AB2" s="60" t="n"/>
    </row>
    <row r="3" ht="11.25" customFormat="1" customHeight="1" s="313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21" t="n"/>
      <c r="L3" s="18" t="n"/>
      <c r="M3" s="18" t="n"/>
      <c r="N3" s="1" t="n"/>
      <c r="O3" s="1" t="n"/>
      <c r="P3" s="1" t="n"/>
      <c r="Q3" s="1" t="n"/>
      <c r="R3" s="1" t="n"/>
      <c r="S3" s="1" t="n"/>
      <c r="T3" s="1" t="n"/>
      <c r="U3" s="1" t="n"/>
      <c r="V3" s="19" t="n"/>
      <c r="W3" s="19" t="n"/>
      <c r="X3" s="19" t="n"/>
      <c r="Y3" s="19" t="n"/>
      <c r="Z3" s="60" t="n"/>
      <c r="AA3" s="60" t="n"/>
      <c r="AB3" s="60" t="n"/>
    </row>
    <row r="4" ht="9" customFormat="1" customHeight="1" s="313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3" t="n"/>
      <c r="P4" s="23" t="n"/>
      <c r="Q4" s="23" t="n"/>
      <c r="R4" s="23" t="n"/>
      <c r="S4" s="23" t="n"/>
      <c r="T4" s="24" t="n"/>
      <c r="U4" s="25" t="n"/>
      <c r="V4" s="25" t="n"/>
      <c r="W4" s="25" t="n"/>
      <c r="X4" s="25" t="n"/>
      <c r="Y4" s="25" t="n"/>
      <c r="Z4" s="60" t="n"/>
      <c r="AA4" s="60" t="n"/>
      <c r="AB4" s="60" t="n"/>
    </row>
    <row r="5" ht="23.45" customFormat="1" customHeight="1" s="313">
      <c r="A5" s="314" t="inlineStr">
        <is>
          <t xml:space="preserve">Ваш контактный телефон и имя: </t>
        </is>
      </c>
      <c r="B5" s="342" t="n"/>
      <c r="C5" s="343" t="n"/>
      <c r="D5" s="336" t="n"/>
      <c r="E5" s="344" t="n"/>
      <c r="F5" s="337" t="inlineStr">
        <is>
          <t>Комментарий к заказу:</t>
        </is>
      </c>
      <c r="G5" s="343" t="n"/>
      <c r="H5" s="336" t="n"/>
      <c r="I5" s="345" t="n"/>
      <c r="J5" s="345" t="n"/>
      <c r="K5" s="345" t="n"/>
      <c r="L5" s="344" t="n"/>
      <c r="N5" s="29" t="inlineStr">
        <is>
          <t>Дата загрузки</t>
        </is>
      </c>
      <c r="O5" s="346" t="n">
        <v>45376</v>
      </c>
      <c r="P5" s="347" t="n"/>
      <c r="R5" s="339" t="inlineStr">
        <is>
          <t>Способ доставки (доставка/самовывоз)</t>
        </is>
      </c>
      <c r="S5" s="348" t="n"/>
      <c r="T5" s="349" t="inlineStr">
        <is>
          <t>Самовывоз</t>
        </is>
      </c>
      <c r="U5" s="347" t="n"/>
      <c r="Z5" s="60" t="n"/>
      <c r="AA5" s="60" t="n"/>
      <c r="AB5" s="60" t="n"/>
    </row>
    <row r="6" ht="24" customFormat="1" customHeight="1" s="313">
      <c r="A6" s="314" t="inlineStr">
        <is>
          <t>Адрес доставки:</t>
        </is>
      </c>
      <c r="B6" s="342" t="n"/>
      <c r="C6" s="343" t="n"/>
      <c r="D6" s="315" t="inlineStr">
        <is>
          <t>НВ, ООО 9001015535, Запорожская обл, Мелитополь г, 8 Марта ул, д. 43/1,</t>
        </is>
      </c>
      <c r="E6" s="350" t="n"/>
      <c r="F6" s="350" t="n"/>
      <c r="G6" s="350" t="n"/>
      <c r="H6" s="350" t="n"/>
      <c r="I6" s="350" t="n"/>
      <c r="J6" s="350" t="n"/>
      <c r="K6" s="350" t="n"/>
      <c r="L6" s="347" t="n"/>
      <c r="N6" s="29" t="inlineStr">
        <is>
          <t>День недели</t>
        </is>
      </c>
      <c r="O6" s="316">
        <f>IF(O5=0," ",CHOOSE(WEEKDAY(O5,2),"Понедельник","Вторник","Среда","Четверг","Пятница","Суббота","Воскресенье"))</f>
        <v/>
      </c>
      <c r="P6" s="351" t="n"/>
      <c r="R6" s="318" t="inlineStr">
        <is>
          <t>Наименование клиента</t>
        </is>
      </c>
      <c r="S6" s="348" t="n"/>
      <c r="T6" s="352" t="inlineStr">
        <is>
          <t>ОБЩЕСТВО С ОГРАНИЧЕННОЙ ОТВЕТСТВЕННОСТЬЮ "НОВОЕ ВРЕМЯ"</t>
        </is>
      </c>
      <c r="U6" s="353" t="n"/>
      <c r="Z6" s="60" t="n"/>
      <c r="AA6" s="60" t="n"/>
      <c r="AB6" s="60" t="n"/>
    </row>
    <row r="7" hidden="1" ht="21.75" customFormat="1" customHeight="1" s="313">
      <c r="A7" s="65" t="n"/>
      <c r="B7" s="65" t="n"/>
      <c r="C7" s="65" t="n"/>
      <c r="D7" s="354">
        <f>IFERROR(VLOOKUP(DeliveryAddress,Table,3,0),1)</f>
        <v/>
      </c>
      <c r="E7" s="355" t="n"/>
      <c r="F7" s="355" t="n"/>
      <c r="G7" s="355" t="n"/>
      <c r="H7" s="355" t="n"/>
      <c r="I7" s="355" t="n"/>
      <c r="J7" s="355" t="n"/>
      <c r="K7" s="355" t="n"/>
      <c r="L7" s="356" t="n"/>
      <c r="N7" s="29" t="n"/>
      <c r="O7" s="49" t="n"/>
      <c r="P7" s="49" t="n"/>
      <c r="R7" s="1" t="n"/>
      <c r="S7" s="348" t="n"/>
      <c r="T7" s="357" t="n"/>
      <c r="U7" s="358" t="n"/>
      <c r="Z7" s="60" t="n"/>
      <c r="AA7" s="60" t="n"/>
      <c r="AB7" s="60" t="n"/>
    </row>
    <row r="8" ht="25.5" customFormat="1" customHeight="1" s="313">
      <c r="A8" s="328" t="inlineStr">
        <is>
          <t>Адрес сдачи груза:</t>
        </is>
      </c>
      <c r="B8" s="359" t="n"/>
      <c r="C8" s="360" t="n"/>
      <c r="D8" s="329" t="n"/>
      <c r="E8" s="361" t="n"/>
      <c r="F8" s="361" t="n"/>
      <c r="G8" s="361" t="n"/>
      <c r="H8" s="361" t="n"/>
      <c r="I8" s="361" t="n"/>
      <c r="J8" s="361" t="n"/>
      <c r="K8" s="361" t="n"/>
      <c r="L8" s="362" t="n"/>
      <c r="N8" s="29" t="inlineStr">
        <is>
          <t>Время загрузки</t>
        </is>
      </c>
      <c r="O8" s="309" t="n">
        <v>0.375</v>
      </c>
      <c r="P8" s="347" t="n"/>
      <c r="R8" s="1" t="n"/>
      <c r="S8" s="348" t="n"/>
      <c r="T8" s="357" t="n"/>
      <c r="U8" s="358" t="n"/>
      <c r="Z8" s="60" t="n"/>
      <c r="AA8" s="60" t="n"/>
      <c r="AB8" s="60" t="n"/>
    </row>
    <row r="9" ht="39.95" customFormat="1" customHeight="1" s="313">
      <c r="A9" s="305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" t="n"/>
      <c r="C9" s="1" t="n"/>
      <c r="D9" s="306" t="inlineStr"/>
      <c r="E9" s="3" t="n"/>
      <c r="F9" s="305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" t="n"/>
      <c r="H9" s="330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330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L9" s="3" t="n"/>
      <c r="N9" s="31" t="inlineStr">
        <is>
          <t>Дата доставки</t>
        </is>
      </c>
      <c r="O9" s="346" t="n"/>
      <c r="P9" s="347" t="n"/>
      <c r="R9" s="1" t="n"/>
      <c r="S9" s="348" t="n"/>
      <c r="T9" s="363" t="n"/>
      <c r="U9" s="364" t="n"/>
      <c r="V9" s="50" t="n"/>
      <c r="W9" s="50" t="n"/>
      <c r="X9" s="50" t="n"/>
      <c r="Y9" s="50" t="n"/>
      <c r="Z9" s="60" t="n"/>
      <c r="AA9" s="60" t="n"/>
      <c r="AB9" s="60" t="n"/>
    </row>
    <row r="10" ht="26.45" customFormat="1" customHeight="1" s="313">
      <c r="A10" s="305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" t="n"/>
      <c r="C10" s="1" t="n"/>
      <c r="D10" s="306" t="n"/>
      <c r="E10" s="3" t="n"/>
      <c r="F10" s="305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" t="n"/>
      <c r="H10" s="308">
        <f>IFERROR(VLOOKUP($D$10,Proxy,2,FALSE),"")</f>
        <v/>
      </c>
      <c r="I10" s="1" t="n"/>
      <c r="J10" s="1" t="n"/>
      <c r="K10" s="1" t="n"/>
      <c r="L10" s="1" t="n"/>
      <c r="N10" s="31" t="inlineStr">
        <is>
          <t>Время доставки</t>
        </is>
      </c>
      <c r="O10" s="309" t="n"/>
      <c r="P10" s="347" t="n"/>
      <c r="S10" s="29" t="inlineStr">
        <is>
          <t>КОД Аксапты Клиента</t>
        </is>
      </c>
      <c r="T10" s="365" t="inlineStr">
        <is>
          <t>596383</t>
        </is>
      </c>
      <c r="U10" s="353" t="n"/>
      <c r="V10" s="51" t="n"/>
      <c r="W10" s="51" t="n"/>
      <c r="X10" s="51" t="n"/>
      <c r="Y10" s="51" t="n"/>
      <c r="Z10" s="60" t="n"/>
      <c r="AA10" s="60" t="n"/>
      <c r="AB10" s="60" t="n"/>
    </row>
    <row r="11" ht="15.95" customFormat="1" customHeight="1" s="313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N11" s="31" t="inlineStr">
        <is>
          <t>Время доставки 2 машины</t>
        </is>
      </c>
      <c r="O11" s="309" t="n"/>
      <c r="P11" s="347" t="n"/>
      <c r="S11" s="29" t="inlineStr">
        <is>
          <t>Тип заказа</t>
        </is>
      </c>
      <c r="T11" s="297" t="inlineStr">
        <is>
          <t>Основной заказ</t>
        </is>
      </c>
      <c r="U11" s="366" t="n"/>
      <c r="V11" s="52" t="n"/>
      <c r="W11" s="52" t="n"/>
      <c r="X11" s="52" t="n"/>
      <c r="Y11" s="52" t="n"/>
      <c r="Z11" s="60" t="n"/>
      <c r="AA11" s="60" t="n"/>
      <c r="AB11" s="60" t="n"/>
    </row>
    <row r="12" ht="18.6" customFormat="1" customHeight="1" s="313">
      <c r="A12" s="296" t="inlineStr">
        <is>
          <t>Телефоны для заказов:8(919)022-63-02 E-mail: Zamorozka@abiproduct.ru, Телефон сотрудников склада: 8-980-75-76-203</t>
        </is>
      </c>
      <c r="B12" s="342" t="n"/>
      <c r="C12" s="342" t="n"/>
      <c r="D12" s="342" t="n"/>
      <c r="E12" s="342" t="n"/>
      <c r="F12" s="342" t="n"/>
      <c r="G12" s="342" t="n"/>
      <c r="H12" s="342" t="n"/>
      <c r="I12" s="342" t="n"/>
      <c r="J12" s="342" t="n"/>
      <c r="K12" s="342" t="n"/>
      <c r="L12" s="343" t="n"/>
      <c r="N12" s="29" t="inlineStr">
        <is>
          <t>Время доставки 3 машины</t>
        </is>
      </c>
      <c r="O12" s="312" t="n"/>
      <c r="P12" s="356" t="n"/>
      <c r="Q12" s="28" t="n"/>
      <c r="S12" s="29" t="inlineStr"/>
      <c r="T12" s="313" t="n"/>
      <c r="U12" s="1" t="n"/>
      <c r="Z12" s="60" t="n"/>
      <c r="AA12" s="60" t="n"/>
      <c r="AB12" s="60" t="n"/>
    </row>
    <row r="13" ht="23.25" customFormat="1" customHeight="1" s="313">
      <c r="A13" s="296" t="inlineStr">
        <is>
          <t>График приема заказов: Заказы принимаются за ДВА дня до отгрузки Пн-Пт: с 9:00 до 14:00, Суб: с 9:00 до 12:00. Вс. выходной</t>
        </is>
      </c>
      <c r="B13" s="342" t="n"/>
      <c r="C13" s="342" t="n"/>
      <c r="D13" s="342" t="n"/>
      <c r="E13" s="342" t="n"/>
      <c r="F13" s="342" t="n"/>
      <c r="G13" s="342" t="n"/>
      <c r="H13" s="342" t="n"/>
      <c r="I13" s="342" t="n"/>
      <c r="J13" s="342" t="n"/>
      <c r="K13" s="342" t="n"/>
      <c r="L13" s="343" t="n"/>
      <c r="M13" s="31" t="n"/>
      <c r="N13" s="31" t="inlineStr">
        <is>
          <t>Время доставки 4 машины</t>
        </is>
      </c>
      <c r="O13" s="297" t="n"/>
      <c r="P13" s="366" t="n"/>
      <c r="Q13" s="28" t="n"/>
      <c r="V13" s="57" t="n"/>
      <c r="W13" s="57" t="n"/>
      <c r="X13" s="57" t="n"/>
      <c r="Y13" s="57" t="n"/>
      <c r="Z13" s="60" t="n"/>
      <c r="AA13" s="60" t="n"/>
      <c r="AB13" s="60" t="n"/>
    </row>
    <row r="14" ht="18.6" customFormat="1" customHeight="1" s="313">
      <c r="A14" s="296" t="inlineStr">
        <is>
          <t>Телефон менеджера по логистике: 8 (919) 012-30-55 - по вопросам доставки продукции</t>
        </is>
      </c>
      <c r="B14" s="342" t="n"/>
      <c r="C14" s="342" t="n"/>
      <c r="D14" s="342" t="n"/>
      <c r="E14" s="342" t="n"/>
      <c r="F14" s="342" t="n"/>
      <c r="G14" s="342" t="n"/>
      <c r="H14" s="342" t="n"/>
      <c r="I14" s="342" t="n"/>
      <c r="J14" s="342" t="n"/>
      <c r="K14" s="342" t="n"/>
      <c r="L14" s="343" t="n"/>
      <c r="V14" s="58" t="n"/>
      <c r="W14" s="58" t="n"/>
      <c r="X14" s="58" t="n"/>
      <c r="Y14" s="58" t="n"/>
      <c r="Z14" s="60" t="n"/>
      <c r="AA14" s="60" t="n"/>
      <c r="AB14" s="60" t="n"/>
    </row>
    <row r="15" ht="22.5" customFormat="1" customHeight="1" s="313">
      <c r="A15" s="298" t="inlineStr">
        <is>
          <t>Телефон по работе с претензиями/жалобами (WhatSapp): 8 (980) 757-69-93       E-mail: Claims@abiproduct.ru</t>
        </is>
      </c>
      <c r="B15" s="342" t="n"/>
      <c r="C15" s="342" t="n"/>
      <c r="D15" s="342" t="n"/>
      <c r="E15" s="342" t="n"/>
      <c r="F15" s="342" t="n"/>
      <c r="G15" s="342" t="n"/>
      <c r="H15" s="342" t="n"/>
      <c r="I15" s="342" t="n"/>
      <c r="J15" s="342" t="n"/>
      <c r="K15" s="342" t="n"/>
      <c r="L15" s="343" t="n"/>
      <c r="N15" s="300" t="inlineStr">
        <is>
          <t>Кликните на продукт, чтобы просмотреть изображение</t>
        </is>
      </c>
      <c r="V15" s="313" t="n"/>
      <c r="W15" s="313" t="n"/>
      <c r="X15" s="313" t="n"/>
      <c r="Y15" s="313" t="n"/>
      <c r="Z15" s="60" t="n"/>
      <c r="AA15" s="60" t="n"/>
      <c r="AB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8" t="n"/>
      <c r="N16" s="367" t="n"/>
      <c r="O16" s="367" t="n"/>
      <c r="P16" s="367" t="n"/>
      <c r="Q16" s="367" t="n"/>
      <c r="R16" s="367" t="n"/>
      <c r="S16" s="8" t="n"/>
      <c r="T16" s="8" t="n"/>
      <c r="U16" s="10" t="n"/>
      <c r="V16" s="11" t="n"/>
      <c r="W16" s="11" t="n"/>
      <c r="X16" s="11" t="n"/>
      <c r="Y16" s="11" t="n"/>
      <c r="Z16" s="11" t="n"/>
    </row>
    <row r="17" ht="27.75" customHeight="1">
      <c r="A17" s="284" t="inlineStr">
        <is>
          <t>Код единицы продаж</t>
        </is>
      </c>
      <c r="B17" s="284" t="inlineStr">
        <is>
          <t>Код продукта</t>
        </is>
      </c>
      <c r="C17" s="302" t="inlineStr">
        <is>
          <t>Номер варианта</t>
        </is>
      </c>
      <c r="D17" s="284" t="inlineStr">
        <is>
          <t xml:space="preserve">Штрих-код </t>
        </is>
      </c>
      <c r="E17" s="368" t="n"/>
      <c r="F17" s="284" t="inlineStr">
        <is>
          <t>Вес нетто штуки, кг</t>
        </is>
      </c>
      <c r="G17" s="284" t="inlineStr">
        <is>
          <t>Кол-во штук в коробе, шт</t>
        </is>
      </c>
      <c r="H17" s="284" t="inlineStr">
        <is>
          <t>Вес нетто короба, кг</t>
        </is>
      </c>
      <c r="I17" s="284" t="inlineStr">
        <is>
          <t>Вес брутто короба, кг</t>
        </is>
      </c>
      <c r="J17" s="284" t="inlineStr">
        <is>
          <t>Кол-во кор. на паллте, шт</t>
        </is>
      </c>
      <c r="K17" s="284" t="inlineStr">
        <is>
          <t>Коробок в слое</t>
        </is>
      </c>
      <c r="L17" s="284" t="inlineStr">
        <is>
          <t>Завод</t>
        </is>
      </c>
      <c r="M17" s="284" t="inlineStr">
        <is>
          <t>Срок годности, сут.</t>
        </is>
      </c>
      <c r="N17" s="284" t="inlineStr">
        <is>
          <t>Наименование</t>
        </is>
      </c>
      <c r="O17" s="369" t="n"/>
      <c r="P17" s="369" t="n"/>
      <c r="Q17" s="369" t="n"/>
      <c r="R17" s="368" t="n"/>
      <c r="S17" s="301" t="inlineStr">
        <is>
          <t>Доступно к отгрузке</t>
        </is>
      </c>
      <c r="T17" s="343" t="n"/>
      <c r="U17" s="284" t="inlineStr">
        <is>
          <t>Ед. изм.</t>
        </is>
      </c>
      <c r="V17" s="284" t="inlineStr">
        <is>
          <t>Заказ</t>
        </is>
      </c>
      <c r="W17" s="285" t="inlineStr">
        <is>
          <t>Заказ с округлением до короба</t>
        </is>
      </c>
      <c r="X17" s="284" t="inlineStr">
        <is>
          <t>Объём заказа, м3</t>
        </is>
      </c>
      <c r="Y17" s="287" t="inlineStr">
        <is>
          <t>Примечание по продуктку</t>
        </is>
      </c>
      <c r="Z17" s="287" t="inlineStr">
        <is>
          <t>Признак "НОВИНКА"</t>
        </is>
      </c>
      <c r="AA17" s="287" t="inlineStr">
        <is>
          <t>Для формул</t>
        </is>
      </c>
      <c r="AB17" s="370" t="n"/>
      <c r="AC17" s="371" t="n"/>
      <c r="AD17" s="294" t="n"/>
      <c r="BA17" s="295" t="inlineStr">
        <is>
          <t>Вид продукции</t>
        </is>
      </c>
    </row>
    <row r="18" ht="14.25" customHeight="1">
      <c r="A18" s="372" t="n"/>
      <c r="B18" s="372" t="n"/>
      <c r="C18" s="372" t="n"/>
      <c r="D18" s="373" t="n"/>
      <c r="E18" s="374" t="n"/>
      <c r="F18" s="372" t="n"/>
      <c r="G18" s="372" t="n"/>
      <c r="H18" s="372" t="n"/>
      <c r="I18" s="372" t="n"/>
      <c r="J18" s="372" t="n"/>
      <c r="K18" s="372" t="n"/>
      <c r="L18" s="372" t="n"/>
      <c r="M18" s="372" t="n"/>
      <c r="N18" s="373" t="n"/>
      <c r="O18" s="375" t="n"/>
      <c r="P18" s="375" t="n"/>
      <c r="Q18" s="375" t="n"/>
      <c r="R18" s="374" t="n"/>
      <c r="S18" s="301" t="inlineStr">
        <is>
          <t>начиная с</t>
        </is>
      </c>
      <c r="T18" s="301" t="inlineStr">
        <is>
          <t>до</t>
        </is>
      </c>
      <c r="U18" s="372" t="n"/>
      <c r="V18" s="372" t="n"/>
      <c r="W18" s="376" t="n"/>
      <c r="X18" s="372" t="n"/>
      <c r="Y18" s="377" t="n"/>
      <c r="Z18" s="377" t="n"/>
      <c r="AA18" s="378" t="n"/>
      <c r="AB18" s="379" t="n"/>
      <c r="AC18" s="380" t="n"/>
      <c r="AD18" s="381" t="n"/>
      <c r="BA18" s="1" t="n"/>
    </row>
    <row r="19" ht="27.75" customHeight="1">
      <c r="A19" s="206" t="inlineStr">
        <is>
          <t>Ядрена копоть</t>
        </is>
      </c>
      <c r="B19" s="382" t="n"/>
      <c r="C19" s="382" t="n"/>
      <c r="D19" s="382" t="n"/>
      <c r="E19" s="382" t="n"/>
      <c r="F19" s="382" t="n"/>
      <c r="G19" s="382" t="n"/>
      <c r="H19" s="382" t="n"/>
      <c r="I19" s="382" t="n"/>
      <c r="J19" s="382" t="n"/>
      <c r="K19" s="382" t="n"/>
      <c r="L19" s="382" t="n"/>
      <c r="M19" s="382" t="n"/>
      <c r="N19" s="382" t="n"/>
      <c r="O19" s="382" t="n"/>
      <c r="P19" s="382" t="n"/>
      <c r="Q19" s="382" t="n"/>
      <c r="R19" s="382" t="n"/>
      <c r="S19" s="382" t="n"/>
      <c r="T19" s="382" t="n"/>
      <c r="U19" s="382" t="n"/>
      <c r="V19" s="382" t="n"/>
      <c r="W19" s="382" t="n"/>
      <c r="X19" s="382" t="n"/>
      <c r="Y19" s="55" t="n"/>
      <c r="Z19" s="55" t="n"/>
    </row>
    <row r="20" ht="16.5" customHeight="1">
      <c r="A20" s="207" t="inlineStr">
        <is>
          <t>Ядрена копоть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207" t="n"/>
      <c r="Z20" s="207" t="n"/>
    </row>
    <row r="21" ht="14.25" customHeight="1">
      <c r="A21" s="196" t="inlineStr">
        <is>
          <t>Пельмени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96" t="n"/>
      <c r="Z21" s="196" t="n"/>
    </row>
    <row r="22" ht="27" customHeight="1">
      <c r="A22" s="64" t="inlineStr">
        <is>
          <t>SU002224</t>
        </is>
      </c>
      <c r="B22" s="64" t="inlineStr">
        <is>
          <t>P002928</t>
        </is>
      </c>
      <c r="C22" s="37" t="n">
        <v>4301070899</v>
      </c>
      <c r="D22" s="183" t="n">
        <v>4607111035752</v>
      </c>
      <c r="E22" s="351" t="n"/>
      <c r="F22" s="383" t="n">
        <v>0.43</v>
      </c>
      <c r="G22" s="38" t="n">
        <v>16</v>
      </c>
      <c r="H22" s="383" t="n">
        <v>6.88</v>
      </c>
      <c r="I22" s="383" t="n">
        <v>7.254</v>
      </c>
      <c r="J22" s="38" t="n">
        <v>84</v>
      </c>
      <c r="K22" s="38" t="inlineStr">
        <is>
          <t>12</t>
        </is>
      </c>
      <c r="L22" s="39" t="inlineStr">
        <is>
          <t>МГ</t>
        </is>
      </c>
      <c r="M22" s="38" t="n">
        <v>180</v>
      </c>
      <c r="N22" s="384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/>
      </c>
      <c r="O22" s="385" t="n"/>
      <c r="P22" s="385" t="n"/>
      <c r="Q22" s="385" t="n"/>
      <c r="R22" s="351" t="n"/>
      <c r="S22" s="40" t="inlineStr"/>
      <c r="T22" s="40" t="inlineStr"/>
      <c r="U22" s="41" t="inlineStr">
        <is>
          <t>кор</t>
        </is>
      </c>
      <c r="V22" s="386" t="n">
        <v>0</v>
      </c>
      <c r="W22" s="387">
        <f>IFERROR(IF(V22="","",V22),"")</f>
        <v/>
      </c>
      <c r="X22" s="42">
        <f>IFERROR(IF(V22="","",V22*0.0155),"")</f>
        <v/>
      </c>
      <c r="Y22" s="69" t="inlineStr"/>
      <c r="Z22" s="70" t="inlineStr"/>
      <c r="AD22" s="74" t="n"/>
      <c r="BA22" s="76" t="inlineStr">
        <is>
          <t>ЗПФ</t>
        </is>
      </c>
    </row>
    <row r="23">
      <c r="A23" s="178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388" t="n"/>
      <c r="N23" s="389" t="inlineStr">
        <is>
          <t>Итого</t>
        </is>
      </c>
      <c r="O23" s="359" t="n"/>
      <c r="P23" s="359" t="n"/>
      <c r="Q23" s="359" t="n"/>
      <c r="R23" s="359" t="n"/>
      <c r="S23" s="359" t="n"/>
      <c r="T23" s="360" t="n"/>
      <c r="U23" s="43" t="inlineStr">
        <is>
          <t>кор</t>
        </is>
      </c>
      <c r="V23" s="390">
        <f>IFERROR(SUM(V22:V22),"0")</f>
        <v/>
      </c>
      <c r="W23" s="390">
        <f>IFERROR(SUM(W22:W22),"0")</f>
        <v/>
      </c>
      <c r="X23" s="390">
        <f>IFERROR(IF(X22="",0,X22),"0")</f>
        <v/>
      </c>
      <c r="Y23" s="391" t="n"/>
      <c r="Z23" s="39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388" t="n"/>
      <c r="N24" s="389" t="inlineStr">
        <is>
          <t>Итого</t>
        </is>
      </c>
      <c r="O24" s="359" t="n"/>
      <c r="P24" s="359" t="n"/>
      <c r="Q24" s="359" t="n"/>
      <c r="R24" s="359" t="n"/>
      <c r="S24" s="359" t="n"/>
      <c r="T24" s="360" t="n"/>
      <c r="U24" s="43" t="inlineStr">
        <is>
          <t>кг</t>
        </is>
      </c>
      <c r="V24" s="390">
        <f>IFERROR(SUMPRODUCT(V22:V22*H22:H22),"0")</f>
        <v/>
      </c>
      <c r="W24" s="390">
        <f>IFERROR(SUMPRODUCT(W22:W22*H22:H22),"0")</f>
        <v/>
      </c>
      <c r="X24" s="43" t="n"/>
      <c r="Y24" s="391" t="n"/>
      <c r="Z24" s="391" t="n"/>
    </row>
    <row r="25" ht="27.75" customHeight="1">
      <c r="A25" s="206" t="inlineStr">
        <is>
          <t>Горячая штучка</t>
        </is>
      </c>
      <c r="B25" s="382" t="n"/>
      <c r="C25" s="382" t="n"/>
      <c r="D25" s="382" t="n"/>
      <c r="E25" s="382" t="n"/>
      <c r="F25" s="382" t="n"/>
      <c r="G25" s="382" t="n"/>
      <c r="H25" s="382" t="n"/>
      <c r="I25" s="382" t="n"/>
      <c r="J25" s="382" t="n"/>
      <c r="K25" s="382" t="n"/>
      <c r="L25" s="382" t="n"/>
      <c r="M25" s="382" t="n"/>
      <c r="N25" s="382" t="n"/>
      <c r="O25" s="382" t="n"/>
      <c r="P25" s="382" t="n"/>
      <c r="Q25" s="382" t="n"/>
      <c r="R25" s="382" t="n"/>
      <c r="S25" s="382" t="n"/>
      <c r="T25" s="382" t="n"/>
      <c r="U25" s="382" t="n"/>
      <c r="V25" s="382" t="n"/>
      <c r="W25" s="382" t="n"/>
      <c r="X25" s="382" t="n"/>
      <c r="Y25" s="55" t="n"/>
      <c r="Z25" s="55" t="n"/>
    </row>
    <row r="26" ht="16.5" customHeight="1">
      <c r="A26" s="207" t="inlineStr">
        <is>
          <t>Наггетсы ГШ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207" t="n"/>
      <c r="Z26" s="207" t="n"/>
    </row>
    <row r="27" ht="14.25" customHeight="1">
      <c r="A27" s="196" t="inlineStr">
        <is>
          <t>Наггетсы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96" t="n"/>
      <c r="Z27" s="196" t="n"/>
    </row>
    <row r="28" ht="27" customHeight="1">
      <c r="A28" s="64" t="inlineStr">
        <is>
          <t>SU002761</t>
        </is>
      </c>
      <c r="B28" s="64" t="inlineStr">
        <is>
          <t>P003144</t>
        </is>
      </c>
      <c r="C28" s="37" t="n">
        <v>4301132066</v>
      </c>
      <c r="D28" s="183" t="n">
        <v>4607111036520</v>
      </c>
      <c r="E28" s="351" t="n"/>
      <c r="F28" s="383" t="n">
        <v>0.25</v>
      </c>
      <c r="G28" s="38" t="n">
        <v>6</v>
      </c>
      <c r="H28" s="383" t="n">
        <v>1.5</v>
      </c>
      <c r="I28" s="383" t="n">
        <v>1.9218</v>
      </c>
      <c r="J28" s="38" t="n">
        <v>126</v>
      </c>
      <c r="K28" s="38" t="inlineStr">
        <is>
          <t>14</t>
        </is>
      </c>
      <c r="L28" s="39" t="inlineStr">
        <is>
          <t>МГ</t>
        </is>
      </c>
      <c r="M28" s="38" t="n">
        <v>180</v>
      </c>
      <c r="N28" s="392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/>
      </c>
      <c r="O28" s="385" t="n"/>
      <c r="P28" s="385" t="n"/>
      <c r="Q28" s="385" t="n"/>
      <c r="R28" s="351" t="n"/>
      <c r="S28" s="40" t="inlineStr"/>
      <c r="T28" s="40" t="inlineStr"/>
      <c r="U28" s="41" t="inlineStr">
        <is>
          <t>кор</t>
        </is>
      </c>
      <c r="V28" s="386" t="n">
        <v>0</v>
      </c>
      <c r="W28" s="387">
        <f>IFERROR(IF(V28="","",V28),"")</f>
        <v/>
      </c>
      <c r="X28" s="42">
        <f>IFERROR(IF(V28="","",V28*0.00936),"")</f>
        <v/>
      </c>
      <c r="Y28" s="69" t="inlineStr"/>
      <c r="Z28" s="70" t="inlineStr"/>
      <c r="AD28" s="74" t="n"/>
      <c r="BA28" s="77" t="inlineStr">
        <is>
          <t>ПГП</t>
        </is>
      </c>
    </row>
    <row r="29" ht="27" customHeight="1">
      <c r="A29" s="64" t="inlineStr">
        <is>
          <t>SU002762</t>
        </is>
      </c>
      <c r="B29" s="64" t="inlineStr">
        <is>
          <t>P003141</t>
        </is>
      </c>
      <c r="C29" s="37" t="n">
        <v>4301132063</v>
      </c>
      <c r="D29" s="183" t="n">
        <v>4607111036605</v>
      </c>
      <c r="E29" s="351" t="n"/>
      <c r="F29" s="383" t="n">
        <v>0.25</v>
      </c>
      <c r="G29" s="38" t="n">
        <v>6</v>
      </c>
      <c r="H29" s="383" t="n">
        <v>1.5</v>
      </c>
      <c r="I29" s="383" t="n">
        <v>1.9218</v>
      </c>
      <c r="J29" s="38" t="n">
        <v>126</v>
      </c>
      <c r="K29" s="38" t="inlineStr">
        <is>
          <t>14</t>
        </is>
      </c>
      <c r="L29" s="39" t="inlineStr">
        <is>
          <t>МГ</t>
        </is>
      </c>
      <c r="M29" s="38" t="n">
        <v>180</v>
      </c>
      <c r="N29" s="393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/>
      </c>
      <c r="O29" s="385" t="n"/>
      <c r="P29" s="385" t="n"/>
      <c r="Q29" s="385" t="n"/>
      <c r="R29" s="351" t="n"/>
      <c r="S29" s="40" t="inlineStr"/>
      <c r="T29" s="40" t="inlineStr"/>
      <c r="U29" s="41" t="inlineStr">
        <is>
          <t>кор</t>
        </is>
      </c>
      <c r="V29" s="386" t="n">
        <v>135</v>
      </c>
      <c r="W29" s="387">
        <f>IFERROR(IF(V29="","",V29),"")</f>
        <v/>
      </c>
      <c r="X29" s="42">
        <f>IFERROR(IF(V29="","",V29*0.00936),"")</f>
        <v/>
      </c>
      <c r="Y29" s="69" t="inlineStr"/>
      <c r="Z29" s="70" t="inlineStr"/>
      <c r="AD29" s="74" t="n"/>
      <c r="BA29" s="78" t="inlineStr">
        <is>
          <t>ПГП</t>
        </is>
      </c>
    </row>
    <row r="30" ht="27" customHeight="1">
      <c r="A30" s="64" t="inlineStr">
        <is>
          <t>SU002763</t>
        </is>
      </c>
      <c r="B30" s="64" t="inlineStr">
        <is>
          <t>P003143</t>
        </is>
      </c>
      <c r="C30" s="37" t="n">
        <v>4301132064</v>
      </c>
      <c r="D30" s="183" t="n">
        <v>4607111036537</v>
      </c>
      <c r="E30" s="351" t="n"/>
      <c r="F30" s="383" t="n">
        <v>0.25</v>
      </c>
      <c r="G30" s="38" t="n">
        <v>6</v>
      </c>
      <c r="H30" s="383" t="n">
        <v>1.5</v>
      </c>
      <c r="I30" s="383" t="n">
        <v>1.9218</v>
      </c>
      <c r="J30" s="38" t="n">
        <v>126</v>
      </c>
      <c r="K30" s="38" t="inlineStr">
        <is>
          <t>14</t>
        </is>
      </c>
      <c r="L30" s="39" t="inlineStr">
        <is>
          <t>МГ</t>
        </is>
      </c>
      <c r="M30" s="38" t="n">
        <v>180</v>
      </c>
      <c r="N30" s="394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/>
      </c>
      <c r="O30" s="385" t="n"/>
      <c r="P30" s="385" t="n"/>
      <c r="Q30" s="385" t="n"/>
      <c r="R30" s="351" t="n"/>
      <c r="S30" s="40" t="inlineStr"/>
      <c r="T30" s="40" t="inlineStr"/>
      <c r="U30" s="41" t="inlineStr">
        <is>
          <t>кор</t>
        </is>
      </c>
      <c r="V30" s="386" t="n">
        <v>175</v>
      </c>
      <c r="W30" s="387">
        <f>IFERROR(IF(V30="","",V30),"")</f>
        <v/>
      </c>
      <c r="X30" s="42">
        <f>IFERROR(IF(V30="","",V30*0.00936),"")</f>
        <v/>
      </c>
      <c r="Y30" s="69" t="inlineStr"/>
      <c r="Z30" s="70" t="inlineStr"/>
      <c r="AD30" s="74" t="n"/>
      <c r="BA30" s="79" t="inlineStr">
        <is>
          <t>ПГП</t>
        </is>
      </c>
    </row>
    <row r="31" ht="27" customHeight="1">
      <c r="A31" s="64" t="inlineStr">
        <is>
          <t>SU002760</t>
        </is>
      </c>
      <c r="B31" s="64" t="inlineStr">
        <is>
          <t>P003142</t>
        </is>
      </c>
      <c r="C31" s="37" t="n">
        <v>4301132065</v>
      </c>
      <c r="D31" s="183" t="n">
        <v>4607111036599</v>
      </c>
      <c r="E31" s="351" t="n"/>
      <c r="F31" s="383" t="n">
        <v>0.25</v>
      </c>
      <c r="G31" s="38" t="n">
        <v>6</v>
      </c>
      <c r="H31" s="383" t="n">
        <v>1.5</v>
      </c>
      <c r="I31" s="383" t="n">
        <v>1.9218</v>
      </c>
      <c r="J31" s="38" t="n">
        <v>126</v>
      </c>
      <c r="K31" s="38" t="inlineStr">
        <is>
          <t>14</t>
        </is>
      </c>
      <c r="L31" s="39" t="inlineStr">
        <is>
          <t>МГ</t>
        </is>
      </c>
      <c r="M31" s="38" t="n">
        <v>180</v>
      </c>
      <c r="N31" s="395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/>
      </c>
      <c r="O31" s="385" t="n"/>
      <c r="P31" s="385" t="n"/>
      <c r="Q31" s="385" t="n"/>
      <c r="R31" s="351" t="n"/>
      <c r="S31" s="40" t="inlineStr"/>
      <c r="T31" s="40" t="inlineStr"/>
      <c r="U31" s="41" t="inlineStr">
        <is>
          <t>кор</t>
        </is>
      </c>
      <c r="V31" s="386" t="n">
        <v>102</v>
      </c>
      <c r="W31" s="387">
        <f>IFERROR(IF(V31="","",V31),"")</f>
        <v/>
      </c>
      <c r="X31" s="42">
        <f>IFERROR(IF(V31="","",V31*0.00936),"")</f>
        <v/>
      </c>
      <c r="Y31" s="69" t="inlineStr"/>
      <c r="Z31" s="70" t="inlineStr"/>
      <c r="AD31" s="74" t="n"/>
      <c r="BA31" s="80" t="inlineStr">
        <is>
          <t>ПГП</t>
        </is>
      </c>
    </row>
    <row r="32">
      <c r="A32" s="178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388" t="n"/>
      <c r="N32" s="389" t="inlineStr">
        <is>
          <t>Итого</t>
        </is>
      </c>
      <c r="O32" s="359" t="n"/>
      <c r="P32" s="359" t="n"/>
      <c r="Q32" s="359" t="n"/>
      <c r="R32" s="359" t="n"/>
      <c r="S32" s="359" t="n"/>
      <c r="T32" s="360" t="n"/>
      <c r="U32" s="43" t="inlineStr">
        <is>
          <t>кор</t>
        </is>
      </c>
      <c r="V32" s="390">
        <f>IFERROR(SUM(V28:V31),"0")</f>
        <v/>
      </c>
      <c r="W32" s="390">
        <f>IFERROR(SUM(W28:W31),"0")</f>
        <v/>
      </c>
      <c r="X32" s="390">
        <f>IFERROR(IF(X28="",0,X28),"0")+IFERROR(IF(X29="",0,X29),"0")+IFERROR(IF(X30="",0,X30),"0")+IFERROR(IF(X31="",0,X31),"0")</f>
        <v/>
      </c>
      <c r="Y32" s="391" t="n"/>
      <c r="Z32" s="39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388" t="n"/>
      <c r="N33" s="389" t="inlineStr">
        <is>
          <t>Итого</t>
        </is>
      </c>
      <c r="O33" s="359" t="n"/>
      <c r="P33" s="359" t="n"/>
      <c r="Q33" s="359" t="n"/>
      <c r="R33" s="359" t="n"/>
      <c r="S33" s="359" t="n"/>
      <c r="T33" s="360" t="n"/>
      <c r="U33" s="43" t="inlineStr">
        <is>
          <t>кг</t>
        </is>
      </c>
      <c r="V33" s="390">
        <f>IFERROR(SUMPRODUCT(V28:V31*H28:H31),"0")</f>
        <v/>
      </c>
      <c r="W33" s="390">
        <f>IFERROR(SUMPRODUCT(W28:W31*H28:H31),"0")</f>
        <v/>
      </c>
      <c r="X33" s="43" t="n"/>
      <c r="Y33" s="391" t="n"/>
      <c r="Z33" s="391" t="n"/>
    </row>
    <row r="34" ht="16.5" customHeight="1">
      <c r="A34" s="207" t="inlineStr">
        <is>
          <t>Grandmeni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207" t="n"/>
      <c r="Z34" s="207" t="n"/>
    </row>
    <row r="35" ht="14.25" customHeight="1">
      <c r="A35" s="196" t="inlineStr">
        <is>
          <t>Пельмени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96" t="n"/>
      <c r="Z35" s="196" t="n"/>
    </row>
    <row r="36" ht="27" customHeight="1">
      <c r="A36" s="64" t="inlineStr">
        <is>
          <t>SU002346</t>
        </is>
      </c>
      <c r="B36" s="64" t="inlineStr">
        <is>
          <t>P002646</t>
        </is>
      </c>
      <c r="C36" s="37" t="n">
        <v>4301070865</v>
      </c>
      <c r="D36" s="183" t="n">
        <v>4607111036285</v>
      </c>
      <c r="E36" s="351" t="n"/>
      <c r="F36" s="383" t="n">
        <v>0.75</v>
      </c>
      <c r="G36" s="38" t="n">
        <v>8</v>
      </c>
      <c r="H36" s="383" t="n">
        <v>6</v>
      </c>
      <c r="I36" s="383" t="n">
        <v>6.27</v>
      </c>
      <c r="J36" s="38" t="n">
        <v>84</v>
      </c>
      <c r="K36" s="38" t="inlineStr">
        <is>
          <t>12</t>
        </is>
      </c>
      <c r="L36" s="39" t="inlineStr">
        <is>
          <t>МГ</t>
        </is>
      </c>
      <c r="M36" s="38" t="n">
        <v>180</v>
      </c>
      <c r="N36" s="396">
        <f>HYPERLINK("https://abi.ru/products/Замороженные/Горячая штучка/Grandmeni/Пельмени/P002646/","Пельмени Grandmeni с говядиной Grandmeni 0,75 Сфера Горячая штучка")</f>
        <v/>
      </c>
      <c r="O36" s="385" t="n"/>
      <c r="P36" s="385" t="n"/>
      <c r="Q36" s="385" t="n"/>
      <c r="R36" s="351" t="n"/>
      <c r="S36" s="40" t="inlineStr"/>
      <c r="T36" s="40" t="inlineStr"/>
      <c r="U36" s="41" t="inlineStr">
        <is>
          <t>кор</t>
        </is>
      </c>
      <c r="V36" s="386" t="n">
        <v>75</v>
      </c>
      <c r="W36" s="387">
        <f>IFERROR(IF(V36="","",V36),"")</f>
        <v/>
      </c>
      <c r="X36" s="42">
        <f>IFERROR(IF(V36="","",V36*0.0155),"")</f>
        <v/>
      </c>
      <c r="Y36" s="69" t="inlineStr"/>
      <c r="Z36" s="70" t="inlineStr"/>
      <c r="AD36" s="74" t="n"/>
      <c r="BA36" s="81" t="inlineStr">
        <is>
          <t>ЗПФ</t>
        </is>
      </c>
    </row>
    <row r="37" ht="27" customHeight="1">
      <c r="A37" s="64" t="inlineStr">
        <is>
          <t>SU002321</t>
        </is>
      </c>
      <c r="B37" s="64" t="inlineStr">
        <is>
          <t>P002599</t>
        </is>
      </c>
      <c r="C37" s="37" t="n">
        <v>4301070861</v>
      </c>
      <c r="D37" s="183" t="n">
        <v>4607111036308</v>
      </c>
      <c r="E37" s="351" t="n"/>
      <c r="F37" s="383" t="n">
        <v>0.75</v>
      </c>
      <c r="G37" s="38" t="n">
        <v>8</v>
      </c>
      <c r="H37" s="383" t="n">
        <v>6</v>
      </c>
      <c r="I37" s="383" t="n">
        <v>6.27</v>
      </c>
      <c r="J37" s="38" t="n">
        <v>84</v>
      </c>
      <c r="K37" s="38" t="inlineStr">
        <is>
          <t>12</t>
        </is>
      </c>
      <c r="L37" s="39" t="inlineStr">
        <is>
          <t>МГ</t>
        </is>
      </c>
      <c r="M37" s="38" t="n">
        <v>180</v>
      </c>
      <c r="N37" s="397" t="inlineStr">
        <is>
          <t>Пельмени Grandmeni с говядиной в сливочном соусе Grandmeni 0,75 Сфера Горячая штучка</t>
        </is>
      </c>
      <c r="O37" s="385" t="n"/>
      <c r="P37" s="385" t="n"/>
      <c r="Q37" s="385" t="n"/>
      <c r="R37" s="351" t="n"/>
      <c r="S37" s="40" t="inlineStr"/>
      <c r="T37" s="40" t="inlineStr"/>
      <c r="U37" s="41" t="inlineStr">
        <is>
          <t>кор</t>
        </is>
      </c>
      <c r="V37" s="386" t="n">
        <v>79</v>
      </c>
      <c r="W37" s="387">
        <f>IFERROR(IF(V37="","",V37),"")</f>
        <v/>
      </c>
      <c r="X37" s="42">
        <f>IFERROR(IF(V37="","",V37*0.0155),"")</f>
        <v/>
      </c>
      <c r="Y37" s="69" t="inlineStr"/>
      <c r="Z37" s="70" t="inlineStr"/>
      <c r="AD37" s="74" t="n"/>
      <c r="BA37" s="82" t="inlineStr">
        <is>
          <t>ЗПФ</t>
        </is>
      </c>
    </row>
    <row r="38" ht="27" customHeight="1">
      <c r="A38" s="64" t="inlineStr">
        <is>
          <t>SU002320</t>
        </is>
      </c>
      <c r="B38" s="64" t="inlineStr">
        <is>
          <t>P002782</t>
        </is>
      </c>
      <c r="C38" s="37" t="n">
        <v>4301070884</v>
      </c>
      <c r="D38" s="183" t="n">
        <v>4607111036315</v>
      </c>
      <c r="E38" s="351" t="n"/>
      <c r="F38" s="383" t="n">
        <v>0.75</v>
      </c>
      <c r="G38" s="38" t="n">
        <v>8</v>
      </c>
      <c r="H38" s="383" t="n">
        <v>6</v>
      </c>
      <c r="I38" s="383" t="n">
        <v>6.27</v>
      </c>
      <c r="J38" s="38" t="n">
        <v>84</v>
      </c>
      <c r="K38" s="38" t="inlineStr">
        <is>
          <t>12</t>
        </is>
      </c>
      <c r="L38" s="39" t="inlineStr">
        <is>
          <t>МГ</t>
        </is>
      </c>
      <c r="M38" s="38" t="n">
        <v>180</v>
      </c>
      <c r="N38" s="398">
        <f>HYPERLINK("https://abi.ru/products/Замороженные/Горячая штучка/Grandmeni/Пельмени/P002782/","Пельмени Grandmeni с говядиной и свининой Grandmeni 0,75 Сфера Горячая штучка")</f>
        <v/>
      </c>
      <c r="O38" s="385" t="n"/>
      <c r="P38" s="385" t="n"/>
      <c r="Q38" s="385" t="n"/>
      <c r="R38" s="351" t="n"/>
      <c r="S38" s="40" t="inlineStr"/>
      <c r="T38" s="40" t="inlineStr"/>
      <c r="U38" s="41" t="inlineStr">
        <is>
          <t>кор</t>
        </is>
      </c>
      <c r="V38" s="386" t="n">
        <v>0</v>
      </c>
      <c r="W38" s="387">
        <f>IFERROR(IF(V38="","",V38),"")</f>
        <v/>
      </c>
      <c r="X38" s="42">
        <f>IFERROR(IF(V38="","",V38*0.0155),"")</f>
        <v/>
      </c>
      <c r="Y38" s="69" t="inlineStr"/>
      <c r="Z38" s="70" t="inlineStr"/>
      <c r="AD38" s="74" t="n"/>
      <c r="BA38" s="83" t="inlineStr">
        <is>
          <t>ЗПФ</t>
        </is>
      </c>
    </row>
    <row r="39" ht="27" customHeight="1">
      <c r="A39" s="64" t="inlineStr">
        <is>
          <t>SU002345</t>
        </is>
      </c>
      <c r="B39" s="64" t="inlineStr">
        <is>
          <t>P002645</t>
        </is>
      </c>
      <c r="C39" s="37" t="n">
        <v>4301070864</v>
      </c>
      <c r="D39" s="183" t="n">
        <v>4607111036292</v>
      </c>
      <c r="E39" s="351" t="n"/>
      <c r="F39" s="383" t="n">
        <v>0.75</v>
      </c>
      <c r="G39" s="38" t="n">
        <v>8</v>
      </c>
      <c r="H39" s="383" t="n">
        <v>6</v>
      </c>
      <c r="I39" s="383" t="n">
        <v>6.27</v>
      </c>
      <c r="J39" s="38" t="n">
        <v>84</v>
      </c>
      <c r="K39" s="38" t="inlineStr">
        <is>
          <t>12</t>
        </is>
      </c>
      <c r="L39" s="39" t="inlineStr">
        <is>
          <t>МГ</t>
        </is>
      </c>
      <c r="M39" s="38" t="n">
        <v>180</v>
      </c>
      <c r="N39" s="399">
        <f>HYPERLINK("https://abi.ru/products/Замороженные/Горячая штучка/Grandmeni/Пельмени/P002645/","Пельмени Grandmeni со сливочным маслом Grandmeni 0,75 Сфера Горячая штучка")</f>
        <v/>
      </c>
      <c r="O39" s="385" t="n"/>
      <c r="P39" s="385" t="n"/>
      <c r="Q39" s="385" t="n"/>
      <c r="R39" s="351" t="n"/>
      <c r="S39" s="40" t="inlineStr"/>
      <c r="T39" s="40" t="inlineStr"/>
      <c r="U39" s="41" t="inlineStr">
        <is>
          <t>кор</t>
        </is>
      </c>
      <c r="V39" s="386" t="n">
        <v>73</v>
      </c>
      <c r="W39" s="387">
        <f>IFERROR(IF(V39="","",V39),"")</f>
        <v/>
      </c>
      <c r="X39" s="42">
        <f>IFERROR(IF(V39="","",V39*0.0155),"")</f>
        <v/>
      </c>
      <c r="Y39" s="69" t="inlineStr"/>
      <c r="Z39" s="70" t="inlineStr"/>
      <c r="AD39" s="74" t="n"/>
      <c r="BA39" s="84" t="inlineStr">
        <is>
          <t>ЗПФ</t>
        </is>
      </c>
    </row>
    <row r="40">
      <c r="A40" s="178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388" t="n"/>
      <c r="N40" s="389" t="inlineStr">
        <is>
          <t>Итого</t>
        </is>
      </c>
      <c r="O40" s="359" t="n"/>
      <c r="P40" s="359" t="n"/>
      <c r="Q40" s="359" t="n"/>
      <c r="R40" s="359" t="n"/>
      <c r="S40" s="359" t="n"/>
      <c r="T40" s="360" t="n"/>
      <c r="U40" s="43" t="inlineStr">
        <is>
          <t>кор</t>
        </is>
      </c>
      <c r="V40" s="390">
        <f>IFERROR(SUM(V36:V39),"0")</f>
        <v/>
      </c>
      <c r="W40" s="390">
        <f>IFERROR(SUM(W36:W39),"0")</f>
        <v/>
      </c>
      <c r="X40" s="390">
        <f>IFERROR(IF(X36="",0,X36),"0")+IFERROR(IF(X37="",0,X37),"0")+IFERROR(IF(X38="",0,X38),"0")+IFERROR(IF(X39="",0,X39),"0")</f>
        <v/>
      </c>
      <c r="Y40" s="391" t="n"/>
      <c r="Z40" s="39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388" t="n"/>
      <c r="N41" s="389" t="inlineStr">
        <is>
          <t>Итого</t>
        </is>
      </c>
      <c r="O41" s="359" t="n"/>
      <c r="P41" s="359" t="n"/>
      <c r="Q41" s="359" t="n"/>
      <c r="R41" s="359" t="n"/>
      <c r="S41" s="359" t="n"/>
      <c r="T41" s="360" t="n"/>
      <c r="U41" s="43" t="inlineStr">
        <is>
          <t>кг</t>
        </is>
      </c>
      <c r="V41" s="390">
        <f>IFERROR(SUMPRODUCT(V36:V39*H36:H39),"0")</f>
        <v/>
      </c>
      <c r="W41" s="390">
        <f>IFERROR(SUMPRODUCT(W36:W39*H36:H39),"0")</f>
        <v/>
      </c>
      <c r="X41" s="43" t="n"/>
      <c r="Y41" s="391" t="n"/>
      <c r="Z41" s="391" t="n"/>
    </row>
    <row r="42" ht="16.5" customHeight="1">
      <c r="A42" s="207" t="inlineStr">
        <is>
          <t>Чебупай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207" t="n"/>
      <c r="Z42" s="207" t="n"/>
    </row>
    <row r="43" ht="14.25" customHeight="1">
      <c r="A43" s="196" t="inlineStr">
        <is>
          <t>Изделия хлебобулочные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96" t="n"/>
      <c r="Z43" s="196" t="n"/>
    </row>
    <row r="44" ht="27" customHeight="1">
      <c r="A44" s="64" t="inlineStr">
        <is>
          <t>SU002914</t>
        </is>
      </c>
      <c r="B44" s="64" t="inlineStr">
        <is>
          <t>P003337</t>
        </is>
      </c>
      <c r="C44" s="37" t="n">
        <v>4301190022</v>
      </c>
      <c r="D44" s="183" t="n">
        <v>4607111037053</v>
      </c>
      <c r="E44" s="351" t="n"/>
      <c r="F44" s="383" t="n">
        <v>0.2</v>
      </c>
      <c r="G44" s="38" t="n">
        <v>6</v>
      </c>
      <c r="H44" s="383" t="n">
        <v>1.2</v>
      </c>
      <c r="I44" s="383" t="n">
        <v>1.5918</v>
      </c>
      <c r="J44" s="38" t="n">
        <v>130</v>
      </c>
      <c r="K44" s="38" t="inlineStr">
        <is>
          <t>10</t>
        </is>
      </c>
      <c r="L44" s="39" t="inlineStr">
        <is>
          <t>МГ</t>
        </is>
      </c>
      <c r="M44" s="38" t="n">
        <v>365</v>
      </c>
      <c r="N44" s="400">
        <f>HYPERLINK("https://abi.ru/products/Замороженные/Горячая штучка/Чебупай/Изделия хлебобулочные/P003337/","«Чебупай сочное яблоко» Фикс.вес 0,2 Лоток ТМ «Горячая штучка»")</f>
        <v/>
      </c>
      <c r="O44" s="385" t="n"/>
      <c r="P44" s="385" t="n"/>
      <c r="Q44" s="385" t="n"/>
      <c r="R44" s="351" t="n"/>
      <c r="S44" s="40" t="inlineStr"/>
      <c r="T44" s="40" t="inlineStr"/>
      <c r="U44" s="41" t="inlineStr">
        <is>
          <t>кор</t>
        </is>
      </c>
      <c r="V44" s="386" t="n">
        <v>0</v>
      </c>
      <c r="W44" s="387">
        <f>IFERROR(IF(V44="","",V44),"")</f>
        <v/>
      </c>
      <c r="X44" s="42">
        <f>IFERROR(IF(V44="","",V44*0.0095),"")</f>
        <v/>
      </c>
      <c r="Y44" s="69" t="inlineStr"/>
      <c r="Z44" s="70" t="inlineStr"/>
      <c r="AD44" s="74" t="n"/>
      <c r="BA44" s="85" t="inlineStr">
        <is>
          <t>ПГП</t>
        </is>
      </c>
    </row>
    <row r="45" ht="27" customHeight="1">
      <c r="A45" s="64" t="inlineStr">
        <is>
          <t>SU002915</t>
        </is>
      </c>
      <c r="B45" s="64" t="inlineStr">
        <is>
          <t>P003341</t>
        </is>
      </c>
      <c r="C45" s="37" t="n">
        <v>4301190023</v>
      </c>
      <c r="D45" s="183" t="n">
        <v>4607111037060</v>
      </c>
      <c r="E45" s="351" t="n"/>
      <c r="F45" s="383" t="n">
        <v>0.2</v>
      </c>
      <c r="G45" s="38" t="n">
        <v>6</v>
      </c>
      <c r="H45" s="383" t="n">
        <v>1.2</v>
      </c>
      <c r="I45" s="383" t="n">
        <v>1.5918</v>
      </c>
      <c r="J45" s="38" t="n">
        <v>130</v>
      </c>
      <c r="K45" s="38" t="inlineStr">
        <is>
          <t>10</t>
        </is>
      </c>
      <c r="L45" s="39" t="inlineStr">
        <is>
          <t>МГ</t>
        </is>
      </c>
      <c r="M45" s="38" t="n">
        <v>365</v>
      </c>
      <c r="N45" s="401">
        <f>HYPERLINK("https://abi.ru/products/Замороженные/Горячая штучка/Чебупай/Изделия хлебобулочные/P003341/","«Чебупай спелая вишня» Фикс.вес 0,2 Лоток ТМ «Горячая штучка»")</f>
        <v/>
      </c>
      <c r="O45" s="385" t="n"/>
      <c r="P45" s="385" t="n"/>
      <c r="Q45" s="385" t="n"/>
      <c r="R45" s="351" t="n"/>
      <c r="S45" s="40" t="inlineStr"/>
      <c r="T45" s="40" t="inlineStr"/>
      <c r="U45" s="41" t="inlineStr">
        <is>
          <t>кор</t>
        </is>
      </c>
      <c r="V45" s="386" t="n">
        <v>0</v>
      </c>
      <c r="W45" s="387">
        <f>IFERROR(IF(V45="","",V45),"")</f>
        <v/>
      </c>
      <c r="X45" s="42">
        <f>IFERROR(IF(V45="","",V45*0.0095),"")</f>
        <v/>
      </c>
      <c r="Y45" s="69" t="inlineStr"/>
      <c r="Z45" s="70" t="inlineStr"/>
      <c r="AD45" s="74" t="n"/>
      <c r="BA45" s="86" t="inlineStr">
        <is>
          <t>ПГП</t>
        </is>
      </c>
    </row>
    <row r="46">
      <c r="A46" s="178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388" t="n"/>
      <c r="N46" s="389" t="inlineStr">
        <is>
          <t>Итого</t>
        </is>
      </c>
      <c r="O46" s="359" t="n"/>
      <c r="P46" s="359" t="n"/>
      <c r="Q46" s="359" t="n"/>
      <c r="R46" s="359" t="n"/>
      <c r="S46" s="359" t="n"/>
      <c r="T46" s="360" t="n"/>
      <c r="U46" s="43" t="inlineStr">
        <is>
          <t>кор</t>
        </is>
      </c>
      <c r="V46" s="390">
        <f>IFERROR(SUM(V44:V45),"0")</f>
        <v/>
      </c>
      <c r="W46" s="390">
        <f>IFERROR(SUM(W44:W45),"0")</f>
        <v/>
      </c>
      <c r="X46" s="390">
        <f>IFERROR(IF(X44="",0,X44),"0")+IFERROR(IF(X45="",0,X45),"0")</f>
        <v/>
      </c>
      <c r="Y46" s="391" t="n"/>
      <c r="Z46" s="39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388" t="n"/>
      <c r="N47" s="389" t="inlineStr">
        <is>
          <t>Итого</t>
        </is>
      </c>
      <c r="O47" s="359" t="n"/>
      <c r="P47" s="359" t="n"/>
      <c r="Q47" s="359" t="n"/>
      <c r="R47" s="359" t="n"/>
      <c r="S47" s="359" t="n"/>
      <c r="T47" s="360" t="n"/>
      <c r="U47" s="43" t="inlineStr">
        <is>
          <t>кг</t>
        </is>
      </c>
      <c r="V47" s="390">
        <f>IFERROR(SUMPRODUCT(V44:V45*H44:H45),"0")</f>
        <v/>
      </c>
      <c r="W47" s="390">
        <f>IFERROR(SUMPRODUCT(W44:W45*H44:H45),"0")</f>
        <v/>
      </c>
      <c r="X47" s="43" t="n"/>
      <c r="Y47" s="391" t="n"/>
      <c r="Z47" s="391" t="n"/>
    </row>
    <row r="48" ht="16.5" customHeight="1">
      <c r="A48" s="207" t="inlineStr">
        <is>
          <t>Бигбули ГШ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207" t="n"/>
      <c r="Z48" s="207" t="n"/>
    </row>
    <row r="49" ht="14.25" customHeight="1">
      <c r="A49" s="196" t="inlineStr">
        <is>
          <t>Пельмени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96" t="n"/>
      <c r="Z49" s="196" t="n"/>
    </row>
    <row r="50" ht="27" customHeight="1">
      <c r="A50" s="64" t="inlineStr">
        <is>
          <t>SU002771</t>
        </is>
      </c>
      <c r="B50" s="64" t="inlineStr">
        <is>
          <t>P003728</t>
        </is>
      </c>
      <c r="C50" s="37" t="n">
        <v>4301070989</v>
      </c>
      <c r="D50" s="183" t="n">
        <v>4607111037190</v>
      </c>
      <c r="E50" s="351" t="n"/>
      <c r="F50" s="383" t="n">
        <v>0.43</v>
      </c>
      <c r="G50" s="38" t="n">
        <v>16</v>
      </c>
      <c r="H50" s="383" t="n">
        <v>6.88</v>
      </c>
      <c r="I50" s="383" t="n">
        <v>7.1996</v>
      </c>
      <c r="J50" s="38" t="n">
        <v>84</v>
      </c>
      <c r="K50" s="38" t="inlineStr">
        <is>
          <t>12</t>
        </is>
      </c>
      <c r="L50" s="39" t="inlineStr">
        <is>
          <t>МГ</t>
        </is>
      </c>
      <c r="M50" s="38" t="n">
        <v>180</v>
      </c>
      <c r="N50" s="402">
        <f>HYPERLINK("https://abi.ru/products/Замороженные/Горячая штучка/Бигбули ГШ/Пельмени/P003728/","Пельмени «Бигбули #МЕГАВКУСИЩЕ с сочной грудинкой» 0,43 сфера ТМ «Горячая штучка»")</f>
        <v/>
      </c>
      <c r="O50" s="385" t="n"/>
      <c r="P50" s="385" t="n"/>
      <c r="Q50" s="385" t="n"/>
      <c r="R50" s="351" t="n"/>
      <c r="S50" s="40" t="inlineStr"/>
      <c r="T50" s="40" t="inlineStr"/>
      <c r="U50" s="41" t="inlineStr">
        <is>
          <t>кор</t>
        </is>
      </c>
      <c r="V50" s="386" t="n">
        <v>45</v>
      </c>
      <c r="W50" s="387">
        <f>IFERROR(IF(V50="","",V50),"")</f>
        <v/>
      </c>
      <c r="X50" s="42">
        <f>IFERROR(IF(V50="","",V50*0.0155),"")</f>
        <v/>
      </c>
      <c r="Y50" s="69" t="inlineStr"/>
      <c r="Z50" s="70" t="inlineStr"/>
      <c r="AD50" s="74" t="n"/>
      <c r="BA50" s="87" t="inlineStr">
        <is>
          <t>ЗПФ</t>
        </is>
      </c>
    </row>
    <row r="51" ht="27" customHeight="1">
      <c r="A51" s="64" t="inlineStr">
        <is>
          <t>SU002708</t>
        </is>
      </c>
      <c r="B51" s="64" t="inlineStr">
        <is>
          <t>P003682</t>
        </is>
      </c>
      <c r="C51" s="37" t="n">
        <v>4301070972</v>
      </c>
      <c r="D51" s="183" t="n">
        <v>4607111037183</v>
      </c>
      <c r="E51" s="351" t="n"/>
      <c r="F51" s="383" t="n">
        <v>0.9</v>
      </c>
      <c r="G51" s="38" t="n">
        <v>8</v>
      </c>
      <c r="H51" s="383" t="n">
        <v>7.2</v>
      </c>
      <c r="I51" s="383" t="n">
        <v>7.486</v>
      </c>
      <c r="J51" s="38" t="n">
        <v>84</v>
      </c>
      <c r="K51" s="38" t="inlineStr">
        <is>
          <t>12</t>
        </is>
      </c>
      <c r="L51" s="39" t="inlineStr">
        <is>
          <t>МГ</t>
        </is>
      </c>
      <c r="M51" s="38" t="n">
        <v>180</v>
      </c>
      <c r="N51" s="403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/>
      </c>
      <c r="O51" s="385" t="n"/>
      <c r="P51" s="385" t="n"/>
      <c r="Q51" s="385" t="n"/>
      <c r="R51" s="351" t="n"/>
      <c r="S51" s="40" t="inlineStr"/>
      <c r="T51" s="40" t="inlineStr"/>
      <c r="U51" s="41" t="inlineStr">
        <is>
          <t>кор</t>
        </is>
      </c>
      <c r="V51" s="386" t="n">
        <v>143</v>
      </c>
      <c r="W51" s="387">
        <f>IFERROR(IF(V51="","",V51),"")</f>
        <v/>
      </c>
      <c r="X51" s="42">
        <f>IFERROR(IF(V51="","",V51*0.0155),"")</f>
        <v/>
      </c>
      <c r="Y51" s="69" t="inlineStr"/>
      <c r="Z51" s="70" t="inlineStr"/>
      <c r="AD51" s="74" t="n"/>
      <c r="BA51" s="88" t="inlineStr">
        <is>
          <t>ЗПФ</t>
        </is>
      </c>
    </row>
    <row r="52" ht="27" customHeight="1">
      <c r="A52" s="64" t="inlineStr">
        <is>
          <t>SU002707</t>
        </is>
      </c>
      <c r="B52" s="64" t="inlineStr">
        <is>
          <t>P003680</t>
        </is>
      </c>
      <c r="C52" s="37" t="n">
        <v>4301070970</v>
      </c>
      <c r="D52" s="183" t="n">
        <v>4607111037091</v>
      </c>
      <c r="E52" s="351" t="n"/>
      <c r="F52" s="383" t="n">
        <v>0.43</v>
      </c>
      <c r="G52" s="38" t="n">
        <v>16</v>
      </c>
      <c r="H52" s="383" t="n">
        <v>6.88</v>
      </c>
      <c r="I52" s="383" t="n">
        <v>7.11</v>
      </c>
      <c r="J52" s="38" t="n">
        <v>84</v>
      </c>
      <c r="K52" s="38" t="inlineStr">
        <is>
          <t>12</t>
        </is>
      </c>
      <c r="L52" s="39" t="inlineStr">
        <is>
          <t>МГ</t>
        </is>
      </c>
      <c r="M52" s="38" t="n">
        <v>180</v>
      </c>
      <c r="N52" s="404">
        <f>HYPERLINK("https://abi.ru/products/Замороженные/Горячая штучка/Бигбули ГШ/Пельмени/P003680/","Пельмени «Бигбули #МЕГАМАСЛИЩЕ со сливочным маслом» 0,43 сфера ТМ «Горячая штучка»")</f>
        <v/>
      </c>
      <c r="O52" s="385" t="n"/>
      <c r="P52" s="385" t="n"/>
      <c r="Q52" s="385" t="n"/>
      <c r="R52" s="351" t="n"/>
      <c r="S52" s="40" t="inlineStr"/>
      <c r="T52" s="40" t="inlineStr"/>
      <c r="U52" s="41" t="inlineStr">
        <is>
          <t>кор</t>
        </is>
      </c>
      <c r="V52" s="386" t="n">
        <v>54</v>
      </c>
      <c r="W52" s="387">
        <f>IFERROR(IF(V52="","",V52),"")</f>
        <v/>
      </c>
      <c r="X52" s="42">
        <f>IFERROR(IF(V52="","",V52*0.0155),"")</f>
        <v/>
      </c>
      <c r="Y52" s="69" t="inlineStr"/>
      <c r="Z52" s="70" t="inlineStr"/>
      <c r="AD52" s="74" t="n"/>
      <c r="BA52" s="89" t="inlineStr">
        <is>
          <t>ЗПФ</t>
        </is>
      </c>
    </row>
    <row r="53" ht="27" customHeight="1">
      <c r="A53" s="64" t="inlineStr">
        <is>
          <t>SU002838</t>
        </is>
      </c>
      <c r="B53" s="64" t="inlineStr">
        <is>
          <t>P003681</t>
        </is>
      </c>
      <c r="C53" s="37" t="n">
        <v>4301070971</v>
      </c>
      <c r="D53" s="183" t="n">
        <v>4607111036902</v>
      </c>
      <c r="E53" s="351" t="n"/>
      <c r="F53" s="383" t="n">
        <v>0.9</v>
      </c>
      <c r="G53" s="38" t="n">
        <v>8</v>
      </c>
      <c r="H53" s="383" t="n">
        <v>7.2</v>
      </c>
      <c r="I53" s="383" t="n">
        <v>7.43</v>
      </c>
      <c r="J53" s="38" t="n">
        <v>84</v>
      </c>
      <c r="K53" s="38" t="inlineStr">
        <is>
          <t>12</t>
        </is>
      </c>
      <c r="L53" s="39" t="inlineStr">
        <is>
          <t>МГ</t>
        </is>
      </c>
      <c r="M53" s="38" t="n">
        <v>180</v>
      </c>
      <c r="N53" s="405">
        <f>HYPERLINK("https://abi.ru/products/Замороженные/Горячая штучка/Бигбули ГШ/Пельмени/P003681/","Пельмени «Бигбули #МЕГАМАСЛИЩЕ со сливочным маслом» ф/в 0,9 ТМ «Горячая штучка»")</f>
        <v/>
      </c>
      <c r="O53" s="385" t="n"/>
      <c r="P53" s="385" t="n"/>
      <c r="Q53" s="385" t="n"/>
      <c r="R53" s="351" t="n"/>
      <c r="S53" s="40" t="inlineStr"/>
      <c r="T53" s="40" t="inlineStr"/>
      <c r="U53" s="41" t="inlineStr">
        <is>
          <t>кор</t>
        </is>
      </c>
      <c r="V53" s="386" t="n">
        <v>0</v>
      </c>
      <c r="W53" s="387">
        <f>IFERROR(IF(V53="","",V53),"")</f>
        <v/>
      </c>
      <c r="X53" s="42">
        <f>IFERROR(IF(V53="","",V53*0.0155),"")</f>
        <v/>
      </c>
      <c r="Y53" s="69" t="inlineStr"/>
      <c r="Z53" s="70" t="inlineStr"/>
      <c r="AD53" s="74" t="n"/>
      <c r="BA53" s="90" t="inlineStr">
        <is>
          <t>ЗПФ</t>
        </is>
      </c>
    </row>
    <row r="54" ht="27" customHeight="1">
      <c r="A54" s="64" t="inlineStr">
        <is>
          <t>SU002625</t>
        </is>
      </c>
      <c r="B54" s="64" t="inlineStr">
        <is>
          <t>P003679</t>
        </is>
      </c>
      <c r="C54" s="37" t="n">
        <v>4301070969</v>
      </c>
      <c r="D54" s="183" t="n">
        <v>4607111036858</v>
      </c>
      <c r="E54" s="351" t="n"/>
      <c r="F54" s="383" t="n">
        <v>0.43</v>
      </c>
      <c r="G54" s="38" t="n">
        <v>16</v>
      </c>
      <c r="H54" s="383" t="n">
        <v>6.88</v>
      </c>
      <c r="I54" s="383" t="n">
        <v>7.1996</v>
      </c>
      <c r="J54" s="38" t="n">
        <v>84</v>
      </c>
      <c r="K54" s="38" t="inlineStr">
        <is>
          <t>12</t>
        </is>
      </c>
      <c r="L54" s="39" t="inlineStr">
        <is>
          <t>МГ</t>
        </is>
      </c>
      <c r="M54" s="38" t="n">
        <v>180</v>
      </c>
      <c r="N54" s="406">
        <f>HYPERLINK("https://abi.ru/products/Замороженные/Горячая штучка/Бигбули ГШ/Пельмени/P003679/","Пельмени «Бигбули с мясом» 0,43 Сфера ТМ «Горячая штучка»")</f>
        <v/>
      </c>
      <c r="O54" s="385" t="n"/>
      <c r="P54" s="385" t="n"/>
      <c r="Q54" s="385" t="n"/>
      <c r="R54" s="351" t="n"/>
      <c r="S54" s="40" t="inlineStr"/>
      <c r="T54" s="40" t="inlineStr"/>
      <c r="U54" s="41" t="inlineStr">
        <is>
          <t>кор</t>
        </is>
      </c>
      <c r="V54" s="386" t="n">
        <v>0</v>
      </c>
      <c r="W54" s="387">
        <f>IFERROR(IF(V54="","",V54),"")</f>
        <v/>
      </c>
      <c r="X54" s="42">
        <f>IFERROR(IF(V54="","",V54*0.0155),"")</f>
        <v/>
      </c>
      <c r="Y54" s="69" t="inlineStr"/>
      <c r="Z54" s="70" t="inlineStr"/>
      <c r="AD54" s="74" t="n"/>
      <c r="BA54" s="91" t="inlineStr">
        <is>
          <t>ЗПФ</t>
        </is>
      </c>
    </row>
    <row r="55" ht="27" customHeight="1">
      <c r="A55" s="64" t="inlineStr">
        <is>
          <t>SU002624</t>
        </is>
      </c>
      <c r="B55" s="64" t="inlineStr">
        <is>
          <t>P003678</t>
        </is>
      </c>
      <c r="C55" s="37" t="n">
        <v>4301070968</v>
      </c>
      <c r="D55" s="183" t="n">
        <v>4607111036889</v>
      </c>
      <c r="E55" s="351" t="n"/>
      <c r="F55" s="383" t="n">
        <v>0.9</v>
      </c>
      <c r="G55" s="38" t="n">
        <v>8</v>
      </c>
      <c r="H55" s="383" t="n">
        <v>7.2</v>
      </c>
      <c r="I55" s="383" t="n">
        <v>7.486</v>
      </c>
      <c r="J55" s="38" t="n">
        <v>84</v>
      </c>
      <c r="K55" s="38" t="inlineStr">
        <is>
          <t>12</t>
        </is>
      </c>
      <c r="L55" s="39" t="inlineStr">
        <is>
          <t>МГ</t>
        </is>
      </c>
      <c r="M55" s="38" t="n">
        <v>180</v>
      </c>
      <c r="N55" s="407">
        <f>HYPERLINK("https://abi.ru/products/Замороженные/Горячая штучка/Бигбули ГШ/Пельмени/P003678/","Пельмени «Бигбули с мясом» 0,9 Сфера ТМ «Горячая штучка»")</f>
        <v/>
      </c>
      <c r="O55" s="385" t="n"/>
      <c r="P55" s="385" t="n"/>
      <c r="Q55" s="385" t="n"/>
      <c r="R55" s="351" t="n"/>
      <c r="S55" s="40" t="inlineStr"/>
      <c r="T55" s="40" t="inlineStr"/>
      <c r="U55" s="41" t="inlineStr">
        <is>
          <t>кор</t>
        </is>
      </c>
      <c r="V55" s="386" t="n">
        <v>0</v>
      </c>
      <c r="W55" s="387">
        <f>IFERROR(IF(V55="","",V55),"")</f>
        <v/>
      </c>
      <c r="X55" s="42">
        <f>IFERROR(IF(V55="","",V55*0.0155),"")</f>
        <v/>
      </c>
      <c r="Y55" s="69" t="inlineStr"/>
      <c r="Z55" s="70" t="inlineStr"/>
      <c r="AD55" s="74" t="n"/>
      <c r="BA55" s="92" t="inlineStr">
        <is>
          <t>ЗПФ</t>
        </is>
      </c>
    </row>
    <row r="56">
      <c r="A56" s="178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388" t="n"/>
      <c r="N56" s="389" t="inlineStr">
        <is>
          <t>Итого</t>
        </is>
      </c>
      <c r="O56" s="359" t="n"/>
      <c r="P56" s="359" t="n"/>
      <c r="Q56" s="359" t="n"/>
      <c r="R56" s="359" t="n"/>
      <c r="S56" s="359" t="n"/>
      <c r="T56" s="360" t="n"/>
      <c r="U56" s="43" t="inlineStr">
        <is>
          <t>кор</t>
        </is>
      </c>
      <c r="V56" s="390">
        <f>IFERROR(SUM(V50:V55),"0")</f>
        <v/>
      </c>
      <c r="W56" s="390">
        <f>IFERROR(SUM(W50:W55),"0")</f>
        <v/>
      </c>
      <c r="X56" s="390">
        <f>IFERROR(IF(X50="",0,X50),"0")+IFERROR(IF(X51="",0,X51),"0")+IFERROR(IF(X52="",0,X52),"0")+IFERROR(IF(X53="",0,X53),"0")+IFERROR(IF(X54="",0,X54),"0")+IFERROR(IF(X55="",0,X55),"0")</f>
        <v/>
      </c>
      <c r="Y56" s="391" t="n"/>
      <c r="Z56" s="39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388" t="n"/>
      <c r="N57" s="389" t="inlineStr">
        <is>
          <t>Итого</t>
        </is>
      </c>
      <c r="O57" s="359" t="n"/>
      <c r="P57" s="359" t="n"/>
      <c r="Q57" s="359" t="n"/>
      <c r="R57" s="359" t="n"/>
      <c r="S57" s="359" t="n"/>
      <c r="T57" s="360" t="n"/>
      <c r="U57" s="43" t="inlineStr">
        <is>
          <t>кг</t>
        </is>
      </c>
      <c r="V57" s="390">
        <f>IFERROR(SUMPRODUCT(V50:V55*H50:H55),"0")</f>
        <v/>
      </c>
      <c r="W57" s="390">
        <f>IFERROR(SUMPRODUCT(W50:W55*H50:H55),"0")</f>
        <v/>
      </c>
      <c r="X57" s="43" t="n"/>
      <c r="Y57" s="391" t="n"/>
      <c r="Z57" s="391" t="n"/>
    </row>
    <row r="58" ht="16.5" customHeight="1">
      <c r="A58" s="207" t="inlineStr">
        <is>
          <t>Бульмени вес ГШ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207" t="n"/>
      <c r="Z58" s="207" t="n"/>
    </row>
    <row r="59" ht="14.25" customHeight="1">
      <c r="A59" s="196" t="inlineStr">
        <is>
          <t>Пельмени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96" t="n"/>
      <c r="Z59" s="196" t="n"/>
    </row>
    <row r="60" ht="27" customHeight="1">
      <c r="A60" s="64" t="inlineStr">
        <is>
          <t>SU002798</t>
        </is>
      </c>
      <c r="B60" s="64" t="inlineStr">
        <is>
          <t>P003687</t>
        </is>
      </c>
      <c r="C60" s="37" t="n">
        <v>4301070977</v>
      </c>
      <c r="D60" s="183" t="n">
        <v>4607111037411</v>
      </c>
      <c r="E60" s="351" t="n"/>
      <c r="F60" s="383" t="n">
        <v>2.7</v>
      </c>
      <c r="G60" s="38" t="n">
        <v>1</v>
      </c>
      <c r="H60" s="383" t="n">
        <v>2.7</v>
      </c>
      <c r="I60" s="383" t="n">
        <v>2.8132</v>
      </c>
      <c r="J60" s="38" t="n">
        <v>234</v>
      </c>
      <c r="K60" s="38" t="inlineStr">
        <is>
          <t>18</t>
        </is>
      </c>
      <c r="L60" s="39" t="inlineStr">
        <is>
          <t>МГ</t>
        </is>
      </c>
      <c r="M60" s="38" t="n">
        <v>180</v>
      </c>
      <c r="N60" s="408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/>
      </c>
      <c r="O60" s="385" t="n"/>
      <c r="P60" s="385" t="n"/>
      <c r="Q60" s="385" t="n"/>
      <c r="R60" s="351" t="n"/>
      <c r="S60" s="40" t="inlineStr"/>
      <c r="T60" s="40" t="inlineStr"/>
      <c r="U60" s="41" t="inlineStr">
        <is>
          <t>кор</t>
        </is>
      </c>
      <c r="V60" s="386" t="n">
        <v>0</v>
      </c>
      <c r="W60" s="387">
        <f>IFERROR(IF(V60="","",V60),"")</f>
        <v/>
      </c>
      <c r="X60" s="42">
        <f>IFERROR(IF(V60="","",V60*0.00502),"")</f>
        <v/>
      </c>
      <c r="Y60" s="69" t="inlineStr"/>
      <c r="Z60" s="70" t="inlineStr"/>
      <c r="AD60" s="74" t="n"/>
      <c r="BA60" s="93" t="inlineStr">
        <is>
          <t>ЗПФ</t>
        </is>
      </c>
    </row>
    <row r="61" ht="27" customHeight="1">
      <c r="A61" s="64" t="inlineStr">
        <is>
          <t>SU002595</t>
        </is>
      </c>
      <c r="B61" s="64" t="inlineStr">
        <is>
          <t>P003697</t>
        </is>
      </c>
      <c r="C61" s="37" t="n">
        <v>4301070981</v>
      </c>
      <c r="D61" s="183" t="n">
        <v>4607111036728</v>
      </c>
      <c r="E61" s="351" t="n"/>
      <c r="F61" s="383" t="n">
        <v>5</v>
      </c>
      <c r="G61" s="38" t="n">
        <v>1</v>
      </c>
      <c r="H61" s="383" t="n">
        <v>5</v>
      </c>
      <c r="I61" s="383" t="n">
        <v>5.2132</v>
      </c>
      <c r="J61" s="38" t="n">
        <v>144</v>
      </c>
      <c r="K61" s="38" t="inlineStr">
        <is>
          <t>12</t>
        </is>
      </c>
      <c r="L61" s="39" t="inlineStr">
        <is>
          <t>МГ</t>
        </is>
      </c>
      <c r="M61" s="38" t="n">
        <v>180</v>
      </c>
      <c r="N61" s="409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/>
      </c>
      <c r="O61" s="385" t="n"/>
      <c r="P61" s="385" t="n"/>
      <c r="Q61" s="385" t="n"/>
      <c r="R61" s="351" t="n"/>
      <c r="S61" s="40" t="inlineStr"/>
      <c r="T61" s="40" t="inlineStr"/>
      <c r="U61" s="41" t="inlineStr">
        <is>
          <t>кор</t>
        </is>
      </c>
      <c r="V61" s="386" t="n">
        <v>0</v>
      </c>
      <c r="W61" s="387">
        <f>IFERROR(IF(V61="","",V61),"")</f>
        <v/>
      </c>
      <c r="X61" s="42">
        <f>IFERROR(IF(V61="","",V61*0.00866),"")</f>
        <v/>
      </c>
      <c r="Y61" s="69" t="inlineStr"/>
      <c r="Z61" s="70" t="inlineStr"/>
      <c r="AD61" s="74" t="n"/>
      <c r="BA61" s="94" t="inlineStr">
        <is>
          <t>ЗПФ</t>
        </is>
      </c>
    </row>
    <row r="62">
      <c r="A62" s="178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388" t="n"/>
      <c r="N62" s="389" t="inlineStr">
        <is>
          <t>Итого</t>
        </is>
      </c>
      <c r="O62" s="359" t="n"/>
      <c r="P62" s="359" t="n"/>
      <c r="Q62" s="359" t="n"/>
      <c r="R62" s="359" t="n"/>
      <c r="S62" s="359" t="n"/>
      <c r="T62" s="360" t="n"/>
      <c r="U62" s="43" t="inlineStr">
        <is>
          <t>кор</t>
        </is>
      </c>
      <c r="V62" s="390">
        <f>IFERROR(SUM(V60:V61),"0")</f>
        <v/>
      </c>
      <c r="W62" s="390">
        <f>IFERROR(SUM(W60:W61),"0")</f>
        <v/>
      </c>
      <c r="X62" s="390">
        <f>IFERROR(IF(X60="",0,X60),"0")+IFERROR(IF(X61="",0,X61),"0")</f>
        <v/>
      </c>
      <c r="Y62" s="391" t="n"/>
      <c r="Z62" s="39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388" t="n"/>
      <c r="N63" s="389" t="inlineStr">
        <is>
          <t>Итого</t>
        </is>
      </c>
      <c r="O63" s="359" t="n"/>
      <c r="P63" s="359" t="n"/>
      <c r="Q63" s="359" t="n"/>
      <c r="R63" s="359" t="n"/>
      <c r="S63" s="359" t="n"/>
      <c r="T63" s="360" t="n"/>
      <c r="U63" s="43" t="inlineStr">
        <is>
          <t>кг</t>
        </is>
      </c>
      <c r="V63" s="390">
        <f>IFERROR(SUMPRODUCT(V60:V61*H60:H61),"0")</f>
        <v/>
      </c>
      <c r="W63" s="390">
        <f>IFERROR(SUMPRODUCT(W60:W61*H60:H61),"0")</f>
        <v/>
      </c>
      <c r="X63" s="43" t="n"/>
      <c r="Y63" s="391" t="n"/>
      <c r="Z63" s="391" t="n"/>
    </row>
    <row r="64" ht="16.5" customHeight="1">
      <c r="A64" s="207" t="inlineStr">
        <is>
          <t>Бельмеши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207" t="n"/>
      <c r="Z64" s="207" t="n"/>
    </row>
    <row r="65" ht="14.25" customHeight="1">
      <c r="A65" s="196" t="inlineStr">
        <is>
          <t>Снеки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96" t="n"/>
      <c r="Z65" s="196" t="n"/>
    </row>
    <row r="66" ht="27" customHeight="1">
      <c r="A66" s="64" t="inlineStr">
        <is>
          <t>SU002560</t>
        </is>
      </c>
      <c r="B66" s="64" t="inlineStr">
        <is>
          <t>P002878</t>
        </is>
      </c>
      <c r="C66" s="37" t="n">
        <v>4301135113</v>
      </c>
      <c r="D66" s="183" t="n">
        <v>4607111033659</v>
      </c>
      <c r="E66" s="351" t="n"/>
      <c r="F66" s="383" t="n">
        <v>0.3</v>
      </c>
      <c r="G66" s="38" t="n">
        <v>12</v>
      </c>
      <c r="H66" s="383" t="n">
        <v>3.6</v>
      </c>
      <c r="I66" s="383" t="n">
        <v>4.3036</v>
      </c>
      <c r="J66" s="38" t="n">
        <v>70</v>
      </c>
      <c r="K66" s="38" t="inlineStr">
        <is>
          <t>14</t>
        </is>
      </c>
      <c r="L66" s="39" t="inlineStr">
        <is>
          <t>МГ</t>
        </is>
      </c>
      <c r="M66" s="38" t="n">
        <v>180</v>
      </c>
      <c r="N66" s="410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/>
      </c>
      <c r="O66" s="385" t="n"/>
      <c r="P66" s="385" t="n"/>
      <c r="Q66" s="385" t="n"/>
      <c r="R66" s="351" t="n"/>
      <c r="S66" s="40" t="inlineStr"/>
      <c r="T66" s="40" t="inlineStr"/>
      <c r="U66" s="41" t="inlineStr">
        <is>
          <t>кор</t>
        </is>
      </c>
      <c r="V66" s="386" t="n">
        <v>33</v>
      </c>
      <c r="W66" s="387">
        <f>IFERROR(IF(V66="","",V66),"")</f>
        <v/>
      </c>
      <c r="X66" s="42">
        <f>IFERROR(IF(V66="","",V66*0.01788),"")</f>
        <v/>
      </c>
      <c r="Y66" s="69" t="inlineStr"/>
      <c r="Z66" s="70" t="inlineStr"/>
      <c r="AD66" s="74" t="n"/>
      <c r="BA66" s="95" t="inlineStr">
        <is>
          <t>ПГП</t>
        </is>
      </c>
    </row>
    <row r="67">
      <c r="A67" s="178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388" t="n"/>
      <c r="N67" s="389" t="inlineStr">
        <is>
          <t>Итого</t>
        </is>
      </c>
      <c r="O67" s="359" t="n"/>
      <c r="P67" s="359" t="n"/>
      <c r="Q67" s="359" t="n"/>
      <c r="R67" s="359" t="n"/>
      <c r="S67" s="359" t="n"/>
      <c r="T67" s="360" t="n"/>
      <c r="U67" s="43" t="inlineStr">
        <is>
          <t>кор</t>
        </is>
      </c>
      <c r="V67" s="390">
        <f>IFERROR(SUM(V66:V66),"0")</f>
        <v/>
      </c>
      <c r="W67" s="390">
        <f>IFERROR(SUM(W66:W66),"0")</f>
        <v/>
      </c>
      <c r="X67" s="390">
        <f>IFERROR(IF(X66="",0,X66),"0")</f>
        <v/>
      </c>
      <c r="Y67" s="391" t="n"/>
      <c r="Z67" s="39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388" t="n"/>
      <c r="N68" s="389" t="inlineStr">
        <is>
          <t>Итого</t>
        </is>
      </c>
      <c r="O68" s="359" t="n"/>
      <c r="P68" s="359" t="n"/>
      <c r="Q68" s="359" t="n"/>
      <c r="R68" s="359" t="n"/>
      <c r="S68" s="359" t="n"/>
      <c r="T68" s="360" t="n"/>
      <c r="U68" s="43" t="inlineStr">
        <is>
          <t>кг</t>
        </is>
      </c>
      <c r="V68" s="390">
        <f>IFERROR(SUMPRODUCT(V66:V66*H66:H66),"0")</f>
        <v/>
      </c>
      <c r="W68" s="390">
        <f>IFERROR(SUMPRODUCT(W66:W66*H66:H66),"0")</f>
        <v/>
      </c>
      <c r="X68" s="43" t="n"/>
      <c r="Y68" s="391" t="n"/>
      <c r="Z68" s="391" t="n"/>
    </row>
    <row r="69" ht="16.5" customHeight="1">
      <c r="A69" s="207" t="inlineStr">
        <is>
          <t>Крылышки ГШ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207" t="n"/>
      <c r="Z69" s="207" t="n"/>
    </row>
    <row r="70" ht="14.25" customHeight="1">
      <c r="A70" s="196" t="inlineStr">
        <is>
          <t>Крылья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96" t="n"/>
      <c r="Z70" s="196" t="n"/>
    </row>
    <row r="71" ht="27" customHeight="1">
      <c r="A71" s="64" t="inlineStr">
        <is>
          <t>SU002564</t>
        </is>
      </c>
      <c r="B71" s="64" t="inlineStr">
        <is>
          <t>P002882</t>
        </is>
      </c>
      <c r="C71" s="37" t="n">
        <v>4301131012</v>
      </c>
      <c r="D71" s="183" t="n">
        <v>4607111034137</v>
      </c>
      <c r="E71" s="351" t="n"/>
      <c r="F71" s="383" t="n">
        <v>0.3</v>
      </c>
      <c r="G71" s="38" t="n">
        <v>12</v>
      </c>
      <c r="H71" s="383" t="n">
        <v>3.6</v>
      </c>
      <c r="I71" s="383" t="n">
        <v>4.3036</v>
      </c>
      <c r="J71" s="38" t="n">
        <v>70</v>
      </c>
      <c r="K71" s="38" t="inlineStr">
        <is>
          <t>14</t>
        </is>
      </c>
      <c r="L71" s="39" t="inlineStr">
        <is>
          <t>МГ</t>
        </is>
      </c>
      <c r="M71" s="38" t="n">
        <v>180</v>
      </c>
      <c r="N71" s="411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/>
      </c>
      <c r="O71" s="385" t="n"/>
      <c r="P71" s="385" t="n"/>
      <c r="Q71" s="385" t="n"/>
      <c r="R71" s="351" t="n"/>
      <c r="S71" s="40" t="inlineStr"/>
      <c r="T71" s="40" t="inlineStr"/>
      <c r="U71" s="41" t="inlineStr">
        <is>
          <t>кор</t>
        </is>
      </c>
      <c r="V71" s="386" t="n">
        <v>68</v>
      </c>
      <c r="W71" s="387">
        <f>IFERROR(IF(V71="","",V71),"")</f>
        <v/>
      </c>
      <c r="X71" s="42">
        <f>IFERROR(IF(V71="","",V71*0.01788),"")</f>
        <v/>
      </c>
      <c r="Y71" s="69" t="inlineStr"/>
      <c r="Z71" s="70" t="inlineStr"/>
      <c r="AD71" s="74" t="n"/>
      <c r="BA71" s="96" t="inlineStr">
        <is>
          <t>ПГП</t>
        </is>
      </c>
    </row>
    <row r="72" ht="27" customHeight="1">
      <c r="A72" s="64" t="inlineStr">
        <is>
          <t>SU002563</t>
        </is>
      </c>
      <c r="B72" s="64" t="inlineStr">
        <is>
          <t>P002881</t>
        </is>
      </c>
      <c r="C72" s="37" t="n">
        <v>4301131011</v>
      </c>
      <c r="D72" s="183" t="n">
        <v>4607111034120</v>
      </c>
      <c r="E72" s="351" t="n"/>
      <c r="F72" s="383" t="n">
        <v>0.3</v>
      </c>
      <c r="G72" s="38" t="n">
        <v>12</v>
      </c>
      <c r="H72" s="383" t="n">
        <v>3.6</v>
      </c>
      <c r="I72" s="383" t="n">
        <v>4.3036</v>
      </c>
      <c r="J72" s="38" t="n">
        <v>70</v>
      </c>
      <c r="K72" s="38" t="inlineStr">
        <is>
          <t>14</t>
        </is>
      </c>
      <c r="L72" s="39" t="inlineStr">
        <is>
          <t>МГ</t>
        </is>
      </c>
      <c r="M72" s="38" t="n">
        <v>180</v>
      </c>
      <c r="N72" s="412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/>
      </c>
      <c r="O72" s="385" t="n"/>
      <c r="P72" s="385" t="n"/>
      <c r="Q72" s="385" t="n"/>
      <c r="R72" s="351" t="n"/>
      <c r="S72" s="40" t="inlineStr"/>
      <c r="T72" s="40" t="inlineStr"/>
      <c r="U72" s="41" t="inlineStr">
        <is>
          <t>кор</t>
        </is>
      </c>
      <c r="V72" s="386" t="n">
        <v>75</v>
      </c>
      <c r="W72" s="387">
        <f>IFERROR(IF(V72="","",V72),"")</f>
        <v/>
      </c>
      <c r="X72" s="42">
        <f>IFERROR(IF(V72="","",V72*0.01788),"")</f>
        <v/>
      </c>
      <c r="Y72" s="69" t="inlineStr"/>
      <c r="Z72" s="70" t="inlineStr"/>
      <c r="AD72" s="74" t="n"/>
      <c r="BA72" s="97" t="inlineStr">
        <is>
          <t>ПГП</t>
        </is>
      </c>
    </row>
    <row r="73">
      <c r="A73" s="178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388" t="n"/>
      <c r="N73" s="389" t="inlineStr">
        <is>
          <t>Итого</t>
        </is>
      </c>
      <c r="O73" s="359" t="n"/>
      <c r="P73" s="359" t="n"/>
      <c r="Q73" s="359" t="n"/>
      <c r="R73" s="359" t="n"/>
      <c r="S73" s="359" t="n"/>
      <c r="T73" s="360" t="n"/>
      <c r="U73" s="43" t="inlineStr">
        <is>
          <t>кор</t>
        </is>
      </c>
      <c r="V73" s="390">
        <f>IFERROR(SUM(V71:V72),"0")</f>
        <v/>
      </c>
      <c r="W73" s="390">
        <f>IFERROR(SUM(W71:W72),"0")</f>
        <v/>
      </c>
      <c r="X73" s="390">
        <f>IFERROR(IF(X71="",0,X71),"0")+IFERROR(IF(X72="",0,X72),"0")</f>
        <v/>
      </c>
      <c r="Y73" s="391" t="n"/>
      <c r="Z73" s="39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388" t="n"/>
      <c r="N74" s="389" t="inlineStr">
        <is>
          <t>Итого</t>
        </is>
      </c>
      <c r="O74" s="359" t="n"/>
      <c r="P74" s="359" t="n"/>
      <c r="Q74" s="359" t="n"/>
      <c r="R74" s="359" t="n"/>
      <c r="S74" s="359" t="n"/>
      <c r="T74" s="360" t="n"/>
      <c r="U74" s="43" t="inlineStr">
        <is>
          <t>кг</t>
        </is>
      </c>
      <c r="V74" s="390">
        <f>IFERROR(SUMPRODUCT(V71:V72*H71:H72),"0")</f>
        <v/>
      </c>
      <c r="W74" s="390">
        <f>IFERROR(SUMPRODUCT(W71:W72*H71:H72),"0")</f>
        <v/>
      </c>
      <c r="X74" s="43" t="n"/>
      <c r="Y74" s="391" t="n"/>
      <c r="Z74" s="391" t="n"/>
    </row>
    <row r="75" ht="16.5" customHeight="1">
      <c r="A75" s="207" t="inlineStr">
        <is>
          <t>Чебупели</t>
        </is>
      </c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207" t="n"/>
      <c r="Z75" s="207" t="n"/>
    </row>
    <row r="76" ht="14.25" customHeight="1">
      <c r="A76" s="196" t="inlineStr">
        <is>
          <t>Снеки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96" t="n"/>
      <c r="Z76" s="196" t="n"/>
    </row>
    <row r="77" ht="27" customHeight="1">
      <c r="A77" s="64" t="inlineStr">
        <is>
          <t>SU002293</t>
        </is>
      </c>
      <c r="B77" s="64" t="inlineStr">
        <is>
          <t>P002566</t>
        </is>
      </c>
      <c r="C77" s="37" t="n">
        <v>4301135053</v>
      </c>
      <c r="D77" s="183" t="n">
        <v>4607111036407</v>
      </c>
      <c r="E77" s="351" t="n"/>
      <c r="F77" s="383" t="n">
        <v>0.3</v>
      </c>
      <c r="G77" s="38" t="n">
        <v>14</v>
      </c>
      <c r="H77" s="383" t="n">
        <v>4.2</v>
      </c>
      <c r="I77" s="383" t="n">
        <v>4.5292</v>
      </c>
      <c r="J77" s="38" t="n">
        <v>70</v>
      </c>
      <c r="K77" s="38" t="inlineStr">
        <is>
          <t>14</t>
        </is>
      </c>
      <c r="L77" s="39" t="inlineStr">
        <is>
          <t>МГ</t>
        </is>
      </c>
      <c r="M77" s="38" t="n">
        <v>180</v>
      </c>
      <c r="N77" s="413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/>
      </c>
      <c r="O77" s="385" t="n"/>
      <c r="P77" s="385" t="n"/>
      <c r="Q77" s="385" t="n"/>
      <c r="R77" s="351" t="n"/>
      <c r="S77" s="40" t="inlineStr"/>
      <c r="T77" s="40" t="inlineStr"/>
      <c r="U77" s="41" t="inlineStr">
        <is>
          <t>кор</t>
        </is>
      </c>
      <c r="V77" s="386" t="n">
        <v>0</v>
      </c>
      <c r="W77" s="387">
        <f>IFERROR(IF(V77="","",V77),"")</f>
        <v/>
      </c>
      <c r="X77" s="42">
        <f>IFERROR(IF(V77="","",V77*0.01788),"")</f>
        <v/>
      </c>
      <c r="Y77" s="69" t="inlineStr"/>
      <c r="Z77" s="70" t="inlineStr"/>
      <c r="AD77" s="74" t="n"/>
      <c r="BA77" s="98" t="inlineStr">
        <is>
          <t>ПГП</t>
        </is>
      </c>
    </row>
    <row r="78" ht="16.5" customHeight="1">
      <c r="A78" s="64" t="inlineStr">
        <is>
          <t>SU002568</t>
        </is>
      </c>
      <c r="B78" s="64" t="inlineStr">
        <is>
          <t>P002892</t>
        </is>
      </c>
      <c r="C78" s="37" t="n">
        <v>4301135122</v>
      </c>
      <c r="D78" s="183" t="n">
        <v>4607111033628</v>
      </c>
      <c r="E78" s="351" t="n"/>
      <c r="F78" s="383" t="n">
        <v>0.3</v>
      </c>
      <c r="G78" s="38" t="n">
        <v>12</v>
      </c>
      <c r="H78" s="383" t="n">
        <v>3.6</v>
      </c>
      <c r="I78" s="383" t="n">
        <v>4.3036</v>
      </c>
      <c r="J78" s="38" t="n">
        <v>70</v>
      </c>
      <c r="K78" s="38" t="inlineStr">
        <is>
          <t>14</t>
        </is>
      </c>
      <c r="L78" s="39" t="inlineStr">
        <is>
          <t>МГ</t>
        </is>
      </c>
      <c r="M78" s="38" t="n">
        <v>180</v>
      </c>
      <c r="N78" s="414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/>
      </c>
      <c r="O78" s="385" t="n"/>
      <c r="P78" s="385" t="n"/>
      <c r="Q78" s="385" t="n"/>
      <c r="R78" s="351" t="n"/>
      <c r="S78" s="40" t="inlineStr"/>
      <c r="T78" s="40" t="inlineStr"/>
      <c r="U78" s="41" t="inlineStr">
        <is>
          <t>кор</t>
        </is>
      </c>
      <c r="V78" s="386" t="n">
        <v>70</v>
      </c>
      <c r="W78" s="387">
        <f>IFERROR(IF(V78="","",V78),"")</f>
        <v/>
      </c>
      <c r="X78" s="42">
        <f>IFERROR(IF(V78="","",V78*0.01788),"")</f>
        <v/>
      </c>
      <c r="Y78" s="69" t="inlineStr"/>
      <c r="Z78" s="70" t="inlineStr"/>
      <c r="AD78" s="74" t="n"/>
      <c r="BA78" s="99" t="inlineStr">
        <is>
          <t>ПГП</t>
        </is>
      </c>
    </row>
    <row r="79" ht="27" customHeight="1">
      <c r="A79" s="64" t="inlineStr">
        <is>
          <t>SU000419</t>
        </is>
      </c>
      <c r="B79" s="64" t="inlineStr">
        <is>
          <t>P000419</t>
        </is>
      </c>
      <c r="C79" s="37" t="n">
        <v>4301130400</v>
      </c>
      <c r="D79" s="183" t="n">
        <v>4607111033451</v>
      </c>
      <c r="E79" s="351" t="n"/>
      <c r="F79" s="383" t="n">
        <v>0.3</v>
      </c>
      <c r="G79" s="38" t="n">
        <v>12</v>
      </c>
      <c r="H79" s="383" t="n">
        <v>3.6</v>
      </c>
      <c r="I79" s="383" t="n">
        <v>4.3036</v>
      </c>
      <c r="J79" s="38" t="n">
        <v>70</v>
      </c>
      <c r="K79" s="38" t="inlineStr">
        <is>
          <t>14</t>
        </is>
      </c>
      <c r="L79" s="39" t="inlineStr">
        <is>
          <t>МГ</t>
        </is>
      </c>
      <c r="M79" s="38" t="n">
        <v>180</v>
      </c>
      <c r="N79" s="415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/>
      </c>
      <c r="O79" s="385" t="n"/>
      <c r="P79" s="385" t="n"/>
      <c r="Q79" s="385" t="n"/>
      <c r="R79" s="351" t="n"/>
      <c r="S79" s="40" t="inlineStr"/>
      <c r="T79" s="40" t="inlineStr"/>
      <c r="U79" s="41" t="inlineStr">
        <is>
          <t>кор</t>
        </is>
      </c>
      <c r="V79" s="386" t="n">
        <v>62</v>
      </c>
      <c r="W79" s="387">
        <f>IFERROR(IF(V79="","",V79),"")</f>
        <v/>
      </c>
      <c r="X79" s="42">
        <f>IFERROR(IF(V79="","",V79*0.01788),"")</f>
        <v/>
      </c>
      <c r="Y79" s="69" t="inlineStr"/>
      <c r="Z79" s="70" t="inlineStr"/>
      <c r="AD79" s="74" t="n"/>
      <c r="BA79" s="100" t="inlineStr">
        <is>
          <t>ПГП</t>
        </is>
      </c>
    </row>
    <row r="80" ht="27" customHeight="1">
      <c r="A80" s="64" t="inlineStr">
        <is>
          <t>SU002572</t>
        </is>
      </c>
      <c r="B80" s="64" t="inlineStr">
        <is>
          <t>P002888</t>
        </is>
      </c>
      <c r="C80" s="37" t="n">
        <v>4301135120</v>
      </c>
      <c r="D80" s="183" t="n">
        <v>4607111035141</v>
      </c>
      <c r="E80" s="351" t="n"/>
      <c r="F80" s="383" t="n">
        <v>0.3</v>
      </c>
      <c r="G80" s="38" t="n">
        <v>12</v>
      </c>
      <c r="H80" s="383" t="n">
        <v>3.6</v>
      </c>
      <c r="I80" s="383" t="n">
        <v>4.3036</v>
      </c>
      <c r="J80" s="38" t="n">
        <v>70</v>
      </c>
      <c r="K80" s="38" t="inlineStr">
        <is>
          <t>14</t>
        </is>
      </c>
      <c r="L80" s="39" t="inlineStr">
        <is>
          <t>МГ</t>
        </is>
      </c>
      <c r="M80" s="38" t="n">
        <v>180</v>
      </c>
      <c r="N80" s="416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/>
      </c>
      <c r="O80" s="385" t="n"/>
      <c r="P80" s="385" t="n"/>
      <c r="Q80" s="385" t="n"/>
      <c r="R80" s="351" t="n"/>
      <c r="S80" s="40" t="inlineStr"/>
      <c r="T80" s="40" t="inlineStr"/>
      <c r="U80" s="41" t="inlineStr">
        <is>
          <t>кор</t>
        </is>
      </c>
      <c r="V80" s="386" t="n">
        <v>78</v>
      </c>
      <c r="W80" s="387">
        <f>IFERROR(IF(V80="","",V80),"")</f>
        <v/>
      </c>
      <c r="X80" s="42">
        <f>IFERROR(IF(V80="","",V80*0.01788),"")</f>
        <v/>
      </c>
      <c r="Y80" s="69" t="inlineStr"/>
      <c r="Z80" s="70" t="inlineStr"/>
      <c r="AD80" s="74" t="n"/>
      <c r="BA80" s="101" t="inlineStr">
        <is>
          <t>ПГП</t>
        </is>
      </c>
    </row>
    <row r="81" ht="27" customHeight="1">
      <c r="A81" s="64" t="inlineStr">
        <is>
          <t>SU002571</t>
        </is>
      </c>
      <c r="B81" s="64" t="inlineStr">
        <is>
          <t>P002876</t>
        </is>
      </c>
      <c r="C81" s="37" t="n">
        <v>4301135111</v>
      </c>
      <c r="D81" s="183" t="n">
        <v>4607111035028</v>
      </c>
      <c r="E81" s="351" t="n"/>
      <c r="F81" s="383" t="n">
        <v>0.48</v>
      </c>
      <c r="G81" s="38" t="n">
        <v>8</v>
      </c>
      <c r="H81" s="383" t="n">
        <v>3.84</v>
      </c>
      <c r="I81" s="383" t="n">
        <v>4.4488</v>
      </c>
      <c r="J81" s="38" t="n">
        <v>70</v>
      </c>
      <c r="K81" s="38" t="inlineStr">
        <is>
          <t>14</t>
        </is>
      </c>
      <c r="L81" s="39" t="inlineStr">
        <is>
          <t>МГ</t>
        </is>
      </c>
      <c r="M81" s="38" t="n">
        <v>180</v>
      </c>
      <c r="N81" s="417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/>
      </c>
      <c r="O81" s="385" t="n"/>
      <c r="P81" s="385" t="n"/>
      <c r="Q81" s="385" t="n"/>
      <c r="R81" s="351" t="n"/>
      <c r="S81" s="40" t="inlineStr"/>
      <c r="T81" s="40" t="inlineStr"/>
      <c r="U81" s="41" t="inlineStr">
        <is>
          <t>кор</t>
        </is>
      </c>
      <c r="V81" s="386" t="n">
        <v>0</v>
      </c>
      <c r="W81" s="387">
        <f>IFERROR(IF(V81="","",V81),"")</f>
        <v/>
      </c>
      <c r="X81" s="42">
        <f>IFERROR(IF(V81="","",V81*0.01788),"")</f>
        <v/>
      </c>
      <c r="Y81" s="69" t="inlineStr"/>
      <c r="Z81" s="70" t="inlineStr"/>
      <c r="AD81" s="74" t="n"/>
      <c r="BA81" s="102" t="inlineStr">
        <is>
          <t>ПГП</t>
        </is>
      </c>
    </row>
    <row r="82" ht="27" customHeight="1">
      <c r="A82" s="64" t="inlineStr">
        <is>
          <t>SU002559</t>
        </is>
      </c>
      <c r="B82" s="64" t="inlineStr">
        <is>
          <t>P002874</t>
        </is>
      </c>
      <c r="C82" s="37" t="n">
        <v>4301135109</v>
      </c>
      <c r="D82" s="183" t="n">
        <v>4607111033444</v>
      </c>
      <c r="E82" s="351" t="n"/>
      <c r="F82" s="383" t="n">
        <v>0.3</v>
      </c>
      <c r="G82" s="38" t="n">
        <v>12</v>
      </c>
      <c r="H82" s="383" t="n">
        <v>3.6</v>
      </c>
      <c r="I82" s="383" t="n">
        <v>4.3036</v>
      </c>
      <c r="J82" s="38" t="n">
        <v>70</v>
      </c>
      <c r="K82" s="38" t="inlineStr">
        <is>
          <t>14</t>
        </is>
      </c>
      <c r="L82" s="39" t="inlineStr">
        <is>
          <t>МГ</t>
        </is>
      </c>
      <c r="M82" s="38" t="n">
        <v>180</v>
      </c>
      <c r="N82" s="418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/>
      </c>
      <c r="O82" s="385" t="n"/>
      <c r="P82" s="385" t="n"/>
      <c r="Q82" s="385" t="n"/>
      <c r="R82" s="351" t="n"/>
      <c r="S82" s="40" t="inlineStr"/>
      <c r="T82" s="40" t="inlineStr"/>
      <c r="U82" s="41" t="inlineStr">
        <is>
          <t>кор</t>
        </is>
      </c>
      <c r="V82" s="386" t="n">
        <v>0</v>
      </c>
      <c r="W82" s="387">
        <f>IFERROR(IF(V82="","",V82),"")</f>
        <v/>
      </c>
      <c r="X82" s="42">
        <f>IFERROR(IF(V82="","",V82*0.01788),"")</f>
        <v/>
      </c>
      <c r="Y82" s="69" t="inlineStr"/>
      <c r="Z82" s="70" t="inlineStr"/>
      <c r="AD82" s="74" t="n"/>
      <c r="BA82" s="103" t="inlineStr">
        <is>
          <t>ПГП</t>
        </is>
      </c>
    </row>
    <row r="83">
      <c r="A83" s="178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388" t="n"/>
      <c r="N83" s="389" t="inlineStr">
        <is>
          <t>Итого</t>
        </is>
      </c>
      <c r="O83" s="359" t="n"/>
      <c r="P83" s="359" t="n"/>
      <c r="Q83" s="359" t="n"/>
      <c r="R83" s="359" t="n"/>
      <c r="S83" s="359" t="n"/>
      <c r="T83" s="360" t="n"/>
      <c r="U83" s="43" t="inlineStr">
        <is>
          <t>кор</t>
        </is>
      </c>
      <c r="V83" s="390">
        <f>IFERROR(SUM(V77:V82),"0")</f>
        <v/>
      </c>
      <c r="W83" s="390">
        <f>IFERROR(SUM(W77:W82),"0")</f>
        <v/>
      </c>
      <c r="X83" s="390">
        <f>IFERROR(IF(X77="",0,X77),"0")+IFERROR(IF(X78="",0,X78),"0")+IFERROR(IF(X79="",0,X79),"0")+IFERROR(IF(X80="",0,X80),"0")+IFERROR(IF(X81="",0,X81),"0")+IFERROR(IF(X82="",0,X82),"0")</f>
        <v/>
      </c>
      <c r="Y83" s="391" t="n"/>
      <c r="Z83" s="39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388" t="n"/>
      <c r="N84" s="389" t="inlineStr">
        <is>
          <t>Итого</t>
        </is>
      </c>
      <c r="O84" s="359" t="n"/>
      <c r="P84" s="359" t="n"/>
      <c r="Q84" s="359" t="n"/>
      <c r="R84" s="359" t="n"/>
      <c r="S84" s="359" t="n"/>
      <c r="T84" s="360" t="n"/>
      <c r="U84" s="43" t="inlineStr">
        <is>
          <t>кг</t>
        </is>
      </c>
      <c r="V84" s="390">
        <f>IFERROR(SUMPRODUCT(V77:V82*H77:H82),"0")</f>
        <v/>
      </c>
      <c r="W84" s="390">
        <f>IFERROR(SUMPRODUCT(W77:W82*H77:H82),"0")</f>
        <v/>
      </c>
      <c r="X84" s="43" t="n"/>
      <c r="Y84" s="391" t="n"/>
      <c r="Z84" s="391" t="n"/>
    </row>
    <row r="85" ht="16.5" customHeight="1">
      <c r="A85" s="207" t="inlineStr">
        <is>
          <t>Чебуреки</t>
        </is>
      </c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207" t="n"/>
      <c r="Z85" s="207" t="n"/>
    </row>
    <row r="86" ht="14.25" customHeight="1">
      <c r="A86" s="196" t="inlineStr">
        <is>
          <t>Чебуреки</t>
        </is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96" t="n"/>
      <c r="Z86" s="196" t="n"/>
    </row>
    <row r="87" ht="27" customHeight="1">
      <c r="A87" s="64" t="inlineStr">
        <is>
          <t>SU002573</t>
        </is>
      </c>
      <c r="B87" s="64" t="inlineStr">
        <is>
          <t>P002893</t>
        </is>
      </c>
      <c r="C87" s="37" t="n">
        <v>4301136013</v>
      </c>
      <c r="D87" s="183" t="n">
        <v>4607025784012</v>
      </c>
      <c r="E87" s="351" t="n"/>
      <c r="F87" s="383" t="n">
        <v>0.09</v>
      </c>
      <c r="G87" s="38" t="n">
        <v>24</v>
      </c>
      <c r="H87" s="383" t="n">
        <v>2.16</v>
      </c>
      <c r="I87" s="383" t="n">
        <v>2.4912</v>
      </c>
      <c r="J87" s="38" t="n">
        <v>126</v>
      </c>
      <c r="K87" s="38" t="inlineStr">
        <is>
          <t>14</t>
        </is>
      </c>
      <c r="L87" s="39" t="inlineStr">
        <is>
          <t>МГ</t>
        </is>
      </c>
      <c r="M87" s="38" t="n">
        <v>180</v>
      </c>
      <c r="N87" s="419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/>
      </c>
      <c r="O87" s="385" t="n"/>
      <c r="P87" s="385" t="n"/>
      <c r="Q87" s="385" t="n"/>
      <c r="R87" s="351" t="n"/>
      <c r="S87" s="40" t="inlineStr"/>
      <c r="T87" s="40" t="inlineStr"/>
      <c r="U87" s="41" t="inlineStr">
        <is>
          <t>кор</t>
        </is>
      </c>
      <c r="V87" s="386" t="n">
        <v>93</v>
      </c>
      <c r="W87" s="387">
        <f>IFERROR(IF(V87="","",V87),"")</f>
        <v/>
      </c>
      <c r="X87" s="42">
        <f>IFERROR(IF(V87="","",V87*0.00936),"")</f>
        <v/>
      </c>
      <c r="Y87" s="69" t="inlineStr"/>
      <c r="Z87" s="70" t="inlineStr"/>
      <c r="AD87" s="74" t="n"/>
      <c r="BA87" s="104" t="inlineStr">
        <is>
          <t>ПГП</t>
        </is>
      </c>
    </row>
    <row r="88" ht="27" customHeight="1">
      <c r="A88" s="64" t="inlineStr">
        <is>
          <t>SU002558</t>
        </is>
      </c>
      <c r="B88" s="64" t="inlineStr">
        <is>
          <t>P002889</t>
        </is>
      </c>
      <c r="C88" s="37" t="n">
        <v>4301136012</v>
      </c>
      <c r="D88" s="183" t="n">
        <v>4607025784319</v>
      </c>
      <c r="E88" s="351" t="n"/>
      <c r="F88" s="383" t="n">
        <v>0.36</v>
      </c>
      <c r="G88" s="38" t="n">
        <v>10</v>
      </c>
      <c r="H88" s="383" t="n">
        <v>3.6</v>
      </c>
      <c r="I88" s="383" t="n">
        <v>4.244</v>
      </c>
      <c r="J88" s="38" t="n">
        <v>70</v>
      </c>
      <c r="K88" s="38" t="inlineStr">
        <is>
          <t>14</t>
        </is>
      </c>
      <c r="L88" s="39" t="inlineStr">
        <is>
          <t>МГ</t>
        </is>
      </c>
      <c r="M88" s="38" t="n">
        <v>180</v>
      </c>
      <c r="N88" s="420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/>
      </c>
      <c r="O88" s="385" t="n"/>
      <c r="P88" s="385" t="n"/>
      <c r="Q88" s="385" t="n"/>
      <c r="R88" s="351" t="n"/>
      <c r="S88" s="40" t="inlineStr"/>
      <c r="T88" s="40" t="inlineStr"/>
      <c r="U88" s="41" t="inlineStr">
        <is>
          <t>кор</t>
        </is>
      </c>
      <c r="V88" s="386" t="n">
        <v>132</v>
      </c>
      <c r="W88" s="387">
        <f>IFERROR(IF(V88="","",V88),"")</f>
        <v/>
      </c>
      <c r="X88" s="42">
        <f>IFERROR(IF(V88="","",V88*0.01788),"")</f>
        <v/>
      </c>
      <c r="Y88" s="69" t="inlineStr"/>
      <c r="Z88" s="70" t="inlineStr"/>
      <c r="AD88" s="74" t="n"/>
      <c r="BA88" s="105" t="inlineStr">
        <is>
          <t>ПГП</t>
        </is>
      </c>
    </row>
    <row r="89" ht="16.5" customHeight="1">
      <c r="A89" s="64" t="inlineStr">
        <is>
          <t>SU002570</t>
        </is>
      </c>
      <c r="B89" s="64" t="inlineStr">
        <is>
          <t>P002894</t>
        </is>
      </c>
      <c r="C89" s="37" t="n">
        <v>4301136014</v>
      </c>
      <c r="D89" s="183" t="n">
        <v>4607111035370</v>
      </c>
      <c r="E89" s="351" t="n"/>
      <c r="F89" s="383" t="n">
        <v>0.14</v>
      </c>
      <c r="G89" s="38" t="n">
        <v>22</v>
      </c>
      <c r="H89" s="383" t="n">
        <v>3.08</v>
      </c>
      <c r="I89" s="383" t="n">
        <v>3.464</v>
      </c>
      <c r="J89" s="38" t="n">
        <v>84</v>
      </c>
      <c r="K89" s="38" t="inlineStr">
        <is>
          <t>12</t>
        </is>
      </c>
      <c r="L89" s="39" t="inlineStr">
        <is>
          <t>МГ</t>
        </is>
      </c>
      <c r="M89" s="38" t="n">
        <v>180</v>
      </c>
      <c r="N89" s="421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/>
      </c>
      <c r="O89" s="385" t="n"/>
      <c r="P89" s="385" t="n"/>
      <c r="Q89" s="385" t="n"/>
      <c r="R89" s="351" t="n"/>
      <c r="S89" s="40" t="inlineStr"/>
      <c r="T89" s="40" t="inlineStr"/>
      <c r="U89" s="41" t="inlineStr">
        <is>
          <t>кор</t>
        </is>
      </c>
      <c r="V89" s="386" t="n">
        <v>0</v>
      </c>
      <c r="W89" s="387">
        <f>IFERROR(IF(V89="","",V89),"")</f>
        <v/>
      </c>
      <c r="X89" s="42">
        <f>IFERROR(IF(V89="","",V89*0.0155),"")</f>
        <v/>
      </c>
      <c r="Y89" s="69" t="inlineStr"/>
      <c r="Z89" s="70" t="inlineStr"/>
      <c r="AD89" s="74" t="n"/>
      <c r="BA89" s="106" t="inlineStr">
        <is>
          <t>ПГП</t>
        </is>
      </c>
    </row>
    <row r="90">
      <c r="A90" s="178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388" t="n"/>
      <c r="N90" s="389" t="inlineStr">
        <is>
          <t>Итого</t>
        </is>
      </c>
      <c r="O90" s="359" t="n"/>
      <c r="P90" s="359" t="n"/>
      <c r="Q90" s="359" t="n"/>
      <c r="R90" s="359" t="n"/>
      <c r="S90" s="359" t="n"/>
      <c r="T90" s="360" t="n"/>
      <c r="U90" s="43" t="inlineStr">
        <is>
          <t>кор</t>
        </is>
      </c>
      <c r="V90" s="390">
        <f>IFERROR(SUM(V87:V89),"0")</f>
        <v/>
      </c>
      <c r="W90" s="390">
        <f>IFERROR(SUM(W87:W89),"0")</f>
        <v/>
      </c>
      <c r="X90" s="390">
        <f>IFERROR(IF(X87="",0,X87),"0")+IFERROR(IF(X88="",0,X88),"0")+IFERROR(IF(X89="",0,X89),"0")</f>
        <v/>
      </c>
      <c r="Y90" s="391" t="n"/>
      <c r="Z90" s="39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388" t="n"/>
      <c r="N91" s="389" t="inlineStr">
        <is>
          <t>Итого</t>
        </is>
      </c>
      <c r="O91" s="359" t="n"/>
      <c r="P91" s="359" t="n"/>
      <c r="Q91" s="359" t="n"/>
      <c r="R91" s="359" t="n"/>
      <c r="S91" s="359" t="n"/>
      <c r="T91" s="360" t="n"/>
      <c r="U91" s="43" t="inlineStr">
        <is>
          <t>кг</t>
        </is>
      </c>
      <c r="V91" s="390">
        <f>IFERROR(SUMPRODUCT(V87:V89*H87:H89),"0")</f>
        <v/>
      </c>
      <c r="W91" s="390">
        <f>IFERROR(SUMPRODUCT(W87:W89*H87:H89),"0")</f>
        <v/>
      </c>
      <c r="X91" s="43" t="n"/>
      <c r="Y91" s="391" t="n"/>
      <c r="Z91" s="391" t="n"/>
    </row>
    <row r="92" ht="16.5" customHeight="1">
      <c r="A92" s="207" t="inlineStr">
        <is>
          <t>Бульмени ГШ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207" t="n"/>
      <c r="Z92" s="207" t="n"/>
    </row>
    <row r="93" ht="14.25" customHeight="1">
      <c r="A93" s="196" t="inlineStr">
        <is>
          <t>Пельмени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96" t="n"/>
      <c r="Z93" s="196" t="n"/>
    </row>
    <row r="94" ht="27" customHeight="1">
      <c r="A94" s="64" t="inlineStr">
        <is>
          <t>SU002626</t>
        </is>
      </c>
      <c r="B94" s="64" t="inlineStr">
        <is>
          <t>P003685</t>
        </is>
      </c>
      <c r="C94" s="37" t="n">
        <v>4301070975</v>
      </c>
      <c r="D94" s="183" t="n">
        <v>4607111033970</v>
      </c>
      <c r="E94" s="351" t="n"/>
      <c r="F94" s="383" t="n">
        <v>0.43</v>
      </c>
      <c r="G94" s="38" t="n">
        <v>16</v>
      </c>
      <c r="H94" s="383" t="n">
        <v>6.88</v>
      </c>
      <c r="I94" s="383" t="n">
        <v>7.1996</v>
      </c>
      <c r="J94" s="38" t="n">
        <v>84</v>
      </c>
      <c r="K94" s="38" t="inlineStr">
        <is>
          <t>12</t>
        </is>
      </c>
      <c r="L94" s="39" t="inlineStr">
        <is>
          <t>МГ</t>
        </is>
      </c>
      <c r="M94" s="38" t="n">
        <v>180</v>
      </c>
      <c r="N94" s="422">
        <f>HYPERLINK("https://abi.ru/products/Замороженные/Горячая штучка/Бульмени ГШ/Пельмени/P003685/","Пельмени «Бульмени с говядиной и свининой» 0,43 Сфера ТМ «Горячая штучка»")</f>
        <v/>
      </c>
      <c r="O94" s="385" t="n"/>
      <c r="P94" s="385" t="n"/>
      <c r="Q94" s="385" t="n"/>
      <c r="R94" s="351" t="n"/>
      <c r="S94" s="40" t="inlineStr"/>
      <c r="T94" s="40" t="inlineStr"/>
      <c r="U94" s="41" t="inlineStr">
        <is>
          <t>кор</t>
        </is>
      </c>
      <c r="V94" s="386" t="n">
        <v>123</v>
      </c>
      <c r="W94" s="387">
        <f>IFERROR(IF(V94="","",V94),"")</f>
        <v/>
      </c>
      <c r="X94" s="42">
        <f>IFERROR(IF(V94="","",V94*0.0155),"")</f>
        <v/>
      </c>
      <c r="Y94" s="69" t="inlineStr"/>
      <c r="Z94" s="70" t="inlineStr"/>
      <c r="AD94" s="74" t="n"/>
      <c r="BA94" s="107" t="inlineStr">
        <is>
          <t>ЗПФ</t>
        </is>
      </c>
    </row>
    <row r="95" ht="27" customHeight="1">
      <c r="A95" s="64" t="inlineStr">
        <is>
          <t>SU002627</t>
        </is>
      </c>
      <c r="B95" s="64" t="inlineStr">
        <is>
          <t>P003686</t>
        </is>
      </c>
      <c r="C95" s="37" t="n">
        <v>4301070976</v>
      </c>
      <c r="D95" s="183" t="n">
        <v>4607111034144</v>
      </c>
      <c r="E95" s="351" t="n"/>
      <c r="F95" s="383" t="n">
        <v>0.9</v>
      </c>
      <c r="G95" s="38" t="n">
        <v>8</v>
      </c>
      <c r="H95" s="383" t="n">
        <v>7.2</v>
      </c>
      <c r="I95" s="383" t="n">
        <v>7.486</v>
      </c>
      <c r="J95" s="38" t="n">
        <v>84</v>
      </c>
      <c r="K95" s="38" t="inlineStr">
        <is>
          <t>12</t>
        </is>
      </c>
      <c r="L95" s="39" t="inlineStr">
        <is>
          <t>МГ</t>
        </is>
      </c>
      <c r="M95" s="38" t="n">
        <v>180</v>
      </c>
      <c r="N95" s="423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/>
      </c>
      <c r="O95" s="385" t="n"/>
      <c r="P95" s="385" t="n"/>
      <c r="Q95" s="385" t="n"/>
      <c r="R95" s="351" t="n"/>
      <c r="S95" s="40" t="inlineStr"/>
      <c r="T95" s="40" t="inlineStr"/>
      <c r="U95" s="41" t="inlineStr">
        <is>
          <t>кор</t>
        </is>
      </c>
      <c r="V95" s="386" t="n">
        <v>236</v>
      </c>
      <c r="W95" s="387">
        <f>IFERROR(IF(V95="","",V95),"")</f>
        <v/>
      </c>
      <c r="X95" s="42">
        <f>IFERROR(IF(V95="","",V95*0.0155),"")</f>
        <v/>
      </c>
      <c r="Y95" s="69" t="inlineStr"/>
      <c r="Z95" s="70" t="inlineStr"/>
      <c r="AD95" s="74" t="n"/>
      <c r="BA95" s="108" t="inlineStr">
        <is>
          <t>ЗПФ</t>
        </is>
      </c>
    </row>
    <row r="96" ht="27" customHeight="1">
      <c r="A96" s="64" t="inlineStr">
        <is>
          <t>SU002622</t>
        </is>
      </c>
      <c r="B96" s="64" t="inlineStr">
        <is>
          <t>P003683</t>
        </is>
      </c>
      <c r="C96" s="37" t="n">
        <v>4301070973</v>
      </c>
      <c r="D96" s="183" t="n">
        <v>4607111033987</v>
      </c>
      <c r="E96" s="351" t="n"/>
      <c r="F96" s="383" t="n">
        <v>0.43</v>
      </c>
      <c r="G96" s="38" t="n">
        <v>16</v>
      </c>
      <c r="H96" s="383" t="n">
        <v>6.88</v>
      </c>
      <c r="I96" s="383" t="n">
        <v>7.1996</v>
      </c>
      <c r="J96" s="38" t="n">
        <v>84</v>
      </c>
      <c r="K96" s="38" t="inlineStr">
        <is>
          <t>12</t>
        </is>
      </c>
      <c r="L96" s="39" t="inlineStr">
        <is>
          <t>МГ</t>
        </is>
      </c>
      <c r="M96" s="38" t="n">
        <v>180</v>
      </c>
      <c r="N96" s="424">
        <f>HYPERLINK("https://abi.ru/products/Замороженные/Горячая штучка/Бульмени ГШ/Пельмени/P003683/","Пельмени «Бульмени со сливочным маслом» 0,43 Сфера ТМ «Горячая штучка»")</f>
        <v/>
      </c>
      <c r="O96" s="385" t="n"/>
      <c r="P96" s="385" t="n"/>
      <c r="Q96" s="385" t="n"/>
      <c r="R96" s="351" t="n"/>
      <c r="S96" s="40" t="inlineStr"/>
      <c r="T96" s="40" t="inlineStr"/>
      <c r="U96" s="41" t="inlineStr">
        <is>
          <t>кор</t>
        </is>
      </c>
      <c r="V96" s="386" t="n">
        <v>83</v>
      </c>
      <c r="W96" s="387">
        <f>IFERROR(IF(V96="","",V96),"")</f>
        <v/>
      </c>
      <c r="X96" s="42">
        <f>IFERROR(IF(V96="","",V96*0.0155),"")</f>
        <v/>
      </c>
      <c r="Y96" s="69" t="inlineStr"/>
      <c r="Z96" s="70" t="inlineStr"/>
      <c r="AD96" s="74" t="n"/>
      <c r="BA96" s="109" t="inlineStr">
        <is>
          <t>ЗПФ</t>
        </is>
      </c>
    </row>
    <row r="97" ht="27" customHeight="1">
      <c r="A97" s="64" t="inlineStr">
        <is>
          <t>SU002623</t>
        </is>
      </c>
      <c r="B97" s="64" t="inlineStr">
        <is>
          <t>P003684</t>
        </is>
      </c>
      <c r="C97" s="37" t="n">
        <v>4301070974</v>
      </c>
      <c r="D97" s="183" t="n">
        <v>4607111034151</v>
      </c>
      <c r="E97" s="351" t="n"/>
      <c r="F97" s="383" t="n">
        <v>0.9</v>
      </c>
      <c r="G97" s="38" t="n">
        <v>8</v>
      </c>
      <c r="H97" s="383" t="n">
        <v>7.2</v>
      </c>
      <c r="I97" s="383" t="n">
        <v>7.486</v>
      </c>
      <c r="J97" s="38" t="n">
        <v>84</v>
      </c>
      <c r="K97" s="38" t="inlineStr">
        <is>
          <t>12</t>
        </is>
      </c>
      <c r="L97" s="39" t="inlineStr">
        <is>
          <t>МГ</t>
        </is>
      </c>
      <c r="M97" s="38" t="n">
        <v>180</v>
      </c>
      <c r="N97" s="425">
        <f>HYPERLINK("https://abi.ru/products/Замороженные/Горячая штучка/Бульмени ГШ/Пельмени/P003684/","Пельмени «Бульмени со сливочным маслом» 0,9 Сфера ТМ «Горячая штучка»")</f>
        <v/>
      </c>
      <c r="O97" s="385" t="n"/>
      <c r="P97" s="385" t="n"/>
      <c r="Q97" s="385" t="n"/>
      <c r="R97" s="351" t="n"/>
      <c r="S97" s="40" t="inlineStr"/>
      <c r="T97" s="40" t="inlineStr"/>
      <c r="U97" s="41" t="inlineStr">
        <is>
          <t>кор</t>
        </is>
      </c>
      <c r="V97" s="386" t="n">
        <v>248</v>
      </c>
      <c r="W97" s="387">
        <f>IFERROR(IF(V97="","",V97),"")</f>
        <v/>
      </c>
      <c r="X97" s="42">
        <f>IFERROR(IF(V97="","",V97*0.0155),"")</f>
        <v/>
      </c>
      <c r="Y97" s="69" t="inlineStr"/>
      <c r="Z97" s="70" t="inlineStr"/>
      <c r="AD97" s="74" t="n"/>
      <c r="BA97" s="110" t="inlineStr">
        <is>
          <t>ЗПФ</t>
        </is>
      </c>
    </row>
    <row r="98">
      <c r="A98" s="178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388" t="n"/>
      <c r="N98" s="389" t="inlineStr">
        <is>
          <t>Итого</t>
        </is>
      </c>
      <c r="O98" s="359" t="n"/>
      <c r="P98" s="359" t="n"/>
      <c r="Q98" s="359" t="n"/>
      <c r="R98" s="359" t="n"/>
      <c r="S98" s="359" t="n"/>
      <c r="T98" s="360" t="n"/>
      <c r="U98" s="43" t="inlineStr">
        <is>
          <t>кор</t>
        </is>
      </c>
      <c r="V98" s="390">
        <f>IFERROR(SUM(V94:V97),"0")</f>
        <v/>
      </c>
      <c r="W98" s="390">
        <f>IFERROR(SUM(W94:W97),"0")</f>
        <v/>
      </c>
      <c r="X98" s="390">
        <f>IFERROR(IF(X94="",0,X94),"0")+IFERROR(IF(X95="",0,X95),"0")+IFERROR(IF(X96="",0,X96),"0")+IFERROR(IF(X97="",0,X97),"0")</f>
        <v/>
      </c>
      <c r="Y98" s="391" t="n"/>
      <c r="Z98" s="39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388" t="n"/>
      <c r="N99" s="389" t="inlineStr">
        <is>
          <t>Итого</t>
        </is>
      </c>
      <c r="O99" s="359" t="n"/>
      <c r="P99" s="359" t="n"/>
      <c r="Q99" s="359" t="n"/>
      <c r="R99" s="359" t="n"/>
      <c r="S99" s="359" t="n"/>
      <c r="T99" s="360" t="n"/>
      <c r="U99" s="43" t="inlineStr">
        <is>
          <t>кг</t>
        </is>
      </c>
      <c r="V99" s="390">
        <f>IFERROR(SUMPRODUCT(V94:V97*H94:H97),"0")</f>
        <v/>
      </c>
      <c r="W99" s="390">
        <f>IFERROR(SUMPRODUCT(W94:W97*H94:H97),"0")</f>
        <v/>
      </c>
      <c r="X99" s="43" t="n"/>
      <c r="Y99" s="391" t="n"/>
      <c r="Z99" s="391" t="n"/>
    </row>
    <row r="100" ht="16.5" customHeight="1">
      <c r="A100" s="207" t="inlineStr">
        <is>
          <t>Чебупицца</t>
        </is>
      </c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207" t="n"/>
      <c r="Z100" s="207" t="n"/>
    </row>
    <row r="101" ht="14.25" customHeight="1">
      <c r="A101" s="196" t="inlineStr">
        <is>
          <t>Снеки</t>
        </is>
      </c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96" t="n"/>
      <c r="Z101" s="196" t="n"/>
    </row>
    <row r="102" ht="27" customHeight="1">
      <c r="A102" s="64" t="inlineStr">
        <is>
          <t>SU002562</t>
        </is>
      </c>
      <c r="B102" s="64" t="inlineStr">
        <is>
          <t>P003286</t>
        </is>
      </c>
      <c r="C102" s="37" t="n">
        <v>4301135162</v>
      </c>
      <c r="D102" s="183" t="n">
        <v>4607111034014</v>
      </c>
      <c r="E102" s="351" t="n"/>
      <c r="F102" s="383" t="n">
        <v>0.25</v>
      </c>
      <c r="G102" s="38" t="n">
        <v>12</v>
      </c>
      <c r="H102" s="383" t="n">
        <v>3</v>
      </c>
      <c r="I102" s="383" t="n">
        <v>3.7036</v>
      </c>
      <c r="J102" s="38" t="n">
        <v>70</v>
      </c>
      <c r="K102" s="38" t="inlineStr">
        <is>
          <t>14</t>
        </is>
      </c>
      <c r="L102" s="39" t="inlineStr">
        <is>
          <t>МГ</t>
        </is>
      </c>
      <c r="M102" s="38" t="n">
        <v>180</v>
      </c>
      <c r="N102" s="426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/>
      </c>
      <c r="O102" s="385" t="n"/>
      <c r="P102" s="385" t="n"/>
      <c r="Q102" s="385" t="n"/>
      <c r="R102" s="351" t="n"/>
      <c r="S102" s="40" t="inlineStr"/>
      <c r="T102" s="40" t="inlineStr"/>
      <c r="U102" s="41" t="inlineStr">
        <is>
          <t>кор</t>
        </is>
      </c>
      <c r="V102" s="386" t="n">
        <v>95</v>
      </c>
      <c r="W102" s="387">
        <f>IFERROR(IF(V102="","",V102),"")</f>
        <v/>
      </c>
      <c r="X102" s="42">
        <f>IFERROR(IF(V102="","",V102*0.01788),"")</f>
        <v/>
      </c>
      <c r="Y102" s="69" t="inlineStr"/>
      <c r="Z102" s="70" t="inlineStr"/>
      <c r="AD102" s="74" t="n"/>
      <c r="BA102" s="111" t="inlineStr">
        <is>
          <t>ПГП</t>
        </is>
      </c>
    </row>
    <row r="103" ht="27" customHeight="1">
      <c r="A103" s="64" t="inlineStr">
        <is>
          <t>SU002561</t>
        </is>
      </c>
      <c r="B103" s="64" t="inlineStr">
        <is>
          <t>P002884</t>
        </is>
      </c>
      <c r="C103" s="37" t="n">
        <v>4301135117</v>
      </c>
      <c r="D103" s="183" t="n">
        <v>4607111033994</v>
      </c>
      <c r="E103" s="351" t="n"/>
      <c r="F103" s="383" t="n">
        <v>0.25</v>
      </c>
      <c r="G103" s="38" t="n">
        <v>12</v>
      </c>
      <c r="H103" s="383" t="n">
        <v>3</v>
      </c>
      <c r="I103" s="383" t="n">
        <v>3.7036</v>
      </c>
      <c r="J103" s="38" t="n">
        <v>70</v>
      </c>
      <c r="K103" s="38" t="inlineStr">
        <is>
          <t>14</t>
        </is>
      </c>
      <c r="L103" s="39" t="inlineStr">
        <is>
          <t>МГ</t>
        </is>
      </c>
      <c r="M103" s="38" t="n">
        <v>180</v>
      </c>
      <c r="N103" s="427">
        <f>HYPERLINK("https://abi.ru/products/Замороженные/Горячая штучка/Чебупицца/Снеки/P002884/","Чебупицца Пепперони Чебупицца Фикс.вес 0,25 Лоток Горячая штучка")</f>
        <v/>
      </c>
      <c r="O103" s="385" t="n"/>
      <c r="P103" s="385" t="n"/>
      <c r="Q103" s="385" t="n"/>
      <c r="R103" s="351" t="n"/>
      <c r="S103" s="40" t="inlineStr"/>
      <c r="T103" s="40" t="inlineStr"/>
      <c r="U103" s="41" t="inlineStr">
        <is>
          <t>кор</t>
        </is>
      </c>
      <c r="V103" s="386" t="n">
        <v>111</v>
      </c>
      <c r="W103" s="387">
        <f>IFERROR(IF(V103="","",V103),"")</f>
        <v/>
      </c>
      <c r="X103" s="42">
        <f>IFERROR(IF(V103="","",V103*0.01788),"")</f>
        <v/>
      </c>
      <c r="Y103" s="69" t="inlineStr"/>
      <c r="Z103" s="70" t="inlineStr"/>
      <c r="AD103" s="74" t="n"/>
      <c r="BA103" s="112" t="inlineStr">
        <is>
          <t>ПГП</t>
        </is>
      </c>
    </row>
    <row r="104">
      <c r="A104" s="178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388" t="n"/>
      <c r="N104" s="389" t="inlineStr">
        <is>
          <t>Итого</t>
        </is>
      </c>
      <c r="O104" s="359" t="n"/>
      <c r="P104" s="359" t="n"/>
      <c r="Q104" s="359" t="n"/>
      <c r="R104" s="359" t="n"/>
      <c r="S104" s="359" t="n"/>
      <c r="T104" s="360" t="n"/>
      <c r="U104" s="43" t="inlineStr">
        <is>
          <t>кор</t>
        </is>
      </c>
      <c r="V104" s="390">
        <f>IFERROR(SUM(V102:V103),"0")</f>
        <v/>
      </c>
      <c r="W104" s="390">
        <f>IFERROR(SUM(W102:W103),"0")</f>
        <v/>
      </c>
      <c r="X104" s="390">
        <f>IFERROR(IF(X102="",0,X102),"0")+IFERROR(IF(X103="",0,X103),"0")</f>
        <v/>
      </c>
      <c r="Y104" s="391" t="n"/>
      <c r="Z104" s="39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388" t="n"/>
      <c r="N105" s="389" t="inlineStr">
        <is>
          <t>Итого</t>
        </is>
      </c>
      <c r="O105" s="359" t="n"/>
      <c r="P105" s="359" t="n"/>
      <c r="Q105" s="359" t="n"/>
      <c r="R105" s="359" t="n"/>
      <c r="S105" s="359" t="n"/>
      <c r="T105" s="360" t="n"/>
      <c r="U105" s="43" t="inlineStr">
        <is>
          <t>кг</t>
        </is>
      </c>
      <c r="V105" s="390">
        <f>IFERROR(SUMPRODUCT(V102:V103*H102:H103),"0")</f>
        <v/>
      </c>
      <c r="W105" s="390">
        <f>IFERROR(SUMPRODUCT(W102:W103*H102:H103),"0")</f>
        <v/>
      </c>
      <c r="X105" s="43" t="n"/>
      <c r="Y105" s="391" t="n"/>
      <c r="Z105" s="391" t="n"/>
    </row>
    <row r="106" ht="16.5" customHeight="1">
      <c r="A106" s="207" t="inlineStr">
        <is>
          <t>Хотстеры</t>
        </is>
      </c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207" t="n"/>
      <c r="Z106" s="207" t="n"/>
    </row>
    <row r="107" ht="14.25" customHeight="1">
      <c r="A107" s="196" t="inlineStr">
        <is>
          <t>Снеки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96" t="n"/>
      <c r="Z107" s="196" t="n"/>
    </row>
    <row r="108" ht="16.5" customHeight="1">
      <c r="A108" s="64" t="inlineStr">
        <is>
          <t>SU002565</t>
        </is>
      </c>
      <c r="B108" s="64" t="inlineStr">
        <is>
          <t>P002877</t>
        </is>
      </c>
      <c r="C108" s="37" t="n">
        <v>4301135112</v>
      </c>
      <c r="D108" s="183" t="n">
        <v>4607111034199</v>
      </c>
      <c r="E108" s="351" t="n"/>
      <c r="F108" s="383" t="n">
        <v>0.25</v>
      </c>
      <c r="G108" s="38" t="n">
        <v>12</v>
      </c>
      <c r="H108" s="383" t="n">
        <v>3</v>
      </c>
      <c r="I108" s="383" t="n">
        <v>3.7036</v>
      </c>
      <c r="J108" s="38" t="n">
        <v>70</v>
      </c>
      <c r="K108" s="38" t="inlineStr">
        <is>
          <t>14</t>
        </is>
      </c>
      <c r="L108" s="39" t="inlineStr">
        <is>
          <t>МГ</t>
        </is>
      </c>
      <c r="M108" s="38" t="n">
        <v>180</v>
      </c>
      <c r="N108" s="428">
        <f>HYPERLINK("https://abi.ru/products/Замороженные/Горячая штучка/Хотстеры/Снеки/P002877/","Хотстеры Хотстеры Фикс.вес 0,25 Лоток Горячая штучка")</f>
        <v/>
      </c>
      <c r="O108" s="385" t="n"/>
      <c r="P108" s="385" t="n"/>
      <c r="Q108" s="385" t="n"/>
      <c r="R108" s="351" t="n"/>
      <c r="S108" s="40" t="inlineStr"/>
      <c r="T108" s="40" t="inlineStr"/>
      <c r="U108" s="41" t="inlineStr">
        <is>
          <t>кор</t>
        </is>
      </c>
      <c r="V108" s="386" t="n">
        <v>126</v>
      </c>
      <c r="W108" s="387">
        <f>IFERROR(IF(V108="","",V108),"")</f>
        <v/>
      </c>
      <c r="X108" s="42">
        <f>IFERROR(IF(V108="","",V108*0.01788),"")</f>
        <v/>
      </c>
      <c r="Y108" s="69" t="inlineStr"/>
      <c r="Z108" s="70" t="inlineStr"/>
      <c r="AD108" s="74" t="n"/>
      <c r="BA108" s="113" t="inlineStr">
        <is>
          <t>ПГП</t>
        </is>
      </c>
    </row>
    <row r="109">
      <c r="A109" s="178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388" t="n"/>
      <c r="N109" s="389" t="inlineStr">
        <is>
          <t>Итого</t>
        </is>
      </c>
      <c r="O109" s="359" t="n"/>
      <c r="P109" s="359" t="n"/>
      <c r="Q109" s="359" t="n"/>
      <c r="R109" s="359" t="n"/>
      <c r="S109" s="359" t="n"/>
      <c r="T109" s="360" t="n"/>
      <c r="U109" s="43" t="inlineStr">
        <is>
          <t>кор</t>
        </is>
      </c>
      <c r="V109" s="390">
        <f>IFERROR(SUM(V108:V108),"0")</f>
        <v/>
      </c>
      <c r="W109" s="390">
        <f>IFERROR(SUM(W108:W108),"0")</f>
        <v/>
      </c>
      <c r="X109" s="390">
        <f>IFERROR(IF(X108="",0,X108),"0")</f>
        <v/>
      </c>
      <c r="Y109" s="391" t="n"/>
      <c r="Z109" s="39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388" t="n"/>
      <c r="N110" s="389" t="inlineStr">
        <is>
          <t>Итого</t>
        </is>
      </c>
      <c r="O110" s="359" t="n"/>
      <c r="P110" s="359" t="n"/>
      <c r="Q110" s="359" t="n"/>
      <c r="R110" s="359" t="n"/>
      <c r="S110" s="359" t="n"/>
      <c r="T110" s="360" t="n"/>
      <c r="U110" s="43" t="inlineStr">
        <is>
          <t>кг</t>
        </is>
      </c>
      <c r="V110" s="390">
        <f>IFERROR(SUMPRODUCT(V108:V108*H108:H108),"0")</f>
        <v/>
      </c>
      <c r="W110" s="390">
        <f>IFERROR(SUMPRODUCT(W108:W108*H108:H108),"0")</f>
        <v/>
      </c>
      <c r="X110" s="43" t="n"/>
      <c r="Y110" s="391" t="n"/>
      <c r="Z110" s="391" t="n"/>
    </row>
    <row r="111" ht="16.5" customHeight="1">
      <c r="A111" s="207" t="inlineStr">
        <is>
          <t>Круггетсы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207" t="n"/>
      <c r="Z111" s="207" t="n"/>
    </row>
    <row r="112" ht="14.25" customHeight="1">
      <c r="A112" s="196" t="inlineStr">
        <is>
          <t>Снеки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96" t="n"/>
      <c r="Z112" s="196" t="n"/>
    </row>
    <row r="113" ht="27" customHeight="1">
      <c r="A113" s="64" t="inlineStr">
        <is>
          <t>SU001950</t>
        </is>
      </c>
      <c r="B113" s="64" t="inlineStr">
        <is>
          <t>P001982</t>
        </is>
      </c>
      <c r="C113" s="37" t="n">
        <v>4301130006</v>
      </c>
      <c r="D113" s="183" t="n">
        <v>4607111034670</v>
      </c>
      <c r="E113" s="351" t="n"/>
      <c r="F113" s="383" t="n">
        <v>3</v>
      </c>
      <c r="G113" s="38" t="n">
        <v>1</v>
      </c>
      <c r="H113" s="383" t="n">
        <v>3</v>
      </c>
      <c r="I113" s="383" t="n">
        <v>3.195</v>
      </c>
      <c r="J113" s="38" t="n">
        <v>126</v>
      </c>
      <c r="K113" s="38" t="inlineStr">
        <is>
          <t>14</t>
        </is>
      </c>
      <c r="L113" s="39" t="inlineStr">
        <is>
          <t>МГ</t>
        </is>
      </c>
      <c r="M113" s="38" t="n">
        <v>180</v>
      </c>
      <c r="N113" s="429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/>
      </c>
      <c r="O113" s="385" t="n"/>
      <c r="P113" s="385" t="n"/>
      <c r="Q113" s="385" t="n"/>
      <c r="R113" s="351" t="n"/>
      <c r="S113" s="40" t="inlineStr"/>
      <c r="T113" s="40" t="inlineStr"/>
      <c r="U113" s="41" t="inlineStr">
        <is>
          <t>кор</t>
        </is>
      </c>
      <c r="V113" s="386" t="n">
        <v>0</v>
      </c>
      <c r="W113" s="387">
        <f>IFERROR(IF(V113="","",V113),"")</f>
        <v/>
      </c>
      <c r="X113" s="42">
        <f>IFERROR(IF(V113="","",V113*0.00936),"")</f>
        <v/>
      </c>
      <c r="Y113" s="69" t="inlineStr">
        <is>
          <t>ВЕСОВОЙ ФОРМАТ</t>
        </is>
      </c>
      <c r="Z113" s="70" t="inlineStr"/>
      <c r="AD113" s="74" t="n"/>
      <c r="BA113" s="114" t="inlineStr">
        <is>
          <t>ПГП</t>
        </is>
      </c>
    </row>
    <row r="114" ht="27" customHeight="1">
      <c r="A114" s="64" t="inlineStr">
        <is>
          <t>SU001949</t>
        </is>
      </c>
      <c r="B114" s="64" t="inlineStr">
        <is>
          <t>P001980</t>
        </is>
      </c>
      <c r="C114" s="37" t="n">
        <v>4301130003</v>
      </c>
      <c r="D114" s="183" t="n">
        <v>4607111034687</v>
      </c>
      <c r="E114" s="351" t="n"/>
      <c r="F114" s="383" t="n">
        <v>3</v>
      </c>
      <c r="G114" s="38" t="n">
        <v>1</v>
      </c>
      <c r="H114" s="383" t="n">
        <v>3</v>
      </c>
      <c r="I114" s="383" t="n">
        <v>3.195</v>
      </c>
      <c r="J114" s="38" t="n">
        <v>126</v>
      </c>
      <c r="K114" s="38" t="inlineStr">
        <is>
          <t>14</t>
        </is>
      </c>
      <c r="L114" s="39" t="inlineStr">
        <is>
          <t>МГ</t>
        </is>
      </c>
      <c r="M114" s="38" t="n">
        <v>180</v>
      </c>
      <c r="N114" s="430">
        <f>HYPERLINK("https://abi.ru/products/Замороженные/Горячая штучка/Круггетсы/Снеки/P001980/","Круггетсы сочные Хорека Весовые Пакет 3 кг Горячая штучка")</f>
        <v/>
      </c>
      <c r="O114" s="385" t="n"/>
      <c r="P114" s="385" t="n"/>
      <c r="Q114" s="385" t="n"/>
      <c r="R114" s="351" t="n"/>
      <c r="S114" s="40" t="inlineStr"/>
      <c r="T114" s="40" t="inlineStr"/>
      <c r="U114" s="41" t="inlineStr">
        <is>
          <t>кор</t>
        </is>
      </c>
      <c r="V114" s="386" t="n">
        <v>0</v>
      </c>
      <c r="W114" s="387">
        <f>IFERROR(IF(V114="","",V114),"")</f>
        <v/>
      </c>
      <c r="X114" s="42">
        <f>IFERROR(IF(V114="","",V114*0.00936),"")</f>
        <v/>
      </c>
      <c r="Y114" s="69" t="inlineStr">
        <is>
          <t>ВЕСОВОЙ ФОРМАТ</t>
        </is>
      </c>
      <c r="Z114" s="70" t="inlineStr"/>
      <c r="AD114" s="74" t="n"/>
      <c r="BA114" s="115" t="inlineStr">
        <is>
          <t>ПГП</t>
        </is>
      </c>
    </row>
    <row r="115" ht="27" customHeight="1">
      <c r="A115" s="64" t="inlineStr">
        <is>
          <t>SU000194</t>
        </is>
      </c>
      <c r="B115" s="64" t="inlineStr">
        <is>
          <t>P003379</t>
        </is>
      </c>
      <c r="C115" s="37" t="n">
        <v>4301135181</v>
      </c>
      <c r="D115" s="183" t="n">
        <v>4607111034380</v>
      </c>
      <c r="E115" s="351" t="n"/>
      <c r="F115" s="383" t="n">
        <v>0.25</v>
      </c>
      <c r="G115" s="38" t="n">
        <v>12</v>
      </c>
      <c r="H115" s="383" t="n">
        <v>3</v>
      </c>
      <c r="I115" s="383" t="n">
        <v>3.28</v>
      </c>
      <c r="J115" s="38" t="n">
        <v>70</v>
      </c>
      <c r="K115" s="38" t="inlineStr">
        <is>
          <t>14</t>
        </is>
      </c>
      <c r="L115" s="39" t="inlineStr">
        <is>
          <t>МГ</t>
        </is>
      </c>
      <c r="M115" s="38" t="n">
        <v>180</v>
      </c>
      <c r="N115" s="431">
        <f>HYPERLINK("https://abi.ru/products/Замороженные/Горячая штучка/Круггетсы/Снеки/P003379/","«Круггетсы с сырным соусом» Фикс.вес 0,25 ф/п ТМ «Горячая штучка»")</f>
        <v/>
      </c>
      <c r="O115" s="385" t="n"/>
      <c r="P115" s="385" t="n"/>
      <c r="Q115" s="385" t="n"/>
      <c r="R115" s="351" t="n"/>
      <c r="S115" s="40" t="inlineStr"/>
      <c r="T115" s="40" t="inlineStr"/>
      <c r="U115" s="41" t="inlineStr">
        <is>
          <t>кор</t>
        </is>
      </c>
      <c r="V115" s="386" t="n">
        <v>73</v>
      </c>
      <c r="W115" s="387">
        <f>IFERROR(IF(V115="","",V115),"")</f>
        <v/>
      </c>
      <c r="X115" s="42">
        <f>IFERROR(IF(V115="","",V115*0.01788),"")</f>
        <v/>
      </c>
      <c r="Y115" s="69" t="inlineStr"/>
      <c r="Z115" s="70" t="inlineStr"/>
      <c r="AD115" s="74" t="n"/>
      <c r="BA115" s="116" t="inlineStr">
        <is>
          <t>ПГП</t>
        </is>
      </c>
    </row>
    <row r="116" ht="27" customHeight="1">
      <c r="A116" s="64" t="inlineStr">
        <is>
          <t>SU000195</t>
        </is>
      </c>
      <c r="B116" s="64" t="inlineStr">
        <is>
          <t>P003378</t>
        </is>
      </c>
      <c r="C116" s="37" t="n">
        <v>4301135180</v>
      </c>
      <c r="D116" s="183" t="n">
        <v>4607111034397</v>
      </c>
      <c r="E116" s="351" t="n"/>
      <c r="F116" s="383" t="n">
        <v>0.25</v>
      </c>
      <c r="G116" s="38" t="n">
        <v>12</v>
      </c>
      <c r="H116" s="383" t="n">
        <v>3</v>
      </c>
      <c r="I116" s="383" t="n">
        <v>3.28</v>
      </c>
      <c r="J116" s="38" t="n">
        <v>70</v>
      </c>
      <c r="K116" s="38" t="inlineStr">
        <is>
          <t>14</t>
        </is>
      </c>
      <c r="L116" s="39" t="inlineStr">
        <is>
          <t>МГ</t>
        </is>
      </c>
      <c r="M116" s="38" t="n">
        <v>180</v>
      </c>
      <c r="N116" s="432">
        <f>HYPERLINK("https://abi.ru/products/Замороженные/Горячая штучка/Круггетсы/Снеки/P003378/","«Круггетсы Сочные» Фикс.вес 0,25 ф/п ТМ «Горячая штучка»")</f>
        <v/>
      </c>
      <c r="O116" s="385" t="n"/>
      <c r="P116" s="385" t="n"/>
      <c r="Q116" s="385" t="n"/>
      <c r="R116" s="351" t="n"/>
      <c r="S116" s="40" t="inlineStr"/>
      <c r="T116" s="40" t="inlineStr"/>
      <c r="U116" s="41" t="inlineStr">
        <is>
          <t>кор</t>
        </is>
      </c>
      <c r="V116" s="386" t="n">
        <v>39</v>
      </c>
      <c r="W116" s="387">
        <f>IFERROR(IF(V116="","",V116),"")</f>
        <v/>
      </c>
      <c r="X116" s="42">
        <f>IFERROR(IF(V116="","",V116*0.01788),"")</f>
        <v/>
      </c>
      <c r="Y116" s="69" t="inlineStr"/>
      <c r="Z116" s="70" t="inlineStr"/>
      <c r="AD116" s="74" t="n"/>
      <c r="BA116" s="117" t="inlineStr">
        <is>
          <t>ПГП</t>
        </is>
      </c>
    </row>
    <row r="117">
      <c r="A117" s="178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388" t="n"/>
      <c r="N117" s="389" t="inlineStr">
        <is>
          <t>Итого</t>
        </is>
      </c>
      <c r="O117" s="359" t="n"/>
      <c r="P117" s="359" t="n"/>
      <c r="Q117" s="359" t="n"/>
      <c r="R117" s="359" t="n"/>
      <c r="S117" s="359" t="n"/>
      <c r="T117" s="360" t="n"/>
      <c r="U117" s="43" t="inlineStr">
        <is>
          <t>кор</t>
        </is>
      </c>
      <c r="V117" s="390">
        <f>IFERROR(SUM(V113:V116),"0")</f>
        <v/>
      </c>
      <c r="W117" s="390">
        <f>IFERROR(SUM(W113:W116),"0")</f>
        <v/>
      </c>
      <c r="X117" s="390">
        <f>IFERROR(IF(X113="",0,X113),"0")+IFERROR(IF(X114="",0,X114),"0")+IFERROR(IF(X115="",0,X115),"0")+IFERROR(IF(X116="",0,X116),"0")</f>
        <v/>
      </c>
      <c r="Y117" s="391" t="n"/>
      <c r="Z117" s="39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388" t="n"/>
      <c r="N118" s="389" t="inlineStr">
        <is>
          <t>Итого</t>
        </is>
      </c>
      <c r="O118" s="359" t="n"/>
      <c r="P118" s="359" t="n"/>
      <c r="Q118" s="359" t="n"/>
      <c r="R118" s="359" t="n"/>
      <c r="S118" s="359" t="n"/>
      <c r="T118" s="360" t="n"/>
      <c r="U118" s="43" t="inlineStr">
        <is>
          <t>кг</t>
        </is>
      </c>
      <c r="V118" s="390">
        <f>IFERROR(SUMPRODUCT(V113:V116*H113:H116),"0")</f>
        <v/>
      </c>
      <c r="W118" s="390">
        <f>IFERROR(SUMPRODUCT(W113:W116*H113:H116),"0")</f>
        <v/>
      </c>
      <c r="X118" s="43" t="n"/>
      <c r="Y118" s="391" t="n"/>
      <c r="Z118" s="391" t="n"/>
    </row>
    <row r="119" ht="16.5" customHeight="1">
      <c r="A119" s="207" t="inlineStr">
        <is>
          <t>Пекерсы</t>
        </is>
      </c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207" t="n"/>
      <c r="Z119" s="207" t="n"/>
    </row>
    <row r="120" ht="14.25" customHeight="1">
      <c r="A120" s="196" t="inlineStr">
        <is>
          <t>Снеки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96" t="n"/>
      <c r="Z120" s="196" t="n"/>
    </row>
    <row r="121" ht="27" customHeight="1">
      <c r="A121" s="64" t="inlineStr">
        <is>
          <t>SU002669</t>
        </is>
      </c>
      <c r="B121" s="64" t="inlineStr">
        <is>
          <t>P003041</t>
        </is>
      </c>
      <c r="C121" s="37" t="n">
        <v>4301135134</v>
      </c>
      <c r="D121" s="183" t="n">
        <v>4607111035806</v>
      </c>
      <c r="E121" s="351" t="n"/>
      <c r="F121" s="383" t="n">
        <v>0.25</v>
      </c>
      <c r="G121" s="38" t="n">
        <v>12</v>
      </c>
      <c r="H121" s="383" t="n">
        <v>3</v>
      </c>
      <c r="I121" s="383" t="n">
        <v>3.7036</v>
      </c>
      <c r="J121" s="38" t="n">
        <v>70</v>
      </c>
      <c r="K121" s="38" t="inlineStr">
        <is>
          <t>14</t>
        </is>
      </c>
      <c r="L121" s="39" t="inlineStr">
        <is>
          <t>МГ</t>
        </is>
      </c>
      <c r="M121" s="38" t="n">
        <v>180</v>
      </c>
      <c r="N121" s="433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/>
      </c>
      <c r="O121" s="385" t="n"/>
      <c r="P121" s="385" t="n"/>
      <c r="Q121" s="385" t="n"/>
      <c r="R121" s="351" t="n"/>
      <c r="S121" s="40" t="inlineStr"/>
      <c r="T121" s="40" t="inlineStr"/>
      <c r="U121" s="41" t="inlineStr">
        <is>
          <t>кор</t>
        </is>
      </c>
      <c r="V121" s="386" t="n">
        <v>37</v>
      </c>
      <c r="W121" s="387">
        <f>IFERROR(IF(V121="","",V121),"")</f>
        <v/>
      </c>
      <c r="X121" s="42">
        <f>IFERROR(IF(V121="","",V121*0.01788),"")</f>
        <v/>
      </c>
      <c r="Y121" s="69" t="inlineStr"/>
      <c r="Z121" s="70" t="inlineStr"/>
      <c r="AD121" s="74" t="n"/>
      <c r="BA121" s="118" t="inlineStr">
        <is>
          <t>ПГП</t>
        </is>
      </c>
    </row>
    <row r="122">
      <c r="A122" s="178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388" t="n"/>
      <c r="N122" s="389" t="inlineStr">
        <is>
          <t>Итого</t>
        </is>
      </c>
      <c r="O122" s="359" t="n"/>
      <c r="P122" s="359" t="n"/>
      <c r="Q122" s="359" t="n"/>
      <c r="R122" s="359" t="n"/>
      <c r="S122" s="359" t="n"/>
      <c r="T122" s="360" t="n"/>
      <c r="U122" s="43" t="inlineStr">
        <is>
          <t>кор</t>
        </is>
      </c>
      <c r="V122" s="390">
        <f>IFERROR(SUM(V121:V121),"0")</f>
        <v/>
      </c>
      <c r="W122" s="390">
        <f>IFERROR(SUM(W121:W121),"0")</f>
        <v/>
      </c>
      <c r="X122" s="390">
        <f>IFERROR(IF(X121="",0,X121),"0")</f>
        <v/>
      </c>
      <c r="Y122" s="391" t="n"/>
      <c r="Z122" s="39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388" t="n"/>
      <c r="N123" s="389" t="inlineStr">
        <is>
          <t>Итого</t>
        </is>
      </c>
      <c r="O123" s="359" t="n"/>
      <c r="P123" s="359" t="n"/>
      <c r="Q123" s="359" t="n"/>
      <c r="R123" s="359" t="n"/>
      <c r="S123" s="359" t="n"/>
      <c r="T123" s="360" t="n"/>
      <c r="U123" s="43" t="inlineStr">
        <is>
          <t>кг</t>
        </is>
      </c>
      <c r="V123" s="390">
        <f>IFERROR(SUMPRODUCT(V121:V121*H121:H121),"0")</f>
        <v/>
      </c>
      <c r="W123" s="390">
        <f>IFERROR(SUMPRODUCT(W121:W121*H121:H121),"0")</f>
        <v/>
      </c>
      <c r="X123" s="43" t="n"/>
      <c r="Y123" s="391" t="n"/>
      <c r="Z123" s="391" t="n"/>
    </row>
    <row r="124" ht="16.5" customHeight="1">
      <c r="A124" s="207" t="inlineStr">
        <is>
          <t>Супермени</t>
        </is>
      </c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207" t="n"/>
      <c r="Z124" s="207" t="n"/>
    </row>
    <row r="125" ht="14.25" customHeight="1">
      <c r="A125" s="196" t="inlineStr">
        <is>
          <t>Пельмени ПГП</t>
        </is>
      </c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96" t="n"/>
      <c r="Z125" s="196" t="n"/>
    </row>
    <row r="126" ht="27" customHeight="1">
      <c r="A126" s="64" t="inlineStr">
        <is>
          <t>SU002008</t>
        </is>
      </c>
      <c r="B126" s="64" t="inlineStr">
        <is>
          <t>P002098</t>
        </is>
      </c>
      <c r="C126" s="37" t="n">
        <v>4301070768</v>
      </c>
      <c r="D126" s="183" t="n">
        <v>4607111035639</v>
      </c>
      <c r="E126" s="351" t="n"/>
      <c r="F126" s="383" t="n">
        <v>0.2</v>
      </c>
      <c r="G126" s="38" t="n">
        <v>12</v>
      </c>
      <c r="H126" s="383" t="n">
        <v>2.4</v>
      </c>
      <c r="I126" s="383" t="n">
        <v>3.13</v>
      </c>
      <c r="J126" s="38" t="n">
        <v>48</v>
      </c>
      <c r="K126" s="38" t="inlineStr">
        <is>
          <t>8</t>
        </is>
      </c>
      <c r="L126" s="39" t="inlineStr">
        <is>
          <t>МГ</t>
        </is>
      </c>
      <c r="M126" s="38" t="n">
        <v>180</v>
      </c>
      <c r="N126" s="434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/>
      </c>
      <c r="O126" s="385" t="n"/>
      <c r="P126" s="385" t="n"/>
      <c r="Q126" s="385" t="n"/>
      <c r="R126" s="351" t="n"/>
      <c r="S126" s="40" t="inlineStr"/>
      <c r="T126" s="40" t="inlineStr"/>
      <c r="U126" s="41" t="inlineStr">
        <is>
          <t>кор</t>
        </is>
      </c>
      <c r="V126" s="386" t="n">
        <v>0</v>
      </c>
      <c r="W126" s="387">
        <f>IFERROR(IF(V126="","",V126),"")</f>
        <v/>
      </c>
      <c r="X126" s="42">
        <f>IFERROR(IF(V126="","",V126*0.01786),"")</f>
        <v/>
      </c>
      <c r="Y126" s="69" t="inlineStr"/>
      <c r="Z126" s="70" t="inlineStr"/>
      <c r="AD126" s="74" t="n"/>
      <c r="BA126" s="119" t="inlineStr">
        <is>
          <t>ПГП</t>
        </is>
      </c>
    </row>
    <row r="127" ht="27" customHeight="1">
      <c r="A127" s="64" t="inlineStr">
        <is>
          <t>SU002177</t>
        </is>
      </c>
      <c r="B127" s="64" t="inlineStr">
        <is>
          <t>P002299</t>
        </is>
      </c>
      <c r="C127" s="37" t="n">
        <v>4301070797</v>
      </c>
      <c r="D127" s="183" t="n">
        <v>4607111035646</v>
      </c>
      <c r="E127" s="351" t="n"/>
      <c r="F127" s="383" t="n">
        <v>0.2</v>
      </c>
      <c r="G127" s="38" t="n">
        <v>8</v>
      </c>
      <c r="H127" s="383" t="n">
        <v>1.6</v>
      </c>
      <c r="I127" s="383" t="n">
        <v>2.12</v>
      </c>
      <c r="J127" s="38" t="n">
        <v>72</v>
      </c>
      <c r="K127" s="38" t="inlineStr">
        <is>
          <t>6</t>
        </is>
      </c>
      <c r="L127" s="39" t="inlineStr">
        <is>
          <t>МГ</t>
        </is>
      </c>
      <c r="M127" s="38" t="n">
        <v>180</v>
      </c>
      <c r="N127" s="435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/>
      </c>
      <c r="O127" s="385" t="n"/>
      <c r="P127" s="385" t="n"/>
      <c r="Q127" s="385" t="n"/>
      <c r="R127" s="351" t="n"/>
      <c r="S127" s="40" t="inlineStr"/>
      <c r="T127" s="40" t="inlineStr"/>
      <c r="U127" s="41" t="inlineStr">
        <is>
          <t>кор</t>
        </is>
      </c>
      <c r="V127" s="386" t="n">
        <v>0</v>
      </c>
      <c r="W127" s="387">
        <f>IFERROR(IF(V127="","",V127),"")</f>
        <v/>
      </c>
      <c r="X127" s="42">
        <f>IFERROR(IF(V127="","",V127*0.01157),"")</f>
        <v/>
      </c>
      <c r="Y127" s="69" t="inlineStr"/>
      <c r="Z127" s="70" t="inlineStr"/>
      <c r="AD127" s="74" t="n"/>
      <c r="BA127" s="120" t="inlineStr">
        <is>
          <t>ПГП</t>
        </is>
      </c>
    </row>
    <row r="128">
      <c r="A128" s="178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388" t="n"/>
      <c r="N128" s="389" t="inlineStr">
        <is>
          <t>Итого</t>
        </is>
      </c>
      <c r="O128" s="359" t="n"/>
      <c r="P128" s="359" t="n"/>
      <c r="Q128" s="359" t="n"/>
      <c r="R128" s="359" t="n"/>
      <c r="S128" s="359" t="n"/>
      <c r="T128" s="360" t="n"/>
      <c r="U128" s="43" t="inlineStr">
        <is>
          <t>кор</t>
        </is>
      </c>
      <c r="V128" s="390">
        <f>IFERROR(SUM(V126:V127),"0")</f>
        <v/>
      </c>
      <c r="W128" s="390">
        <f>IFERROR(SUM(W126:W127),"0")</f>
        <v/>
      </c>
      <c r="X128" s="390">
        <f>IFERROR(IF(X126="",0,X126),"0")+IFERROR(IF(X127="",0,X127),"0")</f>
        <v/>
      </c>
      <c r="Y128" s="391" t="n"/>
      <c r="Z128" s="39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388" t="n"/>
      <c r="N129" s="389" t="inlineStr">
        <is>
          <t>Итого</t>
        </is>
      </c>
      <c r="O129" s="359" t="n"/>
      <c r="P129" s="359" t="n"/>
      <c r="Q129" s="359" t="n"/>
      <c r="R129" s="359" t="n"/>
      <c r="S129" s="359" t="n"/>
      <c r="T129" s="360" t="n"/>
      <c r="U129" s="43" t="inlineStr">
        <is>
          <t>кг</t>
        </is>
      </c>
      <c r="V129" s="390">
        <f>IFERROR(SUMPRODUCT(V126:V127*H126:H127),"0")</f>
        <v/>
      </c>
      <c r="W129" s="390">
        <f>IFERROR(SUMPRODUCT(W126:W127*H126:H127),"0")</f>
        <v/>
      </c>
      <c r="X129" s="43" t="n"/>
      <c r="Y129" s="391" t="n"/>
      <c r="Z129" s="391" t="n"/>
    </row>
    <row r="130" ht="16.5" customHeight="1">
      <c r="A130" s="207" t="inlineStr">
        <is>
          <t>Чебуманы</t>
        </is>
      </c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207" t="n"/>
      <c r="Z130" s="207" t="n"/>
    </row>
    <row r="131" ht="14.25" customHeight="1">
      <c r="A131" s="196" t="inlineStr">
        <is>
          <t>Снеки</t>
        </is>
      </c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96" t="n"/>
      <c r="Z131" s="196" t="n"/>
    </row>
    <row r="132" ht="27" customHeight="1">
      <c r="A132" s="64" t="inlineStr">
        <is>
          <t>SU002668</t>
        </is>
      </c>
      <c r="B132" s="64" t="inlineStr">
        <is>
          <t>P003040</t>
        </is>
      </c>
      <c r="C132" s="37" t="n">
        <v>4301135133</v>
      </c>
      <c r="D132" s="183" t="n">
        <v>4607111036568</v>
      </c>
      <c r="E132" s="351" t="n"/>
      <c r="F132" s="383" t="n">
        <v>0.28</v>
      </c>
      <c r="G132" s="38" t="n">
        <v>6</v>
      </c>
      <c r="H132" s="383" t="n">
        <v>1.68</v>
      </c>
      <c r="I132" s="383" t="n">
        <v>2.1018</v>
      </c>
      <c r="J132" s="38" t="n">
        <v>126</v>
      </c>
      <c r="K132" s="38" t="inlineStr">
        <is>
          <t>14</t>
        </is>
      </c>
      <c r="L132" s="39" t="inlineStr">
        <is>
          <t>МГ</t>
        </is>
      </c>
      <c r="M132" s="38" t="n">
        <v>180</v>
      </c>
      <c r="N132" s="436">
        <f>HYPERLINK("https://abi.ru/products/Замороженные/Горячая штучка/Чебуманы/Снеки/P003040/","Снеки Чебуманы с говядиной Чебуманы Фикс.вес 0,28 лоток Горячая штучка")</f>
        <v/>
      </c>
      <c r="O132" s="385" t="n"/>
      <c r="P132" s="385" t="n"/>
      <c r="Q132" s="385" t="n"/>
      <c r="R132" s="351" t="n"/>
      <c r="S132" s="40" t="inlineStr"/>
      <c r="T132" s="40" t="inlineStr"/>
      <c r="U132" s="41" t="inlineStr">
        <is>
          <t>кор</t>
        </is>
      </c>
      <c r="V132" s="386" t="n">
        <v>0</v>
      </c>
      <c r="W132" s="387">
        <f>IFERROR(IF(V132="","",V132),"")</f>
        <v/>
      </c>
      <c r="X132" s="42">
        <f>IFERROR(IF(V132="","",V132*0.00936),"")</f>
        <v/>
      </c>
      <c r="Y132" s="69" t="inlineStr"/>
      <c r="Z132" s="70" t="inlineStr"/>
      <c r="AD132" s="74" t="n"/>
      <c r="BA132" s="121" t="inlineStr">
        <is>
          <t>ПГП</t>
        </is>
      </c>
    </row>
    <row r="133">
      <c r="A133" s="178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388" t="n"/>
      <c r="N133" s="389" t="inlineStr">
        <is>
          <t>Итого</t>
        </is>
      </c>
      <c r="O133" s="359" t="n"/>
      <c r="P133" s="359" t="n"/>
      <c r="Q133" s="359" t="n"/>
      <c r="R133" s="359" t="n"/>
      <c r="S133" s="359" t="n"/>
      <c r="T133" s="360" t="n"/>
      <c r="U133" s="43" t="inlineStr">
        <is>
          <t>кор</t>
        </is>
      </c>
      <c r="V133" s="390">
        <f>IFERROR(SUM(V132:V132),"0")</f>
        <v/>
      </c>
      <c r="W133" s="390">
        <f>IFERROR(SUM(W132:W132),"0")</f>
        <v/>
      </c>
      <c r="X133" s="390">
        <f>IFERROR(IF(X132="",0,X132),"0")</f>
        <v/>
      </c>
      <c r="Y133" s="391" t="n"/>
      <c r="Z133" s="39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388" t="n"/>
      <c r="N134" s="389" t="inlineStr">
        <is>
          <t>Итого</t>
        </is>
      </c>
      <c r="O134" s="359" t="n"/>
      <c r="P134" s="359" t="n"/>
      <c r="Q134" s="359" t="n"/>
      <c r="R134" s="359" t="n"/>
      <c r="S134" s="359" t="n"/>
      <c r="T134" s="360" t="n"/>
      <c r="U134" s="43" t="inlineStr">
        <is>
          <t>кг</t>
        </is>
      </c>
      <c r="V134" s="390">
        <f>IFERROR(SUMPRODUCT(V132:V132*H132:H132),"0")</f>
        <v/>
      </c>
      <c r="W134" s="390">
        <f>IFERROR(SUMPRODUCT(W132:W132*H132:H132),"0")</f>
        <v/>
      </c>
      <c r="X134" s="43" t="n"/>
      <c r="Y134" s="391" t="n"/>
      <c r="Z134" s="391" t="n"/>
    </row>
    <row r="135" ht="27.75" customHeight="1">
      <c r="A135" s="206" t="inlineStr">
        <is>
          <t>No Name</t>
        </is>
      </c>
      <c r="B135" s="382" t="n"/>
      <c r="C135" s="382" t="n"/>
      <c r="D135" s="382" t="n"/>
      <c r="E135" s="382" t="n"/>
      <c r="F135" s="382" t="n"/>
      <c r="G135" s="382" t="n"/>
      <c r="H135" s="382" t="n"/>
      <c r="I135" s="382" t="n"/>
      <c r="J135" s="382" t="n"/>
      <c r="K135" s="382" t="n"/>
      <c r="L135" s="382" t="n"/>
      <c r="M135" s="382" t="n"/>
      <c r="N135" s="382" t="n"/>
      <c r="O135" s="382" t="n"/>
      <c r="P135" s="382" t="n"/>
      <c r="Q135" s="382" t="n"/>
      <c r="R135" s="382" t="n"/>
      <c r="S135" s="382" t="n"/>
      <c r="T135" s="382" t="n"/>
      <c r="U135" s="382" t="n"/>
      <c r="V135" s="382" t="n"/>
      <c r="W135" s="382" t="n"/>
      <c r="X135" s="382" t="n"/>
      <c r="Y135" s="55" t="n"/>
      <c r="Z135" s="55" t="n"/>
    </row>
    <row r="136" ht="16.5" customHeight="1">
      <c r="A136" s="207" t="inlineStr">
        <is>
          <t>No Name ПГП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207" t="n"/>
      <c r="Z136" s="207" t="n"/>
    </row>
    <row r="137" ht="14.25" customHeight="1">
      <c r="A137" s="196" t="inlineStr">
        <is>
          <t>Снеки</t>
        </is>
      </c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96" t="n"/>
      <c r="Z137" s="196" t="n"/>
    </row>
    <row r="138" ht="16.5" customHeight="1">
      <c r="A138" s="64" t="inlineStr">
        <is>
          <t>SU003415</t>
        </is>
      </c>
      <c r="B138" s="64" t="inlineStr">
        <is>
          <t>P004235</t>
        </is>
      </c>
      <c r="C138" s="37" t="n">
        <v>4301135317</v>
      </c>
      <c r="D138" s="183" t="n">
        <v>4607111039057</v>
      </c>
      <c r="E138" s="351" t="n"/>
      <c r="F138" s="383" t="n">
        <v>1.8</v>
      </c>
      <c r="G138" s="38" t="n">
        <v>1</v>
      </c>
      <c r="H138" s="383" t="n">
        <v>1.8</v>
      </c>
      <c r="I138" s="383" t="n">
        <v>1.9</v>
      </c>
      <c r="J138" s="38" t="n">
        <v>234</v>
      </c>
      <c r="K138" s="38" t="inlineStr">
        <is>
          <t>18</t>
        </is>
      </c>
      <c r="L138" s="39" t="inlineStr">
        <is>
          <t>МГ</t>
        </is>
      </c>
      <c r="M138" s="38" t="n">
        <v>180</v>
      </c>
      <c r="N138" s="437" t="inlineStr">
        <is>
          <t>Снеки «Сосисоны в темпуре» Весовой ТМ «No Name» 1,8</t>
        </is>
      </c>
      <c r="O138" s="385" t="n"/>
      <c r="P138" s="385" t="n"/>
      <c r="Q138" s="385" t="n"/>
      <c r="R138" s="351" t="n"/>
      <c r="S138" s="40" t="inlineStr"/>
      <c r="T138" s="40" t="inlineStr"/>
      <c r="U138" s="41" t="inlineStr">
        <is>
          <t>кор</t>
        </is>
      </c>
      <c r="V138" s="386" t="n">
        <v>0</v>
      </c>
      <c r="W138" s="387">
        <f>IFERROR(IF(V138="","",V138),"")</f>
        <v/>
      </c>
      <c r="X138" s="42">
        <f>IFERROR(IF(V138="","",V138*0.00502),"")</f>
        <v/>
      </c>
      <c r="Y138" s="69" t="inlineStr"/>
      <c r="Z138" s="70" t="inlineStr"/>
      <c r="AD138" s="74" t="n"/>
      <c r="BA138" s="122" t="inlineStr">
        <is>
          <t>ПГП</t>
        </is>
      </c>
    </row>
    <row r="139">
      <c r="A139" s="178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388" t="n"/>
      <c r="N139" s="389" t="inlineStr">
        <is>
          <t>Итого</t>
        </is>
      </c>
      <c r="O139" s="359" t="n"/>
      <c r="P139" s="359" t="n"/>
      <c r="Q139" s="359" t="n"/>
      <c r="R139" s="359" t="n"/>
      <c r="S139" s="359" t="n"/>
      <c r="T139" s="360" t="n"/>
      <c r="U139" s="43" t="inlineStr">
        <is>
          <t>кор</t>
        </is>
      </c>
      <c r="V139" s="390">
        <f>IFERROR(SUM(V138:V138),"0")</f>
        <v/>
      </c>
      <c r="W139" s="390">
        <f>IFERROR(SUM(W138:W138),"0")</f>
        <v/>
      </c>
      <c r="X139" s="390">
        <f>IFERROR(IF(X138="",0,X138),"0")</f>
        <v/>
      </c>
      <c r="Y139" s="391" t="n"/>
      <c r="Z139" s="39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388" t="n"/>
      <c r="N140" s="389" t="inlineStr">
        <is>
          <t>Итого</t>
        </is>
      </c>
      <c r="O140" s="359" t="n"/>
      <c r="P140" s="359" t="n"/>
      <c r="Q140" s="359" t="n"/>
      <c r="R140" s="359" t="n"/>
      <c r="S140" s="359" t="n"/>
      <c r="T140" s="360" t="n"/>
      <c r="U140" s="43" t="inlineStr">
        <is>
          <t>кг</t>
        </is>
      </c>
      <c r="V140" s="390">
        <f>IFERROR(SUMPRODUCT(V138:V138*H138:H138),"0")</f>
        <v/>
      </c>
      <c r="W140" s="390">
        <f>IFERROR(SUMPRODUCT(W138:W138*H138:H138),"0")</f>
        <v/>
      </c>
      <c r="X140" s="43" t="n"/>
      <c r="Y140" s="391" t="n"/>
      <c r="Z140" s="391" t="n"/>
    </row>
    <row r="141" ht="16.5" customHeight="1">
      <c r="A141" s="207" t="inlineStr">
        <is>
          <t>Стародворье ПГП</t>
        </is>
      </c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207" t="n"/>
      <c r="Z141" s="207" t="n"/>
    </row>
    <row r="142" ht="14.25" customHeight="1">
      <c r="A142" s="196" t="inlineStr">
        <is>
          <t>Пельмени ПГП</t>
        </is>
      </c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96" t="n"/>
      <c r="Z142" s="196" t="n"/>
    </row>
    <row r="143" ht="16.5" customHeight="1">
      <c r="A143" s="64" t="inlineStr">
        <is>
          <t>SU002891</t>
        </is>
      </c>
      <c r="B143" s="64" t="inlineStr">
        <is>
          <t>P003301</t>
        </is>
      </c>
      <c r="C143" s="37" t="n">
        <v>4301071010</v>
      </c>
      <c r="D143" s="183" t="n">
        <v>4607111037701</v>
      </c>
      <c r="E143" s="351" t="n"/>
      <c r="F143" s="383" t="n">
        <v>5</v>
      </c>
      <c r="G143" s="38" t="n">
        <v>1</v>
      </c>
      <c r="H143" s="383" t="n">
        <v>5</v>
      </c>
      <c r="I143" s="383" t="n">
        <v>5.2</v>
      </c>
      <c r="J143" s="38" t="n">
        <v>144</v>
      </c>
      <c r="K143" s="38" t="inlineStr">
        <is>
          <t>12</t>
        </is>
      </c>
      <c r="L143" s="39" t="inlineStr">
        <is>
          <t>МГ</t>
        </is>
      </c>
      <c r="M143" s="38" t="n">
        <v>180</v>
      </c>
      <c r="N143" s="438">
        <f>HYPERLINK("https://abi.ru/products/Замороженные/No Name/Стародворье ПГП/Пельмени ПГП/P003301/","Пельмени «Быстромени» Весовой ТМ «No Name» 5")</f>
        <v/>
      </c>
      <c r="O143" s="385" t="n"/>
      <c r="P143" s="385" t="n"/>
      <c r="Q143" s="385" t="n"/>
      <c r="R143" s="351" t="n"/>
      <c r="S143" s="40" t="inlineStr"/>
      <c r="T143" s="40" t="inlineStr"/>
      <c r="U143" s="41" t="inlineStr">
        <is>
          <t>кор</t>
        </is>
      </c>
      <c r="V143" s="386" t="n">
        <v>0</v>
      </c>
      <c r="W143" s="387">
        <f>IFERROR(IF(V143="","",V143),"")</f>
        <v/>
      </c>
      <c r="X143" s="42">
        <f>IFERROR(IF(V143="","",V143*0.00866),"")</f>
        <v/>
      </c>
      <c r="Y143" s="69" t="inlineStr"/>
      <c r="Z143" s="70" t="inlineStr"/>
      <c r="AD143" s="74" t="n"/>
      <c r="BA143" s="123" t="inlineStr">
        <is>
          <t>ПГП</t>
        </is>
      </c>
    </row>
    <row r="144">
      <c r="A144" s="178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388" t="n"/>
      <c r="N144" s="389" t="inlineStr">
        <is>
          <t>Итого</t>
        </is>
      </c>
      <c r="O144" s="359" t="n"/>
      <c r="P144" s="359" t="n"/>
      <c r="Q144" s="359" t="n"/>
      <c r="R144" s="359" t="n"/>
      <c r="S144" s="359" t="n"/>
      <c r="T144" s="360" t="n"/>
      <c r="U144" s="43" t="inlineStr">
        <is>
          <t>кор</t>
        </is>
      </c>
      <c r="V144" s="390">
        <f>IFERROR(SUM(V143:V143),"0")</f>
        <v/>
      </c>
      <c r="W144" s="390">
        <f>IFERROR(SUM(W143:W143),"0")</f>
        <v/>
      </c>
      <c r="X144" s="390">
        <f>IFERROR(IF(X143="",0,X143),"0")</f>
        <v/>
      </c>
      <c r="Y144" s="391" t="n"/>
      <c r="Z144" s="39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388" t="n"/>
      <c r="N145" s="389" t="inlineStr">
        <is>
          <t>Итого</t>
        </is>
      </c>
      <c r="O145" s="359" t="n"/>
      <c r="P145" s="359" t="n"/>
      <c r="Q145" s="359" t="n"/>
      <c r="R145" s="359" t="n"/>
      <c r="S145" s="359" t="n"/>
      <c r="T145" s="360" t="n"/>
      <c r="U145" s="43" t="inlineStr">
        <is>
          <t>кг</t>
        </is>
      </c>
      <c r="V145" s="390">
        <f>IFERROR(SUMPRODUCT(V143:V143*H143:H143),"0")</f>
        <v/>
      </c>
      <c r="W145" s="390">
        <f>IFERROR(SUMPRODUCT(W143:W143*H143:H143),"0")</f>
        <v/>
      </c>
      <c r="X145" s="43" t="n"/>
      <c r="Y145" s="391" t="n"/>
      <c r="Z145" s="391" t="n"/>
    </row>
    <row r="146" ht="16.5" customHeight="1">
      <c r="A146" s="207" t="inlineStr">
        <is>
          <t>No Name ЗПФ</t>
        </is>
      </c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207" t="n"/>
      <c r="Z146" s="207" t="n"/>
    </row>
    <row r="147" ht="14.25" customHeight="1">
      <c r="A147" s="196" t="inlineStr">
        <is>
          <t>Пельмени</t>
        </is>
      </c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96" t="n"/>
      <c r="Z147" s="196" t="n"/>
    </row>
    <row r="148" ht="16.5" customHeight="1">
      <c r="A148" s="64" t="inlineStr">
        <is>
          <t>SU002396</t>
        </is>
      </c>
      <c r="B148" s="64" t="inlineStr">
        <is>
          <t>P004073</t>
        </is>
      </c>
      <c r="C148" s="37" t="n">
        <v>4301071026</v>
      </c>
      <c r="D148" s="183" t="n">
        <v>4607111036384</v>
      </c>
      <c r="E148" s="351" t="n"/>
      <c r="F148" s="383" t="n">
        <v>1</v>
      </c>
      <c r="G148" s="38" t="n">
        <v>5</v>
      </c>
      <c r="H148" s="383" t="n">
        <v>5</v>
      </c>
      <c r="I148" s="383" t="n">
        <v>5.253</v>
      </c>
      <c r="J148" s="38" t="n">
        <v>144</v>
      </c>
      <c r="K148" s="38" t="inlineStr">
        <is>
          <t>12</t>
        </is>
      </c>
      <c r="L148" s="39" t="inlineStr">
        <is>
          <t>МГ</t>
        </is>
      </c>
      <c r="M148" s="38" t="n">
        <v>180</v>
      </c>
      <c r="N148" s="439" t="inlineStr">
        <is>
          <t>Пельмени Зареченские No name Весовые Сфера No name 5 кг</t>
        </is>
      </c>
      <c r="O148" s="385" t="n"/>
      <c r="P148" s="385" t="n"/>
      <c r="Q148" s="385" t="n"/>
      <c r="R148" s="351" t="n"/>
      <c r="S148" s="40" t="inlineStr"/>
      <c r="T148" s="40" t="inlineStr"/>
      <c r="U148" s="41" t="inlineStr">
        <is>
          <t>кор</t>
        </is>
      </c>
      <c r="V148" s="386" t="n">
        <v>0</v>
      </c>
      <c r="W148" s="387">
        <f>IFERROR(IF(V148="","",V148),"")</f>
        <v/>
      </c>
      <c r="X148" s="42">
        <f>IFERROR(IF(V148="","",V148*0.00866),"")</f>
        <v/>
      </c>
      <c r="Y148" s="69" t="inlineStr"/>
      <c r="Z148" s="70" t="inlineStr"/>
      <c r="AD148" s="74" t="n"/>
      <c r="BA148" s="124" t="inlineStr">
        <is>
          <t>ЗПФ</t>
        </is>
      </c>
    </row>
    <row r="149" ht="27" customHeight="1">
      <c r="A149" s="64" t="inlineStr">
        <is>
          <t>SU002314</t>
        </is>
      </c>
      <c r="B149" s="64" t="inlineStr">
        <is>
          <t>P003452</t>
        </is>
      </c>
      <c r="C149" s="37" t="n">
        <v>4301070956</v>
      </c>
      <c r="D149" s="183" t="n">
        <v>4640242180250</v>
      </c>
      <c r="E149" s="351" t="n"/>
      <c r="F149" s="383" t="n">
        <v>5</v>
      </c>
      <c r="G149" s="38" t="n">
        <v>1</v>
      </c>
      <c r="H149" s="383" t="n">
        <v>5</v>
      </c>
      <c r="I149" s="383" t="n">
        <v>5.2132</v>
      </c>
      <c r="J149" s="38" t="n">
        <v>144</v>
      </c>
      <c r="K149" s="38" t="inlineStr">
        <is>
          <t>12</t>
        </is>
      </c>
      <c r="L149" s="39" t="inlineStr">
        <is>
          <t>МГ</t>
        </is>
      </c>
      <c r="M149" s="38" t="n">
        <v>180</v>
      </c>
      <c r="N149" s="440" t="inlineStr">
        <is>
          <t>Пельмени «Хинкали Классические» Весовые Хинкали ТМ «Зареченские» 5 кг</t>
        </is>
      </c>
      <c r="O149" s="385" t="n"/>
      <c r="P149" s="385" t="n"/>
      <c r="Q149" s="385" t="n"/>
      <c r="R149" s="351" t="n"/>
      <c r="S149" s="40" t="inlineStr"/>
      <c r="T149" s="40" t="inlineStr"/>
      <c r="U149" s="41" t="inlineStr">
        <is>
          <t>кор</t>
        </is>
      </c>
      <c r="V149" s="386" t="n">
        <v>0</v>
      </c>
      <c r="W149" s="387">
        <f>IFERROR(IF(V149="","",V149),"")</f>
        <v/>
      </c>
      <c r="X149" s="42">
        <f>IFERROR(IF(V149="","",V149*0.00866),"")</f>
        <v/>
      </c>
      <c r="Y149" s="69" t="inlineStr"/>
      <c r="Z149" s="70" t="inlineStr"/>
      <c r="AD149" s="74" t="n"/>
      <c r="BA149" s="125" t="inlineStr">
        <is>
          <t>ЗПФ</t>
        </is>
      </c>
    </row>
    <row r="150" ht="27" customHeight="1">
      <c r="A150" s="64" t="inlineStr">
        <is>
          <t>SU000197</t>
        </is>
      </c>
      <c r="B150" s="64" t="inlineStr">
        <is>
          <t>P004077</t>
        </is>
      </c>
      <c r="C150" s="37" t="n">
        <v>4301071028</v>
      </c>
      <c r="D150" s="183" t="n">
        <v>4607111036216</v>
      </c>
      <c r="E150" s="351" t="n"/>
      <c r="F150" s="383" t="n">
        <v>1</v>
      </c>
      <c r="G150" s="38" t="n">
        <v>5</v>
      </c>
      <c r="H150" s="383" t="n">
        <v>5</v>
      </c>
      <c r="I150" s="383" t="n">
        <v>5.266</v>
      </c>
      <c r="J150" s="38" t="n">
        <v>144</v>
      </c>
      <c r="K150" s="38" t="inlineStr">
        <is>
          <t>12</t>
        </is>
      </c>
      <c r="L150" s="39" t="inlineStr">
        <is>
          <t>МГ</t>
        </is>
      </c>
      <c r="M150" s="38" t="n">
        <v>180</v>
      </c>
      <c r="N150" s="441">
        <f>HYPERLINK("https://abi.ru/products/Замороженные/No Name/No Name ЗПФ/Пельмени/P004077/","Пельмени Пуговки с говядиной и свининой No Name Весовые Сфера No Name 5 кг")</f>
        <v/>
      </c>
      <c r="O150" s="385" t="n"/>
      <c r="P150" s="385" t="n"/>
      <c r="Q150" s="385" t="n"/>
      <c r="R150" s="351" t="n"/>
      <c r="S150" s="40" t="inlineStr"/>
      <c r="T150" s="40" t="inlineStr"/>
      <c r="U150" s="41" t="inlineStr">
        <is>
          <t>кор</t>
        </is>
      </c>
      <c r="V150" s="386" t="n">
        <v>0</v>
      </c>
      <c r="W150" s="387">
        <f>IFERROR(IF(V150="","",V150),"")</f>
        <v/>
      </c>
      <c r="X150" s="42">
        <f>IFERROR(IF(V150="","",V150*0.00866),"")</f>
        <v/>
      </c>
      <c r="Y150" s="69" t="inlineStr"/>
      <c r="Z150" s="70" t="inlineStr"/>
      <c r="AD150" s="74" t="n"/>
      <c r="BA150" s="126" t="inlineStr">
        <is>
          <t>ЗПФ</t>
        </is>
      </c>
    </row>
    <row r="151" ht="27" customHeight="1">
      <c r="A151" s="64" t="inlineStr">
        <is>
          <t>SU002335</t>
        </is>
      </c>
      <c r="B151" s="64" t="inlineStr">
        <is>
          <t>P004076</t>
        </is>
      </c>
      <c r="C151" s="37" t="n">
        <v>4301071027</v>
      </c>
      <c r="D151" s="183" t="n">
        <v>4607111036278</v>
      </c>
      <c r="E151" s="351" t="n"/>
      <c r="F151" s="383" t="n">
        <v>1</v>
      </c>
      <c r="G151" s="38" t="n">
        <v>5</v>
      </c>
      <c r="H151" s="383" t="n">
        <v>5</v>
      </c>
      <c r="I151" s="383" t="n">
        <v>5.283</v>
      </c>
      <c r="J151" s="38" t="n">
        <v>84</v>
      </c>
      <c r="K151" s="38" t="inlineStr">
        <is>
          <t>12</t>
        </is>
      </c>
      <c r="L151" s="39" t="inlineStr">
        <is>
          <t>МГ</t>
        </is>
      </c>
      <c r="M151" s="38" t="n">
        <v>180</v>
      </c>
      <c r="N151" s="442" t="inlineStr">
        <is>
          <t>Пельмени Умелый повар No name Весовые Равиоли No name 5 кг</t>
        </is>
      </c>
      <c r="O151" s="385" t="n"/>
      <c r="P151" s="385" t="n"/>
      <c r="Q151" s="385" t="n"/>
      <c r="R151" s="351" t="n"/>
      <c r="S151" s="40" t="inlineStr"/>
      <c r="T151" s="40" t="inlineStr"/>
      <c r="U151" s="41" t="inlineStr">
        <is>
          <t>кор</t>
        </is>
      </c>
      <c r="V151" s="386" t="n">
        <v>0</v>
      </c>
      <c r="W151" s="387">
        <f>IFERROR(IF(V151="","",V151),"")</f>
        <v/>
      </c>
      <c r="X151" s="42">
        <f>IFERROR(IF(V151="","",V151*0.0155),"")</f>
        <v/>
      </c>
      <c r="Y151" s="69" t="inlineStr"/>
      <c r="Z151" s="70" t="inlineStr"/>
      <c r="AD151" s="74" t="n"/>
      <c r="BA151" s="127" t="inlineStr">
        <is>
          <t>ЗПФ</t>
        </is>
      </c>
    </row>
    <row r="152">
      <c r="A152" s="178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388" t="n"/>
      <c r="N152" s="389" t="inlineStr">
        <is>
          <t>Итого</t>
        </is>
      </c>
      <c r="O152" s="359" t="n"/>
      <c r="P152" s="359" t="n"/>
      <c r="Q152" s="359" t="n"/>
      <c r="R152" s="359" t="n"/>
      <c r="S152" s="359" t="n"/>
      <c r="T152" s="360" t="n"/>
      <c r="U152" s="43" t="inlineStr">
        <is>
          <t>кор</t>
        </is>
      </c>
      <c r="V152" s="390">
        <f>IFERROR(SUM(V148:V151),"0")</f>
        <v/>
      </c>
      <c r="W152" s="390">
        <f>IFERROR(SUM(W148:W151),"0")</f>
        <v/>
      </c>
      <c r="X152" s="390">
        <f>IFERROR(IF(X148="",0,X148),"0")+IFERROR(IF(X149="",0,X149),"0")+IFERROR(IF(X150="",0,X150),"0")+IFERROR(IF(X151="",0,X151),"0")</f>
        <v/>
      </c>
      <c r="Y152" s="391" t="n"/>
      <c r="Z152" s="39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388" t="n"/>
      <c r="N153" s="389" t="inlineStr">
        <is>
          <t>Итого</t>
        </is>
      </c>
      <c r="O153" s="359" t="n"/>
      <c r="P153" s="359" t="n"/>
      <c r="Q153" s="359" t="n"/>
      <c r="R153" s="359" t="n"/>
      <c r="S153" s="359" t="n"/>
      <c r="T153" s="360" t="n"/>
      <c r="U153" s="43" t="inlineStr">
        <is>
          <t>кг</t>
        </is>
      </c>
      <c r="V153" s="390">
        <f>IFERROR(SUMPRODUCT(V148:V151*H148:H151),"0")</f>
        <v/>
      </c>
      <c r="W153" s="390">
        <f>IFERROR(SUMPRODUCT(W148:W151*H148:H151),"0")</f>
        <v/>
      </c>
      <c r="X153" s="43" t="n"/>
      <c r="Y153" s="391" t="n"/>
      <c r="Z153" s="391" t="n"/>
    </row>
    <row r="154" ht="14.25" customHeight="1">
      <c r="A154" s="196" t="inlineStr">
        <is>
          <t>Вареники</t>
        </is>
      </c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96" t="n"/>
      <c r="Z154" s="196" t="n"/>
    </row>
    <row r="155" ht="27" customHeight="1">
      <c r="A155" s="64" t="inlineStr">
        <is>
          <t>SU002532</t>
        </is>
      </c>
      <c r="B155" s="64" t="inlineStr">
        <is>
          <t>P002958</t>
        </is>
      </c>
      <c r="C155" s="37" t="n">
        <v>4301080153</v>
      </c>
      <c r="D155" s="183" t="n">
        <v>4607111036827</v>
      </c>
      <c r="E155" s="351" t="n"/>
      <c r="F155" s="383" t="n">
        <v>1</v>
      </c>
      <c r="G155" s="38" t="n">
        <v>5</v>
      </c>
      <c r="H155" s="383" t="n">
        <v>5</v>
      </c>
      <c r="I155" s="383" t="n">
        <v>5.2</v>
      </c>
      <c r="J155" s="38" t="n">
        <v>144</v>
      </c>
      <c r="K155" s="38" t="inlineStr">
        <is>
          <t>12</t>
        </is>
      </c>
      <c r="L155" s="39" t="inlineStr">
        <is>
          <t>МГ</t>
        </is>
      </c>
      <c r="M155" s="38" t="n">
        <v>90</v>
      </c>
      <c r="N155" s="443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/>
      </c>
      <c r="O155" s="385" t="n"/>
      <c r="P155" s="385" t="n"/>
      <c r="Q155" s="385" t="n"/>
      <c r="R155" s="351" t="n"/>
      <c r="S155" s="40" t="inlineStr"/>
      <c r="T155" s="40" t="inlineStr"/>
      <c r="U155" s="41" t="inlineStr">
        <is>
          <t>кор</t>
        </is>
      </c>
      <c r="V155" s="386" t="n">
        <v>0</v>
      </c>
      <c r="W155" s="387">
        <f>IFERROR(IF(V155="","",V155),"")</f>
        <v/>
      </c>
      <c r="X155" s="42">
        <f>IFERROR(IF(V155="","",V155*0.00866),"")</f>
        <v/>
      </c>
      <c r="Y155" s="69" t="inlineStr"/>
      <c r="Z155" s="70" t="inlineStr"/>
      <c r="AD155" s="74" t="n"/>
      <c r="BA155" s="128" t="inlineStr">
        <is>
          <t>ЗПФ</t>
        </is>
      </c>
    </row>
    <row r="156" ht="27" customHeight="1">
      <c r="A156" s="64" t="inlineStr">
        <is>
          <t>SU002483</t>
        </is>
      </c>
      <c r="B156" s="64" t="inlineStr">
        <is>
          <t>P002961</t>
        </is>
      </c>
      <c r="C156" s="37" t="n">
        <v>4301080154</v>
      </c>
      <c r="D156" s="183" t="n">
        <v>4607111036834</v>
      </c>
      <c r="E156" s="351" t="n"/>
      <c r="F156" s="383" t="n">
        <v>1</v>
      </c>
      <c r="G156" s="38" t="n">
        <v>5</v>
      </c>
      <c r="H156" s="383" t="n">
        <v>5</v>
      </c>
      <c r="I156" s="383" t="n">
        <v>5.253</v>
      </c>
      <c r="J156" s="38" t="n">
        <v>144</v>
      </c>
      <c r="K156" s="38" t="inlineStr">
        <is>
          <t>12</t>
        </is>
      </c>
      <c r="L156" s="39" t="inlineStr">
        <is>
          <t>МГ</t>
        </is>
      </c>
      <c r="M156" s="38" t="n">
        <v>90</v>
      </c>
      <c r="N156" s="444">
        <f>HYPERLINK("https://abi.ru/products/Замороженные/No Name/No Name ЗПФ/Вареники/P002961/","Вареники с картофелем и луком No name Весовые Классическая форма No name 5 кг")</f>
        <v/>
      </c>
      <c r="O156" s="385" t="n"/>
      <c r="P156" s="385" t="n"/>
      <c r="Q156" s="385" t="n"/>
      <c r="R156" s="351" t="n"/>
      <c r="S156" s="40" t="inlineStr"/>
      <c r="T156" s="40" t="inlineStr"/>
      <c r="U156" s="41" t="inlineStr">
        <is>
          <t>кор</t>
        </is>
      </c>
      <c r="V156" s="386" t="n">
        <v>0</v>
      </c>
      <c r="W156" s="387">
        <f>IFERROR(IF(V156="","",V156),"")</f>
        <v/>
      </c>
      <c r="X156" s="42">
        <f>IFERROR(IF(V156="","",V156*0.00866),"")</f>
        <v/>
      </c>
      <c r="Y156" s="69" t="inlineStr"/>
      <c r="Z156" s="70" t="inlineStr"/>
      <c r="AD156" s="74" t="n"/>
      <c r="BA156" s="129" t="inlineStr">
        <is>
          <t>ЗПФ</t>
        </is>
      </c>
    </row>
    <row r="157">
      <c r="A157" s="178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388" t="n"/>
      <c r="N157" s="389" t="inlineStr">
        <is>
          <t>Итого</t>
        </is>
      </c>
      <c r="O157" s="359" t="n"/>
      <c r="P157" s="359" t="n"/>
      <c r="Q157" s="359" t="n"/>
      <c r="R157" s="359" t="n"/>
      <c r="S157" s="359" t="n"/>
      <c r="T157" s="360" t="n"/>
      <c r="U157" s="43" t="inlineStr">
        <is>
          <t>кор</t>
        </is>
      </c>
      <c r="V157" s="390">
        <f>IFERROR(SUM(V155:V156),"0")</f>
        <v/>
      </c>
      <c r="W157" s="390">
        <f>IFERROR(SUM(W155:W156),"0")</f>
        <v/>
      </c>
      <c r="X157" s="390">
        <f>IFERROR(IF(X155="",0,X155),"0")+IFERROR(IF(X156="",0,X156),"0")</f>
        <v/>
      </c>
      <c r="Y157" s="391" t="n"/>
      <c r="Z157" s="39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388" t="n"/>
      <c r="N158" s="389" t="inlineStr">
        <is>
          <t>Итого</t>
        </is>
      </c>
      <c r="O158" s="359" t="n"/>
      <c r="P158" s="359" t="n"/>
      <c r="Q158" s="359" t="n"/>
      <c r="R158" s="359" t="n"/>
      <c r="S158" s="359" t="n"/>
      <c r="T158" s="360" t="n"/>
      <c r="U158" s="43" t="inlineStr">
        <is>
          <t>кг</t>
        </is>
      </c>
      <c r="V158" s="390">
        <f>IFERROR(SUMPRODUCT(V155:V156*H155:H156),"0")</f>
        <v/>
      </c>
      <c r="W158" s="390">
        <f>IFERROR(SUMPRODUCT(W155:W156*H155:H156),"0")</f>
        <v/>
      </c>
      <c r="X158" s="43" t="n"/>
      <c r="Y158" s="391" t="n"/>
      <c r="Z158" s="391" t="n"/>
    </row>
    <row r="159" ht="27.75" customHeight="1">
      <c r="A159" s="206" t="inlineStr">
        <is>
          <t>Вязанка</t>
        </is>
      </c>
      <c r="B159" s="382" t="n"/>
      <c r="C159" s="382" t="n"/>
      <c r="D159" s="382" t="n"/>
      <c r="E159" s="382" t="n"/>
      <c r="F159" s="382" t="n"/>
      <c r="G159" s="382" t="n"/>
      <c r="H159" s="382" t="n"/>
      <c r="I159" s="382" t="n"/>
      <c r="J159" s="382" t="n"/>
      <c r="K159" s="382" t="n"/>
      <c r="L159" s="382" t="n"/>
      <c r="M159" s="382" t="n"/>
      <c r="N159" s="382" t="n"/>
      <c r="O159" s="382" t="n"/>
      <c r="P159" s="382" t="n"/>
      <c r="Q159" s="382" t="n"/>
      <c r="R159" s="382" t="n"/>
      <c r="S159" s="382" t="n"/>
      <c r="T159" s="382" t="n"/>
      <c r="U159" s="382" t="n"/>
      <c r="V159" s="382" t="n"/>
      <c r="W159" s="382" t="n"/>
      <c r="X159" s="382" t="n"/>
      <c r="Y159" s="55" t="n"/>
      <c r="Z159" s="55" t="n"/>
    </row>
    <row r="160" ht="16.5" customHeight="1">
      <c r="A160" s="207" t="inlineStr">
        <is>
          <t>Няняггетсы Сливушки</t>
        </is>
      </c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207" t="n"/>
      <c r="Z160" s="207" t="n"/>
    </row>
    <row r="161" ht="14.25" customHeight="1">
      <c r="A161" s="196" t="inlineStr">
        <is>
          <t>Наггетсы</t>
        </is>
      </c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96" t="n"/>
      <c r="Z161" s="196" t="n"/>
    </row>
    <row r="162" ht="16.5" customHeight="1">
      <c r="A162" s="64" t="inlineStr">
        <is>
          <t>SU002516</t>
        </is>
      </c>
      <c r="B162" s="64" t="inlineStr">
        <is>
          <t>P002823</t>
        </is>
      </c>
      <c r="C162" s="37" t="n">
        <v>4301132048</v>
      </c>
      <c r="D162" s="183" t="n">
        <v>4607111035721</v>
      </c>
      <c r="E162" s="351" t="n"/>
      <c r="F162" s="383" t="n">
        <v>0.25</v>
      </c>
      <c r="G162" s="38" t="n">
        <v>12</v>
      </c>
      <c r="H162" s="383" t="n">
        <v>3</v>
      </c>
      <c r="I162" s="383" t="n">
        <v>3.388</v>
      </c>
      <c r="J162" s="38" t="n">
        <v>70</v>
      </c>
      <c r="K162" s="38" t="inlineStr">
        <is>
          <t>14</t>
        </is>
      </c>
      <c r="L162" s="39" t="inlineStr">
        <is>
          <t>МГ</t>
        </is>
      </c>
      <c r="M162" s="38" t="n">
        <v>180</v>
      </c>
      <c r="N162" s="445">
        <f>HYPERLINK("https://abi.ru/products/Замороженные/Вязанка/Няняггетсы Сливушки/Наггетсы/P002823/","Наггетсы С индейкой Наггетсы Фикс.вес 0,25 Лоток Вязанка")</f>
        <v/>
      </c>
      <c r="O162" s="385" t="n"/>
      <c r="P162" s="385" t="n"/>
      <c r="Q162" s="385" t="n"/>
      <c r="R162" s="351" t="n"/>
      <c r="S162" s="40" t="inlineStr"/>
      <c r="T162" s="40" t="inlineStr"/>
      <c r="U162" s="41" t="inlineStr">
        <is>
          <t>кор</t>
        </is>
      </c>
      <c r="V162" s="386" t="n">
        <v>0</v>
      </c>
      <c r="W162" s="387">
        <f>IFERROR(IF(V162="","",V162),"")</f>
        <v/>
      </c>
      <c r="X162" s="42">
        <f>IFERROR(IF(V162="","",V162*0.01788),"")</f>
        <v/>
      </c>
      <c r="Y162" s="69" t="inlineStr"/>
      <c r="Z162" s="70" t="inlineStr"/>
      <c r="AD162" s="74" t="n"/>
      <c r="BA162" s="130" t="inlineStr">
        <is>
          <t>ПГП</t>
        </is>
      </c>
    </row>
    <row r="163" ht="27" customHeight="1">
      <c r="A163" s="64" t="inlineStr">
        <is>
          <t>SU002514</t>
        </is>
      </c>
      <c r="B163" s="64" t="inlineStr">
        <is>
          <t>P002820</t>
        </is>
      </c>
      <c r="C163" s="37" t="n">
        <v>4301132046</v>
      </c>
      <c r="D163" s="183" t="n">
        <v>4607111035691</v>
      </c>
      <c r="E163" s="351" t="n"/>
      <c r="F163" s="383" t="n">
        <v>0.25</v>
      </c>
      <c r="G163" s="38" t="n">
        <v>12</v>
      </c>
      <c r="H163" s="383" t="n">
        <v>3</v>
      </c>
      <c r="I163" s="383" t="n">
        <v>3.388</v>
      </c>
      <c r="J163" s="38" t="n">
        <v>70</v>
      </c>
      <c r="K163" s="38" t="inlineStr">
        <is>
          <t>14</t>
        </is>
      </c>
      <c r="L163" s="39" t="inlineStr">
        <is>
          <t>МГ</t>
        </is>
      </c>
      <c r="M163" s="38" t="n">
        <v>180</v>
      </c>
      <c r="N163" s="446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/>
      </c>
      <c r="O163" s="385" t="n"/>
      <c r="P163" s="385" t="n"/>
      <c r="Q163" s="385" t="n"/>
      <c r="R163" s="351" t="n"/>
      <c r="S163" s="40" t="inlineStr"/>
      <c r="T163" s="40" t="inlineStr"/>
      <c r="U163" s="41" t="inlineStr">
        <is>
          <t>кор</t>
        </is>
      </c>
      <c r="V163" s="386" t="n">
        <v>173</v>
      </c>
      <c r="W163" s="387">
        <f>IFERROR(IF(V163="","",V163),"")</f>
        <v/>
      </c>
      <c r="X163" s="42">
        <f>IFERROR(IF(V163="","",V163*0.01788),"")</f>
        <v/>
      </c>
      <c r="Y163" s="69" t="inlineStr"/>
      <c r="Z163" s="70" t="inlineStr"/>
      <c r="AD163" s="74" t="n"/>
      <c r="BA163" s="131" t="inlineStr">
        <is>
          <t>ПГП</t>
        </is>
      </c>
    </row>
    <row r="164">
      <c r="A164" s="178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388" t="n"/>
      <c r="N164" s="389" t="inlineStr">
        <is>
          <t>Итого</t>
        </is>
      </c>
      <c r="O164" s="359" t="n"/>
      <c r="P164" s="359" t="n"/>
      <c r="Q164" s="359" t="n"/>
      <c r="R164" s="359" t="n"/>
      <c r="S164" s="359" t="n"/>
      <c r="T164" s="360" t="n"/>
      <c r="U164" s="43" t="inlineStr">
        <is>
          <t>кор</t>
        </is>
      </c>
      <c r="V164" s="390">
        <f>IFERROR(SUM(V162:V163),"0")</f>
        <v/>
      </c>
      <c r="W164" s="390">
        <f>IFERROR(SUM(W162:W163),"0")</f>
        <v/>
      </c>
      <c r="X164" s="390">
        <f>IFERROR(IF(X162="",0,X162),"0")+IFERROR(IF(X163="",0,X163),"0")</f>
        <v/>
      </c>
      <c r="Y164" s="391" t="n"/>
      <c r="Z164" s="39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388" t="n"/>
      <c r="N165" s="389" t="inlineStr">
        <is>
          <t>Итого</t>
        </is>
      </c>
      <c r="O165" s="359" t="n"/>
      <c r="P165" s="359" t="n"/>
      <c r="Q165" s="359" t="n"/>
      <c r="R165" s="359" t="n"/>
      <c r="S165" s="359" t="n"/>
      <c r="T165" s="360" t="n"/>
      <c r="U165" s="43" t="inlineStr">
        <is>
          <t>кг</t>
        </is>
      </c>
      <c r="V165" s="390">
        <f>IFERROR(SUMPRODUCT(V162:V163*H162:H163),"0")</f>
        <v/>
      </c>
      <c r="W165" s="390">
        <f>IFERROR(SUMPRODUCT(W162:W163*H162:H163),"0")</f>
        <v/>
      </c>
      <c r="X165" s="43" t="n"/>
      <c r="Y165" s="391" t="n"/>
      <c r="Z165" s="391" t="n"/>
    </row>
    <row r="166" ht="16.5" customHeight="1">
      <c r="A166" s="207" t="inlineStr">
        <is>
          <t>Печеные пельмени</t>
        </is>
      </c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207" t="n"/>
      <c r="Z166" s="207" t="n"/>
    </row>
    <row r="167" ht="14.25" customHeight="1">
      <c r="A167" s="196" t="inlineStr">
        <is>
          <t>Печеные пельмени</t>
        </is>
      </c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96" t="n"/>
      <c r="Z167" s="196" t="n"/>
    </row>
    <row r="168" ht="27" customHeight="1">
      <c r="A168" s="64" t="inlineStr">
        <is>
          <t>SU002225</t>
        </is>
      </c>
      <c r="B168" s="64" t="inlineStr">
        <is>
          <t>P002411</t>
        </is>
      </c>
      <c r="C168" s="37" t="n">
        <v>4301133002</v>
      </c>
      <c r="D168" s="183" t="n">
        <v>4607111035783</v>
      </c>
      <c r="E168" s="351" t="n"/>
      <c r="F168" s="383" t="n">
        <v>0.2</v>
      </c>
      <c r="G168" s="38" t="n">
        <v>8</v>
      </c>
      <c r="H168" s="383" t="n">
        <v>1.6</v>
      </c>
      <c r="I168" s="383" t="n">
        <v>2.12</v>
      </c>
      <c r="J168" s="38" t="n">
        <v>72</v>
      </c>
      <c r="K168" s="38" t="inlineStr">
        <is>
          <t>6</t>
        </is>
      </c>
      <c r="L168" s="39" t="inlineStr">
        <is>
          <t>МГ</t>
        </is>
      </c>
      <c r="M168" s="38" t="n">
        <v>180</v>
      </c>
      <c r="N168" s="447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/>
      </c>
      <c r="O168" s="385" t="n"/>
      <c r="P168" s="385" t="n"/>
      <c r="Q168" s="385" t="n"/>
      <c r="R168" s="351" t="n"/>
      <c r="S168" s="40" t="inlineStr"/>
      <c r="T168" s="40" t="inlineStr"/>
      <c r="U168" s="41" t="inlineStr">
        <is>
          <t>кор</t>
        </is>
      </c>
      <c r="V168" s="386" t="n">
        <v>0</v>
      </c>
      <c r="W168" s="387">
        <f>IFERROR(IF(V168="","",V168),"")</f>
        <v/>
      </c>
      <c r="X168" s="42">
        <f>IFERROR(IF(V168="","",V168*0.01157),"")</f>
        <v/>
      </c>
      <c r="Y168" s="69" t="inlineStr"/>
      <c r="Z168" s="70" t="inlineStr"/>
      <c r="AD168" s="74" t="n"/>
      <c r="BA168" s="132" t="inlineStr">
        <is>
          <t>ПГП</t>
        </is>
      </c>
    </row>
    <row r="169">
      <c r="A169" s="178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388" t="n"/>
      <c r="N169" s="389" t="inlineStr">
        <is>
          <t>Итого</t>
        </is>
      </c>
      <c r="O169" s="359" t="n"/>
      <c r="P169" s="359" t="n"/>
      <c r="Q169" s="359" t="n"/>
      <c r="R169" s="359" t="n"/>
      <c r="S169" s="359" t="n"/>
      <c r="T169" s="360" t="n"/>
      <c r="U169" s="43" t="inlineStr">
        <is>
          <t>кор</t>
        </is>
      </c>
      <c r="V169" s="390">
        <f>IFERROR(SUM(V168:V168),"0")</f>
        <v/>
      </c>
      <c r="W169" s="390">
        <f>IFERROR(SUM(W168:W168),"0")</f>
        <v/>
      </c>
      <c r="X169" s="390">
        <f>IFERROR(IF(X168="",0,X168),"0")</f>
        <v/>
      </c>
      <c r="Y169" s="391" t="n"/>
      <c r="Z169" s="39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388" t="n"/>
      <c r="N170" s="389" t="inlineStr">
        <is>
          <t>Итого</t>
        </is>
      </c>
      <c r="O170" s="359" t="n"/>
      <c r="P170" s="359" t="n"/>
      <c r="Q170" s="359" t="n"/>
      <c r="R170" s="359" t="n"/>
      <c r="S170" s="359" t="n"/>
      <c r="T170" s="360" t="n"/>
      <c r="U170" s="43" t="inlineStr">
        <is>
          <t>кг</t>
        </is>
      </c>
      <c r="V170" s="390">
        <f>IFERROR(SUMPRODUCT(V168:V168*H168:H168),"0")</f>
        <v/>
      </c>
      <c r="W170" s="390">
        <f>IFERROR(SUMPRODUCT(W168:W168*H168:H168),"0")</f>
        <v/>
      </c>
      <c r="X170" s="43" t="n"/>
      <c r="Y170" s="391" t="n"/>
      <c r="Z170" s="391" t="n"/>
    </row>
    <row r="171" ht="16.5" customHeight="1">
      <c r="A171" s="207" t="inlineStr">
        <is>
          <t>Вязанка</t>
        </is>
      </c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207" t="n"/>
      <c r="Z171" s="207" t="n"/>
    </row>
    <row r="172" ht="14.25" customHeight="1">
      <c r="A172" s="196" t="inlineStr">
        <is>
          <t>Сосиски замороженные</t>
        </is>
      </c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96" t="n"/>
      <c r="Z172" s="196" t="n"/>
    </row>
    <row r="173" ht="27" customHeight="1">
      <c r="A173" s="64" t="inlineStr">
        <is>
          <t>SU002677</t>
        </is>
      </c>
      <c r="B173" s="64" t="inlineStr">
        <is>
          <t>P003053</t>
        </is>
      </c>
      <c r="C173" s="37" t="n">
        <v>4301051319</v>
      </c>
      <c r="D173" s="183" t="n">
        <v>4680115881204</v>
      </c>
      <c r="E173" s="351" t="n"/>
      <c r="F173" s="383" t="n">
        <v>0.33</v>
      </c>
      <c r="G173" s="38" t="n">
        <v>6</v>
      </c>
      <c r="H173" s="383" t="n">
        <v>1.98</v>
      </c>
      <c r="I173" s="383" t="n">
        <v>2.246</v>
      </c>
      <c r="J173" s="38" t="n">
        <v>156</v>
      </c>
      <c r="K173" s="38" t="inlineStr">
        <is>
          <t>12</t>
        </is>
      </c>
      <c r="L173" s="39" t="inlineStr">
        <is>
          <t>СК2</t>
        </is>
      </c>
      <c r="M173" s="38" t="n">
        <v>365</v>
      </c>
      <c r="N173" s="448">
        <f>HYPERLINK("https://abi.ru/products/Замороженные/Вязанка/Вязанка/Сосиски замороженные/P003053/","Сосиски «Сливушки #нежнушки» замороженные Фикс.вес 0,33 п/а ТМ «Вязанка»")</f>
        <v/>
      </c>
      <c r="O173" s="385" t="n"/>
      <c r="P173" s="385" t="n"/>
      <c r="Q173" s="385" t="n"/>
      <c r="R173" s="351" t="n"/>
      <c r="S173" s="40" t="inlineStr"/>
      <c r="T173" s="40" t="inlineStr"/>
      <c r="U173" s="41" t="inlineStr">
        <is>
          <t>кор</t>
        </is>
      </c>
      <c r="V173" s="386" t="n">
        <v>0</v>
      </c>
      <c r="W173" s="387">
        <f>IFERROR(IF(V173="","",V173),"")</f>
        <v/>
      </c>
      <c r="X173" s="42">
        <f>IFERROR(IF(V173="","",V173*0.00753),"")</f>
        <v/>
      </c>
      <c r="Y173" s="69" t="inlineStr"/>
      <c r="Z173" s="70" t="inlineStr"/>
      <c r="AD173" s="74" t="n"/>
      <c r="BA173" s="133" t="inlineStr">
        <is>
          <t>КИЗ</t>
        </is>
      </c>
    </row>
    <row r="174">
      <c r="A174" s="178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388" t="n"/>
      <c r="N174" s="389" t="inlineStr">
        <is>
          <t>Итого</t>
        </is>
      </c>
      <c r="O174" s="359" t="n"/>
      <c r="P174" s="359" t="n"/>
      <c r="Q174" s="359" t="n"/>
      <c r="R174" s="359" t="n"/>
      <c r="S174" s="359" t="n"/>
      <c r="T174" s="360" t="n"/>
      <c r="U174" s="43" t="inlineStr">
        <is>
          <t>кор</t>
        </is>
      </c>
      <c r="V174" s="390">
        <f>IFERROR(SUM(V173:V173),"0")</f>
        <v/>
      </c>
      <c r="W174" s="390">
        <f>IFERROR(SUM(W173:W173),"0")</f>
        <v/>
      </c>
      <c r="X174" s="390">
        <f>IFERROR(IF(X173="",0,X173),"0")</f>
        <v/>
      </c>
      <c r="Y174" s="391" t="n"/>
      <c r="Z174" s="39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388" t="n"/>
      <c r="N175" s="389" t="inlineStr">
        <is>
          <t>Итого</t>
        </is>
      </c>
      <c r="O175" s="359" t="n"/>
      <c r="P175" s="359" t="n"/>
      <c r="Q175" s="359" t="n"/>
      <c r="R175" s="359" t="n"/>
      <c r="S175" s="359" t="n"/>
      <c r="T175" s="360" t="n"/>
      <c r="U175" s="43" t="inlineStr">
        <is>
          <t>кг</t>
        </is>
      </c>
      <c r="V175" s="390">
        <f>IFERROR(SUMPRODUCT(V173:V173*H173:H173),"0")</f>
        <v/>
      </c>
      <c r="W175" s="390">
        <f>IFERROR(SUMPRODUCT(W173:W173*H173:H173),"0")</f>
        <v/>
      </c>
      <c r="X175" s="43" t="n"/>
      <c r="Y175" s="391" t="n"/>
      <c r="Z175" s="391" t="n"/>
    </row>
    <row r="176" ht="16.5" customHeight="1">
      <c r="A176" s="207" t="inlineStr">
        <is>
          <t>Сливушки</t>
        </is>
      </c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207" t="n"/>
      <c r="Z176" s="207" t="n"/>
    </row>
    <row r="177" ht="14.25" customHeight="1">
      <c r="A177" s="196" t="inlineStr">
        <is>
          <t>Наггетсы</t>
        </is>
      </c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96" t="n"/>
      <c r="Z177" s="196" t="n"/>
    </row>
    <row r="178" ht="16.5" customHeight="1">
      <c r="A178" s="64" t="inlineStr">
        <is>
          <t>SU002979</t>
        </is>
      </c>
      <c r="B178" s="64" t="inlineStr">
        <is>
          <t>P003433</t>
        </is>
      </c>
      <c r="C178" s="37" t="n">
        <v>4301132076</v>
      </c>
      <c r="D178" s="183" t="n">
        <v>4607111035721</v>
      </c>
      <c r="E178" s="351" t="n"/>
      <c r="F178" s="383" t="n">
        <v>0.25</v>
      </c>
      <c r="G178" s="38" t="n">
        <v>12</v>
      </c>
      <c r="H178" s="383" t="n">
        <v>3</v>
      </c>
      <c r="I178" s="383" t="n">
        <v>3.388</v>
      </c>
      <c r="J178" s="38" t="n">
        <v>70</v>
      </c>
      <c r="K178" s="38" t="inlineStr">
        <is>
          <t>14</t>
        </is>
      </c>
      <c r="L178" s="39" t="inlineStr">
        <is>
          <t>МГ</t>
        </is>
      </c>
      <c r="M178" s="38" t="n">
        <v>180</v>
      </c>
      <c r="N178" s="449">
        <f>HYPERLINK("https://abi.ru/products/Замороженные/Вязанка/Сливушки/Наггетсы/P003433/","Наггетсы «с индейкой» ф/в 0,25 кор ТМ «Вязанка»")</f>
        <v/>
      </c>
      <c r="O178" s="385" t="n"/>
      <c r="P178" s="385" t="n"/>
      <c r="Q178" s="385" t="n"/>
      <c r="R178" s="351" t="n"/>
      <c r="S178" s="40" t="inlineStr"/>
      <c r="T178" s="40" t="inlineStr"/>
      <c r="U178" s="41" t="inlineStr">
        <is>
          <t>кор</t>
        </is>
      </c>
      <c r="V178" s="386" t="n">
        <v>0</v>
      </c>
      <c r="W178" s="387">
        <f>IFERROR(IF(V178="","",V178),"")</f>
        <v/>
      </c>
      <c r="X178" s="42">
        <f>IFERROR(IF(V178="","",V178*0.01788),"")</f>
        <v/>
      </c>
      <c r="Y178" s="69" t="inlineStr"/>
      <c r="Z178" s="70" t="inlineStr"/>
      <c r="AD178" s="74" t="n"/>
      <c r="BA178" s="134" t="inlineStr">
        <is>
          <t>ПГП</t>
        </is>
      </c>
    </row>
    <row r="179" ht="27" customHeight="1">
      <c r="A179" s="64" t="inlineStr">
        <is>
          <t>SU002980</t>
        </is>
      </c>
      <c r="B179" s="64" t="inlineStr">
        <is>
          <t>P003434</t>
        </is>
      </c>
      <c r="C179" s="37" t="n">
        <v>4301132077</v>
      </c>
      <c r="D179" s="183" t="n">
        <v>4607111035691</v>
      </c>
      <c r="E179" s="351" t="n"/>
      <c r="F179" s="383" t="n">
        <v>0.25</v>
      </c>
      <c r="G179" s="38" t="n">
        <v>12</v>
      </c>
      <c r="H179" s="383" t="n">
        <v>3</v>
      </c>
      <c r="I179" s="383" t="n">
        <v>3.388</v>
      </c>
      <c r="J179" s="38" t="n">
        <v>70</v>
      </c>
      <c r="K179" s="38" t="inlineStr">
        <is>
          <t>14</t>
        </is>
      </c>
      <c r="L179" s="39" t="inlineStr">
        <is>
          <t>МГ</t>
        </is>
      </c>
      <c r="M179" s="38" t="n">
        <v>180</v>
      </c>
      <c r="N179" s="450">
        <f>HYPERLINK("https://abi.ru/products/Замороженные/Вязанка/Сливушки/Наггетсы/P003434/","Наггетсы «из печи» ф/в 0,25 кор ТМ «Вязанка»")</f>
        <v/>
      </c>
      <c r="O179" s="385" t="n"/>
      <c r="P179" s="385" t="n"/>
      <c r="Q179" s="385" t="n"/>
      <c r="R179" s="351" t="n"/>
      <c r="S179" s="40" t="inlineStr"/>
      <c r="T179" s="40" t="inlineStr"/>
      <c r="U179" s="41" t="inlineStr">
        <is>
          <t>кор</t>
        </is>
      </c>
      <c r="V179" s="386" t="n">
        <v>0</v>
      </c>
      <c r="W179" s="387">
        <f>IFERROR(IF(V179="","",V179),"")</f>
        <v/>
      </c>
      <c r="X179" s="42">
        <f>IFERROR(IF(V179="","",V179*0.01788),"")</f>
        <v/>
      </c>
      <c r="Y179" s="69" t="inlineStr"/>
      <c r="Z179" s="70" t="inlineStr"/>
      <c r="AD179" s="74" t="n"/>
      <c r="BA179" s="135" t="inlineStr">
        <is>
          <t>ПГП</t>
        </is>
      </c>
    </row>
    <row r="180" ht="27" customHeight="1">
      <c r="A180" s="64" t="inlineStr">
        <is>
          <t>SU003001</t>
        </is>
      </c>
      <c r="B180" s="64" t="inlineStr">
        <is>
          <t>P003470</t>
        </is>
      </c>
      <c r="C180" s="37" t="n">
        <v>4301132079</v>
      </c>
      <c r="D180" s="183" t="n">
        <v>4607111038487</v>
      </c>
      <c r="E180" s="351" t="n"/>
      <c r="F180" s="383" t="n">
        <v>0.25</v>
      </c>
      <c r="G180" s="38" t="n">
        <v>12</v>
      </c>
      <c r="H180" s="383" t="n">
        <v>3</v>
      </c>
      <c r="I180" s="383" t="n">
        <v>3.736</v>
      </c>
      <c r="J180" s="38" t="n">
        <v>70</v>
      </c>
      <c r="K180" s="38" t="inlineStr">
        <is>
          <t>14</t>
        </is>
      </c>
      <c r="L180" s="39" t="inlineStr">
        <is>
          <t>МГ</t>
        </is>
      </c>
      <c r="M180" s="38" t="n">
        <v>180</v>
      </c>
      <c r="N180" s="451">
        <f>HYPERLINK("https://abi.ru/products/Замороженные/Вязанка/Сливушки/Наггетсы/P003470/","Наггетсы «с куриным филе и сыром» ф/в 0,25 ТМ «Вязанка»")</f>
        <v/>
      </c>
      <c r="O180" s="385" t="n"/>
      <c r="P180" s="385" t="n"/>
      <c r="Q180" s="385" t="n"/>
      <c r="R180" s="351" t="n"/>
      <c r="S180" s="40" t="inlineStr"/>
      <c r="T180" s="40" t="inlineStr"/>
      <c r="U180" s="41" t="inlineStr">
        <is>
          <t>кор</t>
        </is>
      </c>
      <c r="V180" s="386" t="n">
        <v>0</v>
      </c>
      <c r="W180" s="387">
        <f>IFERROR(IF(V180="","",V180),"")</f>
        <v/>
      </c>
      <c r="X180" s="42">
        <f>IFERROR(IF(V180="","",V180*0.01788),"")</f>
        <v/>
      </c>
      <c r="Y180" s="69" t="inlineStr"/>
      <c r="Z180" s="70" t="inlineStr"/>
      <c r="AD180" s="74" t="n"/>
      <c r="BA180" s="136" t="inlineStr">
        <is>
          <t>ПГП</t>
        </is>
      </c>
    </row>
    <row r="181">
      <c r="A181" s="178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388" t="n"/>
      <c r="N181" s="389" t="inlineStr">
        <is>
          <t>Итого</t>
        </is>
      </c>
      <c r="O181" s="359" t="n"/>
      <c r="P181" s="359" t="n"/>
      <c r="Q181" s="359" t="n"/>
      <c r="R181" s="359" t="n"/>
      <c r="S181" s="359" t="n"/>
      <c r="T181" s="360" t="n"/>
      <c r="U181" s="43" t="inlineStr">
        <is>
          <t>кор</t>
        </is>
      </c>
      <c r="V181" s="390">
        <f>IFERROR(SUM(V178:V180),"0")</f>
        <v/>
      </c>
      <c r="W181" s="390">
        <f>IFERROR(SUM(W178:W180),"0")</f>
        <v/>
      </c>
      <c r="X181" s="390">
        <f>IFERROR(IF(X178="",0,X178),"0")+IFERROR(IF(X179="",0,X179),"0")+IFERROR(IF(X180="",0,X180),"0")</f>
        <v/>
      </c>
      <c r="Y181" s="391" t="n"/>
      <c r="Z181" s="39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388" t="n"/>
      <c r="N182" s="389" t="inlineStr">
        <is>
          <t>Итого</t>
        </is>
      </c>
      <c r="O182" s="359" t="n"/>
      <c r="P182" s="359" t="n"/>
      <c r="Q182" s="359" t="n"/>
      <c r="R182" s="359" t="n"/>
      <c r="S182" s="359" t="n"/>
      <c r="T182" s="360" t="n"/>
      <c r="U182" s="43" t="inlineStr">
        <is>
          <t>кг</t>
        </is>
      </c>
      <c r="V182" s="390">
        <f>IFERROR(SUMPRODUCT(V178:V180*H178:H180),"0")</f>
        <v/>
      </c>
      <c r="W182" s="390">
        <f>IFERROR(SUMPRODUCT(W178:W180*H178:H180),"0")</f>
        <v/>
      </c>
      <c r="X182" s="43" t="n"/>
      <c r="Y182" s="391" t="n"/>
      <c r="Z182" s="391" t="n"/>
    </row>
    <row r="183" ht="27.75" customHeight="1">
      <c r="A183" s="206" t="inlineStr">
        <is>
          <t>Стародворье</t>
        </is>
      </c>
      <c r="B183" s="382" t="n"/>
      <c r="C183" s="382" t="n"/>
      <c r="D183" s="382" t="n"/>
      <c r="E183" s="382" t="n"/>
      <c r="F183" s="382" t="n"/>
      <c r="G183" s="382" t="n"/>
      <c r="H183" s="382" t="n"/>
      <c r="I183" s="382" t="n"/>
      <c r="J183" s="382" t="n"/>
      <c r="K183" s="382" t="n"/>
      <c r="L183" s="382" t="n"/>
      <c r="M183" s="382" t="n"/>
      <c r="N183" s="382" t="n"/>
      <c r="O183" s="382" t="n"/>
      <c r="P183" s="382" t="n"/>
      <c r="Q183" s="382" t="n"/>
      <c r="R183" s="382" t="n"/>
      <c r="S183" s="382" t="n"/>
      <c r="T183" s="382" t="n"/>
      <c r="U183" s="382" t="n"/>
      <c r="V183" s="382" t="n"/>
      <c r="W183" s="382" t="n"/>
      <c r="X183" s="382" t="n"/>
      <c r="Y183" s="55" t="n"/>
      <c r="Z183" s="55" t="n"/>
    </row>
    <row r="184" ht="16.5" customHeight="1">
      <c r="A184" s="207" t="inlineStr">
        <is>
          <t>Первая цена</t>
        </is>
      </c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207" t="n"/>
      <c r="Z184" s="207" t="n"/>
    </row>
    <row r="185" ht="14.25" customHeight="1">
      <c r="A185" s="196" t="inlineStr">
        <is>
          <t>Пельмени</t>
        </is>
      </c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96" t="n"/>
      <c r="Z185" s="196" t="n"/>
    </row>
    <row r="186" ht="16.5" customHeight="1">
      <c r="A186" s="64" t="inlineStr">
        <is>
          <t>SU002637</t>
        </is>
      </c>
      <c r="B186" s="64" t="inlineStr">
        <is>
          <t>P002985</t>
        </is>
      </c>
      <c r="C186" s="37" t="n">
        <v>4301070913</v>
      </c>
      <c r="D186" s="183" t="n">
        <v>4607111036957</v>
      </c>
      <c r="E186" s="351" t="n"/>
      <c r="F186" s="383" t="n">
        <v>0.4</v>
      </c>
      <c r="G186" s="38" t="n">
        <v>8</v>
      </c>
      <c r="H186" s="383" t="n">
        <v>3.2</v>
      </c>
      <c r="I186" s="383" t="n">
        <v>3.44</v>
      </c>
      <c r="J186" s="38" t="n">
        <v>144</v>
      </c>
      <c r="K186" s="38" t="inlineStr">
        <is>
          <t>12</t>
        </is>
      </c>
      <c r="L186" s="39" t="inlineStr">
        <is>
          <t>МГ</t>
        </is>
      </c>
      <c r="M186" s="38" t="n">
        <v>180</v>
      </c>
      <c r="N186" s="452">
        <f>HYPERLINK("https://abi.ru/products/Замороженные/Стародворье/Первая цена/Пельмени/P002985/","Пельмени Стародворские Первая цена 0,4 Сфера Стародворье")</f>
        <v/>
      </c>
      <c r="O186" s="385" t="n"/>
      <c r="P186" s="385" t="n"/>
      <c r="Q186" s="385" t="n"/>
      <c r="R186" s="351" t="n"/>
      <c r="S186" s="40" t="inlineStr"/>
      <c r="T186" s="40" t="inlineStr"/>
      <c r="U186" s="41" t="inlineStr">
        <is>
          <t>кор</t>
        </is>
      </c>
      <c r="V186" s="386" t="n">
        <v>0</v>
      </c>
      <c r="W186" s="387">
        <f>IFERROR(IF(V186="","",V186),"")</f>
        <v/>
      </c>
      <c r="X186" s="42">
        <f>IFERROR(IF(V186="","",V186*0.00866),"")</f>
        <v/>
      </c>
      <c r="Y186" s="69" t="inlineStr"/>
      <c r="Z186" s="70" t="inlineStr"/>
      <c r="AD186" s="74" t="n"/>
      <c r="BA186" s="137" t="inlineStr">
        <is>
          <t>ЗПФ</t>
        </is>
      </c>
    </row>
    <row r="187" ht="16.5" customHeight="1">
      <c r="A187" s="64" t="inlineStr">
        <is>
          <t>SU002638</t>
        </is>
      </c>
      <c r="B187" s="64" t="inlineStr">
        <is>
          <t>P002986</t>
        </is>
      </c>
      <c r="C187" s="37" t="n">
        <v>4301070912</v>
      </c>
      <c r="D187" s="183" t="n">
        <v>4607111037213</v>
      </c>
      <c r="E187" s="351" t="n"/>
      <c r="F187" s="383" t="n">
        <v>0.4</v>
      </c>
      <c r="G187" s="38" t="n">
        <v>8</v>
      </c>
      <c r="H187" s="383" t="n">
        <v>3.2</v>
      </c>
      <c r="I187" s="383" t="n">
        <v>3.44</v>
      </c>
      <c r="J187" s="38" t="n">
        <v>144</v>
      </c>
      <c r="K187" s="38" t="inlineStr">
        <is>
          <t>12</t>
        </is>
      </c>
      <c r="L187" s="39" t="inlineStr">
        <is>
          <t>МГ</t>
        </is>
      </c>
      <c r="M187" s="38" t="n">
        <v>180</v>
      </c>
      <c r="N187" s="453">
        <f>HYPERLINK("https://abi.ru/products/Замороженные/Стародворье/Первая цена/Пельмени/P002986/","Пельмени Царедворские Первая цена 0,4 Равиоли Стародворье")</f>
        <v/>
      </c>
      <c r="O187" s="385" t="n"/>
      <c r="P187" s="385" t="n"/>
      <c r="Q187" s="385" t="n"/>
      <c r="R187" s="351" t="n"/>
      <c r="S187" s="40" t="inlineStr"/>
      <c r="T187" s="40" t="inlineStr"/>
      <c r="U187" s="41" t="inlineStr">
        <is>
          <t>кор</t>
        </is>
      </c>
      <c r="V187" s="386" t="n">
        <v>0</v>
      </c>
      <c r="W187" s="387">
        <f>IFERROR(IF(V187="","",V187),"")</f>
        <v/>
      </c>
      <c r="X187" s="42">
        <f>IFERROR(IF(V187="","",V187*0.00866),"")</f>
        <v/>
      </c>
      <c r="Y187" s="69" t="inlineStr"/>
      <c r="Z187" s="70" t="inlineStr"/>
      <c r="AD187" s="74" t="n"/>
      <c r="BA187" s="138" t="inlineStr">
        <is>
          <t>ЗПФ</t>
        </is>
      </c>
    </row>
    <row r="188">
      <c r="A188" s="178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388" t="n"/>
      <c r="N188" s="389" t="inlineStr">
        <is>
          <t>Итого</t>
        </is>
      </c>
      <c r="O188" s="359" t="n"/>
      <c r="P188" s="359" t="n"/>
      <c r="Q188" s="359" t="n"/>
      <c r="R188" s="359" t="n"/>
      <c r="S188" s="359" t="n"/>
      <c r="T188" s="360" t="n"/>
      <c r="U188" s="43" t="inlineStr">
        <is>
          <t>кор</t>
        </is>
      </c>
      <c r="V188" s="390">
        <f>IFERROR(SUM(V186:V187),"0")</f>
        <v/>
      </c>
      <c r="W188" s="390">
        <f>IFERROR(SUM(W186:W187),"0")</f>
        <v/>
      </c>
      <c r="X188" s="390">
        <f>IFERROR(IF(X186="",0,X186),"0")+IFERROR(IF(X187="",0,X187),"0")</f>
        <v/>
      </c>
      <c r="Y188" s="391" t="n"/>
      <c r="Z188" s="39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388" t="n"/>
      <c r="N189" s="389" t="inlineStr">
        <is>
          <t>Итого</t>
        </is>
      </c>
      <c r="O189" s="359" t="n"/>
      <c r="P189" s="359" t="n"/>
      <c r="Q189" s="359" t="n"/>
      <c r="R189" s="359" t="n"/>
      <c r="S189" s="359" t="n"/>
      <c r="T189" s="360" t="n"/>
      <c r="U189" s="43" t="inlineStr">
        <is>
          <t>кг</t>
        </is>
      </c>
      <c r="V189" s="390">
        <f>IFERROR(SUMPRODUCT(V186:V187*H186:H187),"0")</f>
        <v/>
      </c>
      <c r="W189" s="390">
        <f>IFERROR(SUMPRODUCT(W186:W187*H186:H187),"0")</f>
        <v/>
      </c>
      <c r="X189" s="43" t="n"/>
      <c r="Y189" s="391" t="n"/>
      <c r="Z189" s="391" t="n"/>
    </row>
    <row r="190" ht="16.5" customHeight="1">
      <c r="A190" s="207" t="inlineStr">
        <is>
          <t>Мясорубская</t>
        </is>
      </c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207" t="n"/>
      <c r="Z190" s="207" t="n"/>
    </row>
    <row r="191" ht="14.25" customHeight="1">
      <c r="A191" s="196" t="inlineStr">
        <is>
          <t>Пельмени</t>
        </is>
      </c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96" t="n"/>
      <c r="Z191" s="196" t="n"/>
    </row>
    <row r="192" ht="16.5" customHeight="1">
      <c r="A192" s="64" t="inlineStr">
        <is>
          <t>SU002920</t>
        </is>
      </c>
      <c r="B192" s="64" t="inlineStr">
        <is>
          <t>P003355</t>
        </is>
      </c>
      <c r="C192" s="37" t="n">
        <v>4301070948</v>
      </c>
      <c r="D192" s="183" t="n">
        <v>4607111037022</v>
      </c>
      <c r="E192" s="351" t="n"/>
      <c r="F192" s="383" t="n">
        <v>0.7</v>
      </c>
      <c r="G192" s="38" t="n">
        <v>8</v>
      </c>
      <c r="H192" s="383" t="n">
        <v>5.6</v>
      </c>
      <c r="I192" s="383" t="n">
        <v>5.87</v>
      </c>
      <c r="J192" s="38" t="n">
        <v>84</v>
      </c>
      <c r="K192" s="38" t="inlineStr">
        <is>
          <t>12</t>
        </is>
      </c>
      <c r="L192" s="39" t="inlineStr">
        <is>
          <t>МГ</t>
        </is>
      </c>
      <c r="M192" s="38" t="n">
        <v>180</v>
      </c>
      <c r="N192" s="454">
        <f>HYPERLINK("https://abi.ru/products/Замороженные/Стародворье/Мясорубская/Пельмени/P003355/","Пельмени Мясорубские Стародворье ЗПФ 0,7 Равиоли Стародворье")</f>
        <v/>
      </c>
      <c r="O192" s="385" t="n"/>
      <c r="P192" s="385" t="n"/>
      <c r="Q192" s="385" t="n"/>
      <c r="R192" s="351" t="n"/>
      <c r="S192" s="40" t="inlineStr"/>
      <c r="T192" s="40" t="inlineStr"/>
      <c r="U192" s="41" t="inlineStr">
        <is>
          <t>кор</t>
        </is>
      </c>
      <c r="V192" s="386" t="n">
        <v>0</v>
      </c>
      <c r="W192" s="387">
        <f>IFERROR(IF(V192="","",V192),"")</f>
        <v/>
      </c>
      <c r="X192" s="42">
        <f>IFERROR(IF(V192="","",V192*0.0155),"")</f>
        <v/>
      </c>
      <c r="Y192" s="69" t="inlineStr"/>
      <c r="Z192" s="70" t="inlineStr"/>
      <c r="AD192" s="74" t="n"/>
      <c r="BA192" s="139" t="inlineStr">
        <is>
          <t>ЗПФ</t>
        </is>
      </c>
    </row>
    <row r="193" ht="27" customHeight="1">
      <c r="A193" s="64" t="inlineStr">
        <is>
          <t>SU003145</t>
        </is>
      </c>
      <c r="B193" s="64" t="inlineStr">
        <is>
          <t>P003731</t>
        </is>
      </c>
      <c r="C193" s="37" t="n">
        <v>4301070990</v>
      </c>
      <c r="D193" s="183" t="n">
        <v>4607111038494</v>
      </c>
      <c r="E193" s="351" t="n"/>
      <c r="F193" s="383" t="n">
        <v>0.7</v>
      </c>
      <c r="G193" s="38" t="n">
        <v>8</v>
      </c>
      <c r="H193" s="383" t="n">
        <v>5.6</v>
      </c>
      <c r="I193" s="383" t="n">
        <v>5.87</v>
      </c>
      <c r="J193" s="38" t="n">
        <v>84</v>
      </c>
      <c r="K193" s="38" t="inlineStr">
        <is>
          <t>12</t>
        </is>
      </c>
      <c r="L193" s="39" t="inlineStr">
        <is>
          <t>МГ</t>
        </is>
      </c>
      <c r="M193" s="38" t="n">
        <v>180</v>
      </c>
      <c r="N193" s="455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/>
      </c>
      <c r="O193" s="385" t="n"/>
      <c r="P193" s="385" t="n"/>
      <c r="Q193" s="385" t="n"/>
      <c r="R193" s="351" t="n"/>
      <c r="S193" s="40" t="inlineStr"/>
      <c r="T193" s="40" t="inlineStr"/>
      <c r="U193" s="41" t="inlineStr">
        <is>
          <t>кор</t>
        </is>
      </c>
      <c r="V193" s="386" t="n">
        <v>0</v>
      </c>
      <c r="W193" s="387">
        <f>IFERROR(IF(V193="","",V193),"")</f>
        <v/>
      </c>
      <c r="X193" s="42">
        <f>IFERROR(IF(V193="","",V193*0.0155),"")</f>
        <v/>
      </c>
      <c r="Y193" s="69" t="inlineStr"/>
      <c r="Z193" s="70" t="inlineStr"/>
      <c r="AD193" s="74" t="n"/>
      <c r="BA193" s="140" t="inlineStr">
        <is>
          <t>ЗПФ</t>
        </is>
      </c>
    </row>
    <row r="194" ht="27" customHeight="1">
      <c r="A194" s="64" t="inlineStr">
        <is>
          <t>SU003077</t>
        </is>
      </c>
      <c r="B194" s="64" t="inlineStr">
        <is>
          <t>P003648</t>
        </is>
      </c>
      <c r="C194" s="37" t="n">
        <v>4301070966</v>
      </c>
      <c r="D194" s="183" t="n">
        <v>4607111038135</v>
      </c>
      <c r="E194" s="351" t="n"/>
      <c r="F194" s="383" t="n">
        <v>0.7</v>
      </c>
      <c r="G194" s="38" t="n">
        <v>8</v>
      </c>
      <c r="H194" s="383" t="n">
        <v>5.6</v>
      </c>
      <c r="I194" s="383" t="n">
        <v>5.87</v>
      </c>
      <c r="J194" s="38" t="n">
        <v>84</v>
      </c>
      <c r="K194" s="38" t="inlineStr">
        <is>
          <t>12</t>
        </is>
      </c>
      <c r="L194" s="39" t="inlineStr">
        <is>
          <t>МГ</t>
        </is>
      </c>
      <c r="M194" s="38" t="n">
        <v>180</v>
      </c>
      <c r="N194" s="456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/>
      </c>
      <c r="O194" s="385" t="n"/>
      <c r="P194" s="385" t="n"/>
      <c r="Q194" s="385" t="n"/>
      <c r="R194" s="351" t="n"/>
      <c r="S194" s="40" t="inlineStr"/>
      <c r="T194" s="40" t="inlineStr"/>
      <c r="U194" s="41" t="inlineStr">
        <is>
          <t>кор</t>
        </is>
      </c>
      <c r="V194" s="386" t="n">
        <v>0</v>
      </c>
      <c r="W194" s="387">
        <f>IFERROR(IF(V194="","",V194),"")</f>
        <v/>
      </c>
      <c r="X194" s="42">
        <f>IFERROR(IF(V194="","",V194*0.0155),"")</f>
        <v/>
      </c>
      <c r="Y194" s="69" t="inlineStr"/>
      <c r="Z194" s="70" t="inlineStr"/>
      <c r="AD194" s="74" t="n"/>
      <c r="BA194" s="141" t="inlineStr">
        <is>
          <t>ЗПФ</t>
        </is>
      </c>
    </row>
    <row r="195">
      <c r="A195" s="178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388" t="n"/>
      <c r="N195" s="389" t="inlineStr">
        <is>
          <t>Итого</t>
        </is>
      </c>
      <c r="O195" s="359" t="n"/>
      <c r="P195" s="359" t="n"/>
      <c r="Q195" s="359" t="n"/>
      <c r="R195" s="359" t="n"/>
      <c r="S195" s="359" t="n"/>
      <c r="T195" s="360" t="n"/>
      <c r="U195" s="43" t="inlineStr">
        <is>
          <t>кор</t>
        </is>
      </c>
      <c r="V195" s="390">
        <f>IFERROR(SUM(V192:V194),"0")</f>
        <v/>
      </c>
      <c r="W195" s="390">
        <f>IFERROR(SUM(W192:W194),"0")</f>
        <v/>
      </c>
      <c r="X195" s="390">
        <f>IFERROR(IF(X192="",0,X192),"0")+IFERROR(IF(X193="",0,X193),"0")+IFERROR(IF(X194="",0,X194),"0")</f>
        <v/>
      </c>
      <c r="Y195" s="391" t="n"/>
      <c r="Z195" s="39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388" t="n"/>
      <c r="N196" s="389" t="inlineStr">
        <is>
          <t>Итого</t>
        </is>
      </c>
      <c r="O196" s="359" t="n"/>
      <c r="P196" s="359" t="n"/>
      <c r="Q196" s="359" t="n"/>
      <c r="R196" s="359" t="n"/>
      <c r="S196" s="359" t="n"/>
      <c r="T196" s="360" t="n"/>
      <c r="U196" s="43" t="inlineStr">
        <is>
          <t>кг</t>
        </is>
      </c>
      <c r="V196" s="390">
        <f>IFERROR(SUMPRODUCT(V192:V194*H192:H194),"0")</f>
        <v/>
      </c>
      <c r="W196" s="390">
        <f>IFERROR(SUMPRODUCT(W192:W194*H192:H194),"0")</f>
        <v/>
      </c>
      <c r="X196" s="43" t="n"/>
      <c r="Y196" s="391" t="n"/>
      <c r="Z196" s="391" t="n"/>
    </row>
    <row r="197" ht="16.5" customHeight="1">
      <c r="A197" s="207" t="inlineStr">
        <is>
          <t>Медвежье ушко</t>
        </is>
      </c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207" t="n"/>
      <c r="Z197" s="207" t="n"/>
    </row>
    <row r="198" ht="14.25" customHeight="1">
      <c r="A198" s="196" t="inlineStr">
        <is>
          <t>Пельмени</t>
        </is>
      </c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96" t="n"/>
      <c r="Z198" s="196" t="n"/>
    </row>
    <row r="199" ht="27" customHeight="1">
      <c r="A199" s="64" t="inlineStr">
        <is>
          <t>SU002067</t>
        </is>
      </c>
      <c r="B199" s="64" t="inlineStr">
        <is>
          <t>P002999</t>
        </is>
      </c>
      <c r="C199" s="37" t="n">
        <v>4301070915</v>
      </c>
      <c r="D199" s="183" t="n">
        <v>4607111035882</v>
      </c>
      <c r="E199" s="351" t="n"/>
      <c r="F199" s="383" t="n">
        <v>0.43</v>
      </c>
      <c r="G199" s="38" t="n">
        <v>16</v>
      </c>
      <c r="H199" s="383" t="n">
        <v>6.88</v>
      </c>
      <c r="I199" s="383" t="n">
        <v>7.19</v>
      </c>
      <c r="J199" s="38" t="n">
        <v>84</v>
      </c>
      <c r="K199" s="38" t="inlineStr">
        <is>
          <t>12</t>
        </is>
      </c>
      <c r="L199" s="39" t="inlineStr">
        <is>
          <t>МГ</t>
        </is>
      </c>
      <c r="M199" s="38" t="n">
        <v>180</v>
      </c>
      <c r="N199" s="457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/>
      </c>
      <c r="O199" s="385" t="n"/>
      <c r="P199" s="385" t="n"/>
      <c r="Q199" s="385" t="n"/>
      <c r="R199" s="351" t="n"/>
      <c r="S199" s="40" t="inlineStr"/>
      <c r="T199" s="40" t="inlineStr"/>
      <c r="U199" s="41" t="inlineStr">
        <is>
          <t>кор</t>
        </is>
      </c>
      <c r="V199" s="386" t="n">
        <v>0</v>
      </c>
      <c r="W199" s="387">
        <f>IFERROR(IF(V199="","",V199),"")</f>
        <v/>
      </c>
      <c r="X199" s="42">
        <f>IFERROR(IF(V199="","",V199*0.0155),"")</f>
        <v/>
      </c>
      <c r="Y199" s="69" t="inlineStr"/>
      <c r="Z199" s="70" t="inlineStr"/>
      <c r="AD199" s="74" t="n"/>
      <c r="BA199" s="142" t="inlineStr">
        <is>
          <t>ЗПФ</t>
        </is>
      </c>
    </row>
    <row r="200" ht="27" customHeight="1">
      <c r="A200" s="64" t="inlineStr">
        <is>
          <t>SU002068</t>
        </is>
      </c>
      <c r="B200" s="64" t="inlineStr">
        <is>
          <t>P003005</t>
        </is>
      </c>
      <c r="C200" s="37" t="n">
        <v>4301070921</v>
      </c>
      <c r="D200" s="183" t="n">
        <v>4607111035905</v>
      </c>
      <c r="E200" s="351" t="n"/>
      <c r="F200" s="383" t="n">
        <v>0.9</v>
      </c>
      <c r="G200" s="38" t="n">
        <v>8</v>
      </c>
      <c r="H200" s="383" t="n">
        <v>7.2</v>
      </c>
      <c r="I200" s="383" t="n">
        <v>7.47</v>
      </c>
      <c r="J200" s="38" t="n">
        <v>84</v>
      </c>
      <c r="K200" s="38" t="inlineStr">
        <is>
          <t>12</t>
        </is>
      </c>
      <c r="L200" s="39" t="inlineStr">
        <is>
          <t>МГ</t>
        </is>
      </c>
      <c r="M200" s="38" t="n">
        <v>180</v>
      </c>
      <c r="N200" s="458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/>
      </c>
      <c r="O200" s="385" t="n"/>
      <c r="P200" s="385" t="n"/>
      <c r="Q200" s="385" t="n"/>
      <c r="R200" s="351" t="n"/>
      <c r="S200" s="40" t="inlineStr"/>
      <c r="T200" s="40" t="inlineStr"/>
      <c r="U200" s="41" t="inlineStr">
        <is>
          <t>кор</t>
        </is>
      </c>
      <c r="V200" s="386" t="n">
        <v>0</v>
      </c>
      <c r="W200" s="387">
        <f>IFERROR(IF(V200="","",V200),"")</f>
        <v/>
      </c>
      <c r="X200" s="42">
        <f>IFERROR(IF(V200="","",V200*0.0155),"")</f>
        <v/>
      </c>
      <c r="Y200" s="69" t="inlineStr"/>
      <c r="Z200" s="70" t="inlineStr"/>
      <c r="AD200" s="74" t="n"/>
      <c r="BA200" s="143" t="inlineStr">
        <is>
          <t>ЗПФ</t>
        </is>
      </c>
    </row>
    <row r="201" ht="27" customHeight="1">
      <c r="A201" s="64" t="inlineStr">
        <is>
          <t>SU002069</t>
        </is>
      </c>
      <c r="B201" s="64" t="inlineStr">
        <is>
          <t>P003001</t>
        </is>
      </c>
      <c r="C201" s="37" t="n">
        <v>4301070917</v>
      </c>
      <c r="D201" s="183" t="n">
        <v>4607111035912</v>
      </c>
      <c r="E201" s="351" t="n"/>
      <c r="F201" s="383" t="n">
        <v>0.43</v>
      </c>
      <c r="G201" s="38" t="n">
        <v>16</v>
      </c>
      <c r="H201" s="383" t="n">
        <v>6.88</v>
      </c>
      <c r="I201" s="383" t="n">
        <v>7.19</v>
      </c>
      <c r="J201" s="38" t="n">
        <v>84</v>
      </c>
      <c r="K201" s="38" t="inlineStr">
        <is>
          <t>12</t>
        </is>
      </c>
      <c r="L201" s="39" t="inlineStr">
        <is>
          <t>МГ</t>
        </is>
      </c>
      <c r="M201" s="38" t="n">
        <v>180</v>
      </c>
      <c r="N201" s="459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/>
      </c>
      <c r="O201" s="385" t="n"/>
      <c r="P201" s="385" t="n"/>
      <c r="Q201" s="385" t="n"/>
      <c r="R201" s="351" t="n"/>
      <c r="S201" s="40" t="inlineStr"/>
      <c r="T201" s="40" t="inlineStr"/>
      <c r="U201" s="41" t="inlineStr">
        <is>
          <t>кор</t>
        </is>
      </c>
      <c r="V201" s="386" t="n">
        <v>0</v>
      </c>
      <c r="W201" s="387">
        <f>IFERROR(IF(V201="","",V201),"")</f>
        <v/>
      </c>
      <c r="X201" s="42">
        <f>IFERROR(IF(V201="","",V201*0.0155),"")</f>
        <v/>
      </c>
      <c r="Y201" s="69" t="inlineStr"/>
      <c r="Z201" s="70" t="inlineStr"/>
      <c r="AD201" s="74" t="n"/>
      <c r="BA201" s="144" t="inlineStr">
        <is>
          <t>ЗПФ</t>
        </is>
      </c>
    </row>
    <row r="202" ht="27" customHeight="1">
      <c r="A202" s="64" t="inlineStr">
        <is>
          <t>SU002066</t>
        </is>
      </c>
      <c r="B202" s="64" t="inlineStr">
        <is>
          <t>P003004</t>
        </is>
      </c>
      <c r="C202" s="37" t="n">
        <v>4301070920</v>
      </c>
      <c r="D202" s="183" t="n">
        <v>4607111035929</v>
      </c>
      <c r="E202" s="351" t="n"/>
      <c r="F202" s="383" t="n">
        <v>0.9</v>
      </c>
      <c r="G202" s="38" t="n">
        <v>8</v>
      </c>
      <c r="H202" s="383" t="n">
        <v>7.2</v>
      </c>
      <c r="I202" s="383" t="n">
        <v>7.47</v>
      </c>
      <c r="J202" s="38" t="n">
        <v>84</v>
      </c>
      <c r="K202" s="38" t="inlineStr">
        <is>
          <t>12</t>
        </is>
      </c>
      <c r="L202" s="39" t="inlineStr">
        <is>
          <t>МГ</t>
        </is>
      </c>
      <c r="M202" s="38" t="n">
        <v>180</v>
      </c>
      <c r="N202" s="460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/>
      </c>
      <c r="O202" s="385" t="n"/>
      <c r="P202" s="385" t="n"/>
      <c r="Q202" s="385" t="n"/>
      <c r="R202" s="351" t="n"/>
      <c r="S202" s="40" t="inlineStr"/>
      <c r="T202" s="40" t="inlineStr"/>
      <c r="U202" s="41" t="inlineStr">
        <is>
          <t>кор</t>
        </is>
      </c>
      <c r="V202" s="386" t="n">
        <v>0</v>
      </c>
      <c r="W202" s="387">
        <f>IFERROR(IF(V202="","",V202),"")</f>
        <v/>
      </c>
      <c r="X202" s="42">
        <f>IFERROR(IF(V202="","",V202*0.0155),"")</f>
        <v/>
      </c>
      <c r="Y202" s="69" t="inlineStr"/>
      <c r="Z202" s="70" t="inlineStr"/>
      <c r="AD202" s="74" t="n"/>
      <c r="BA202" s="145" t="inlineStr">
        <is>
          <t>ЗПФ</t>
        </is>
      </c>
    </row>
    <row r="203">
      <c r="A203" s="178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388" t="n"/>
      <c r="N203" s="389" t="inlineStr">
        <is>
          <t>Итого</t>
        </is>
      </c>
      <c r="O203" s="359" t="n"/>
      <c r="P203" s="359" t="n"/>
      <c r="Q203" s="359" t="n"/>
      <c r="R203" s="359" t="n"/>
      <c r="S203" s="359" t="n"/>
      <c r="T203" s="360" t="n"/>
      <c r="U203" s="43" t="inlineStr">
        <is>
          <t>кор</t>
        </is>
      </c>
      <c r="V203" s="390">
        <f>IFERROR(SUM(V199:V202),"0")</f>
        <v/>
      </c>
      <c r="W203" s="390">
        <f>IFERROR(SUM(W199:W202),"0")</f>
        <v/>
      </c>
      <c r="X203" s="390">
        <f>IFERROR(IF(X199="",0,X199),"0")+IFERROR(IF(X200="",0,X200),"0")+IFERROR(IF(X201="",0,X201),"0")+IFERROR(IF(X202="",0,X202),"0")</f>
        <v/>
      </c>
      <c r="Y203" s="391" t="n"/>
      <c r="Z203" s="39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388" t="n"/>
      <c r="N204" s="389" t="inlineStr">
        <is>
          <t>Итого</t>
        </is>
      </c>
      <c r="O204" s="359" t="n"/>
      <c r="P204" s="359" t="n"/>
      <c r="Q204" s="359" t="n"/>
      <c r="R204" s="359" t="n"/>
      <c r="S204" s="359" t="n"/>
      <c r="T204" s="360" t="n"/>
      <c r="U204" s="43" t="inlineStr">
        <is>
          <t>кг</t>
        </is>
      </c>
      <c r="V204" s="390">
        <f>IFERROR(SUMPRODUCT(V199:V202*H199:H202),"0")</f>
        <v/>
      </c>
      <c r="W204" s="390">
        <f>IFERROR(SUMPRODUCT(W199:W202*H199:H202),"0")</f>
        <v/>
      </c>
      <c r="X204" s="43" t="n"/>
      <c r="Y204" s="391" t="n"/>
      <c r="Z204" s="391" t="n"/>
    </row>
    <row r="205" ht="16.5" customHeight="1">
      <c r="A205" s="207" t="inlineStr">
        <is>
          <t>Бордо</t>
        </is>
      </c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207" t="n"/>
      <c r="Z205" s="207" t="n"/>
    </row>
    <row r="206" ht="14.25" customHeight="1">
      <c r="A206" s="196" t="inlineStr">
        <is>
          <t>Сосиски замороженные</t>
        </is>
      </c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96" t="n"/>
      <c r="Z206" s="196" t="n"/>
    </row>
    <row r="207" ht="27" customHeight="1">
      <c r="A207" s="64" t="inlineStr">
        <is>
          <t>SU002678</t>
        </is>
      </c>
      <c r="B207" s="64" t="inlineStr">
        <is>
          <t>P003054</t>
        </is>
      </c>
      <c r="C207" s="37" t="n">
        <v>4301051320</v>
      </c>
      <c r="D207" s="183" t="n">
        <v>4680115881334</v>
      </c>
      <c r="E207" s="351" t="n"/>
      <c r="F207" s="383" t="n">
        <v>0.33</v>
      </c>
      <c r="G207" s="38" t="n">
        <v>6</v>
      </c>
      <c r="H207" s="383" t="n">
        <v>1.98</v>
      </c>
      <c r="I207" s="383" t="n">
        <v>2.27</v>
      </c>
      <c r="J207" s="38" t="n">
        <v>156</v>
      </c>
      <c r="K207" s="38" t="inlineStr">
        <is>
          <t>12</t>
        </is>
      </c>
      <c r="L207" s="39" t="inlineStr">
        <is>
          <t>СК2</t>
        </is>
      </c>
      <c r="M207" s="38" t="n">
        <v>365</v>
      </c>
      <c r="N207" s="461">
        <f>HYPERLINK("https://abi.ru/products/Замороженные/Стародворье/Бордо/Сосиски замороженные/P003054/","Сосиски «Оригинальные» замороженные Фикс.вес 0,33 п/а ТМ «Стародворье»")</f>
        <v/>
      </c>
      <c r="O207" s="385" t="n"/>
      <c r="P207" s="385" t="n"/>
      <c r="Q207" s="385" t="n"/>
      <c r="R207" s="351" t="n"/>
      <c r="S207" s="40" t="inlineStr"/>
      <c r="T207" s="40" t="inlineStr"/>
      <c r="U207" s="41" t="inlineStr">
        <is>
          <t>кор</t>
        </is>
      </c>
      <c r="V207" s="386" t="n">
        <v>0</v>
      </c>
      <c r="W207" s="387">
        <f>IFERROR(IF(V207="","",V207),"")</f>
        <v/>
      </c>
      <c r="X207" s="42">
        <f>IFERROR(IF(V207="","",V207*0.00753),"")</f>
        <v/>
      </c>
      <c r="Y207" s="69" t="inlineStr"/>
      <c r="Z207" s="70" t="inlineStr"/>
      <c r="AD207" s="74" t="n"/>
      <c r="BA207" s="146" t="inlineStr">
        <is>
          <t>КИЗ</t>
        </is>
      </c>
    </row>
    <row r="208">
      <c r="A208" s="178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388" t="n"/>
      <c r="N208" s="389" t="inlineStr">
        <is>
          <t>Итого</t>
        </is>
      </c>
      <c r="O208" s="359" t="n"/>
      <c r="P208" s="359" t="n"/>
      <c r="Q208" s="359" t="n"/>
      <c r="R208" s="359" t="n"/>
      <c r="S208" s="359" t="n"/>
      <c r="T208" s="360" t="n"/>
      <c r="U208" s="43" t="inlineStr">
        <is>
          <t>кор</t>
        </is>
      </c>
      <c r="V208" s="390">
        <f>IFERROR(SUM(V207:V207),"0")</f>
        <v/>
      </c>
      <c r="W208" s="390">
        <f>IFERROR(SUM(W207:W207),"0")</f>
        <v/>
      </c>
      <c r="X208" s="390">
        <f>IFERROR(IF(X207="",0,X207),"0")</f>
        <v/>
      </c>
      <c r="Y208" s="391" t="n"/>
      <c r="Z208" s="39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388" t="n"/>
      <c r="N209" s="389" t="inlineStr">
        <is>
          <t>Итого</t>
        </is>
      </c>
      <c r="O209" s="359" t="n"/>
      <c r="P209" s="359" t="n"/>
      <c r="Q209" s="359" t="n"/>
      <c r="R209" s="359" t="n"/>
      <c r="S209" s="359" t="n"/>
      <c r="T209" s="360" t="n"/>
      <c r="U209" s="43" t="inlineStr">
        <is>
          <t>кг</t>
        </is>
      </c>
      <c r="V209" s="390">
        <f>IFERROR(SUMPRODUCT(V207:V207*H207:H207),"0")</f>
        <v/>
      </c>
      <c r="W209" s="390">
        <f>IFERROR(SUMPRODUCT(W207:W207*H207:H207),"0")</f>
        <v/>
      </c>
      <c r="X209" s="43" t="n"/>
      <c r="Y209" s="391" t="n"/>
      <c r="Z209" s="391" t="n"/>
    </row>
    <row r="210" ht="16.5" customHeight="1">
      <c r="A210" s="207" t="inlineStr">
        <is>
          <t>Сочные</t>
        </is>
      </c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207" t="n"/>
      <c r="Z210" s="207" t="n"/>
    </row>
    <row r="211" ht="14.25" customHeight="1">
      <c r="A211" s="196" t="inlineStr">
        <is>
          <t>Пельмени</t>
        </is>
      </c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96" t="n"/>
      <c r="Z211" s="196" t="n"/>
    </row>
    <row r="212" ht="16.5" customHeight="1">
      <c r="A212" s="64" t="inlineStr">
        <is>
          <t>SU001859</t>
        </is>
      </c>
      <c r="B212" s="64" t="inlineStr">
        <is>
          <t>P002720</t>
        </is>
      </c>
      <c r="C212" s="37" t="n">
        <v>4301070874</v>
      </c>
      <c r="D212" s="183" t="n">
        <v>4607111035332</v>
      </c>
      <c r="E212" s="351" t="n"/>
      <c r="F212" s="383" t="n">
        <v>0.43</v>
      </c>
      <c r="G212" s="38" t="n">
        <v>16</v>
      </c>
      <c r="H212" s="383" t="n">
        <v>6.88</v>
      </c>
      <c r="I212" s="383" t="n">
        <v>7.206</v>
      </c>
      <c r="J212" s="38" t="n">
        <v>84</v>
      </c>
      <c r="K212" s="38" t="inlineStr">
        <is>
          <t>12</t>
        </is>
      </c>
      <c r="L212" s="39" t="inlineStr">
        <is>
          <t>МГ</t>
        </is>
      </c>
      <c r="M212" s="38" t="n">
        <v>180</v>
      </c>
      <c r="N212" s="462">
        <f>HYPERLINK("https://abi.ru/products/Замороженные/Стародворье/Сочные/Пельмени/P002720/","Пельмени Сочные Сочные 0,43 Сфера Стародворье")</f>
        <v/>
      </c>
      <c r="O212" s="385" t="n"/>
      <c r="P212" s="385" t="n"/>
      <c r="Q212" s="385" t="n"/>
      <c r="R212" s="351" t="n"/>
      <c r="S212" s="40" t="inlineStr"/>
      <c r="T212" s="40" t="inlineStr"/>
      <c r="U212" s="41" t="inlineStr">
        <is>
          <t>кор</t>
        </is>
      </c>
      <c r="V212" s="386" t="n">
        <v>0</v>
      </c>
      <c r="W212" s="387">
        <f>IFERROR(IF(V212="","",V212),"")</f>
        <v/>
      </c>
      <c r="X212" s="42">
        <f>IFERROR(IF(V212="","",V212*0.0155),"")</f>
        <v/>
      </c>
      <c r="Y212" s="69" t="inlineStr"/>
      <c r="Z212" s="70" t="inlineStr"/>
      <c r="AD212" s="74" t="n"/>
      <c r="BA212" s="147" t="inlineStr">
        <is>
          <t>ЗПФ</t>
        </is>
      </c>
    </row>
    <row r="213" ht="16.5" customHeight="1">
      <c r="A213" s="64" t="inlineStr">
        <is>
          <t>SU001776</t>
        </is>
      </c>
      <c r="B213" s="64" t="inlineStr">
        <is>
          <t>P002719</t>
        </is>
      </c>
      <c r="C213" s="37" t="n">
        <v>4301070873</v>
      </c>
      <c r="D213" s="183" t="n">
        <v>4607111035080</v>
      </c>
      <c r="E213" s="351" t="n"/>
      <c r="F213" s="383" t="n">
        <v>0.9</v>
      </c>
      <c r="G213" s="38" t="n">
        <v>8</v>
      </c>
      <c r="H213" s="383" t="n">
        <v>7.2</v>
      </c>
      <c r="I213" s="383" t="n">
        <v>7.47</v>
      </c>
      <c r="J213" s="38" t="n">
        <v>84</v>
      </c>
      <c r="K213" s="38" t="inlineStr">
        <is>
          <t>12</t>
        </is>
      </c>
      <c r="L213" s="39" t="inlineStr">
        <is>
          <t>МГ</t>
        </is>
      </c>
      <c r="M213" s="38" t="n">
        <v>180</v>
      </c>
      <c r="N213" s="463">
        <f>HYPERLINK("https://abi.ru/products/Замороженные/Стародворье/Сочные/Пельмени/P002719/","Пельмени Сочные Сочные 0,9 Сфера Стародворье")</f>
        <v/>
      </c>
      <c r="O213" s="385" t="n"/>
      <c r="P213" s="385" t="n"/>
      <c r="Q213" s="385" t="n"/>
      <c r="R213" s="351" t="n"/>
      <c r="S213" s="40" t="inlineStr"/>
      <c r="T213" s="40" t="inlineStr"/>
      <c r="U213" s="41" t="inlineStr">
        <is>
          <t>кор</t>
        </is>
      </c>
      <c r="V213" s="386" t="n">
        <v>0</v>
      </c>
      <c r="W213" s="387">
        <f>IFERROR(IF(V213="","",V213),"")</f>
        <v/>
      </c>
      <c r="X213" s="42">
        <f>IFERROR(IF(V213="","",V213*0.0155),"")</f>
        <v/>
      </c>
      <c r="Y213" s="69" t="inlineStr"/>
      <c r="Z213" s="70" t="inlineStr"/>
      <c r="AD213" s="74" t="n"/>
      <c r="BA213" s="148" t="inlineStr">
        <is>
          <t>ЗПФ</t>
        </is>
      </c>
    </row>
    <row r="214">
      <c r="A214" s="178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388" t="n"/>
      <c r="N214" s="389" t="inlineStr">
        <is>
          <t>Итого</t>
        </is>
      </c>
      <c r="O214" s="359" t="n"/>
      <c r="P214" s="359" t="n"/>
      <c r="Q214" s="359" t="n"/>
      <c r="R214" s="359" t="n"/>
      <c r="S214" s="359" t="n"/>
      <c r="T214" s="360" t="n"/>
      <c r="U214" s="43" t="inlineStr">
        <is>
          <t>кор</t>
        </is>
      </c>
      <c r="V214" s="390">
        <f>IFERROR(SUM(V212:V213),"0")</f>
        <v/>
      </c>
      <c r="W214" s="390">
        <f>IFERROR(SUM(W212:W213),"0")</f>
        <v/>
      </c>
      <c r="X214" s="390">
        <f>IFERROR(IF(X212="",0,X212),"0")+IFERROR(IF(X213="",0,X213),"0")</f>
        <v/>
      </c>
      <c r="Y214" s="391" t="n"/>
      <c r="Z214" s="39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388" t="n"/>
      <c r="N215" s="389" t="inlineStr">
        <is>
          <t>Итого</t>
        </is>
      </c>
      <c r="O215" s="359" t="n"/>
      <c r="P215" s="359" t="n"/>
      <c r="Q215" s="359" t="n"/>
      <c r="R215" s="359" t="n"/>
      <c r="S215" s="359" t="n"/>
      <c r="T215" s="360" t="n"/>
      <c r="U215" s="43" t="inlineStr">
        <is>
          <t>кг</t>
        </is>
      </c>
      <c r="V215" s="390">
        <f>IFERROR(SUMPRODUCT(V212:V213*H212:H213),"0")</f>
        <v/>
      </c>
      <c r="W215" s="390">
        <f>IFERROR(SUMPRODUCT(W212:W213*H212:H213),"0")</f>
        <v/>
      </c>
      <c r="X215" s="43" t="n"/>
      <c r="Y215" s="391" t="n"/>
      <c r="Z215" s="391" t="n"/>
    </row>
    <row r="216" ht="27.75" customHeight="1">
      <c r="A216" s="206" t="inlineStr">
        <is>
          <t>Колбасный стандарт</t>
        </is>
      </c>
      <c r="B216" s="382" t="n"/>
      <c r="C216" s="382" t="n"/>
      <c r="D216" s="382" t="n"/>
      <c r="E216" s="382" t="n"/>
      <c r="F216" s="382" t="n"/>
      <c r="G216" s="382" t="n"/>
      <c r="H216" s="382" t="n"/>
      <c r="I216" s="382" t="n"/>
      <c r="J216" s="382" t="n"/>
      <c r="K216" s="382" t="n"/>
      <c r="L216" s="382" t="n"/>
      <c r="M216" s="382" t="n"/>
      <c r="N216" s="382" t="n"/>
      <c r="O216" s="382" t="n"/>
      <c r="P216" s="382" t="n"/>
      <c r="Q216" s="382" t="n"/>
      <c r="R216" s="382" t="n"/>
      <c r="S216" s="382" t="n"/>
      <c r="T216" s="382" t="n"/>
      <c r="U216" s="382" t="n"/>
      <c r="V216" s="382" t="n"/>
      <c r="W216" s="382" t="n"/>
      <c r="X216" s="382" t="n"/>
      <c r="Y216" s="55" t="n"/>
      <c r="Z216" s="55" t="n"/>
    </row>
    <row r="217" ht="16.5" customHeight="1">
      <c r="A217" s="207" t="inlineStr">
        <is>
          <t>Владимирский Стандарт ЗПФ</t>
        </is>
      </c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207" t="n"/>
      <c r="Z217" s="207" t="n"/>
    </row>
    <row r="218" ht="14.25" customHeight="1">
      <c r="A218" s="196" t="inlineStr">
        <is>
          <t>Пельмени</t>
        </is>
      </c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96" t="n"/>
      <c r="Z218" s="196" t="n"/>
    </row>
    <row r="219" ht="27" customHeight="1">
      <c r="A219" s="64" t="inlineStr">
        <is>
          <t>SU002267</t>
        </is>
      </c>
      <c r="B219" s="64" t="inlineStr">
        <is>
          <t>P003223</t>
        </is>
      </c>
      <c r="C219" s="37" t="n">
        <v>4301070941</v>
      </c>
      <c r="D219" s="183" t="n">
        <v>4607111036162</v>
      </c>
      <c r="E219" s="351" t="n"/>
      <c r="F219" s="383" t="n">
        <v>0.8</v>
      </c>
      <c r="G219" s="38" t="n">
        <v>8</v>
      </c>
      <c r="H219" s="383" t="n">
        <v>6.4</v>
      </c>
      <c r="I219" s="383" t="n">
        <v>6.6812</v>
      </c>
      <c r="J219" s="38" t="n">
        <v>84</v>
      </c>
      <c r="K219" s="38" t="inlineStr">
        <is>
          <t>12</t>
        </is>
      </c>
      <c r="L219" s="39" t="inlineStr">
        <is>
          <t>МГ</t>
        </is>
      </c>
      <c r="M219" s="38" t="n">
        <v>90</v>
      </c>
      <c r="N219" s="464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/>
      </c>
      <c r="O219" s="385" t="n"/>
      <c r="P219" s="385" t="n"/>
      <c r="Q219" s="385" t="n"/>
      <c r="R219" s="351" t="n"/>
      <c r="S219" s="40" t="inlineStr"/>
      <c r="T219" s="40" t="inlineStr"/>
      <c r="U219" s="41" t="inlineStr">
        <is>
          <t>кор</t>
        </is>
      </c>
      <c r="V219" s="386" t="n">
        <v>0</v>
      </c>
      <c r="W219" s="387">
        <f>IFERROR(IF(V219="","",V219),"")</f>
        <v/>
      </c>
      <c r="X219" s="42">
        <f>IFERROR(IF(V219="","",V219*0.0155),"")</f>
        <v/>
      </c>
      <c r="Y219" s="69" t="inlineStr"/>
      <c r="Z219" s="70" t="inlineStr"/>
      <c r="AD219" s="74" t="n"/>
      <c r="BA219" s="149" t="inlineStr">
        <is>
          <t>ЗПФ</t>
        </is>
      </c>
    </row>
    <row r="220">
      <c r="A220" s="178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388" t="n"/>
      <c r="N220" s="389" t="inlineStr">
        <is>
          <t>Итого</t>
        </is>
      </c>
      <c r="O220" s="359" t="n"/>
      <c r="P220" s="359" t="n"/>
      <c r="Q220" s="359" t="n"/>
      <c r="R220" s="359" t="n"/>
      <c r="S220" s="359" t="n"/>
      <c r="T220" s="360" t="n"/>
      <c r="U220" s="43" t="inlineStr">
        <is>
          <t>кор</t>
        </is>
      </c>
      <c r="V220" s="390">
        <f>IFERROR(SUM(V219:V219),"0")</f>
        <v/>
      </c>
      <c r="W220" s="390">
        <f>IFERROR(SUM(W219:W219),"0")</f>
        <v/>
      </c>
      <c r="X220" s="390">
        <f>IFERROR(IF(X219="",0,X219),"0")</f>
        <v/>
      </c>
      <c r="Y220" s="391" t="n"/>
      <c r="Z220" s="39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388" t="n"/>
      <c r="N221" s="389" t="inlineStr">
        <is>
          <t>Итого</t>
        </is>
      </c>
      <c r="O221" s="359" t="n"/>
      <c r="P221" s="359" t="n"/>
      <c r="Q221" s="359" t="n"/>
      <c r="R221" s="359" t="n"/>
      <c r="S221" s="359" t="n"/>
      <c r="T221" s="360" t="n"/>
      <c r="U221" s="43" t="inlineStr">
        <is>
          <t>кг</t>
        </is>
      </c>
      <c r="V221" s="390">
        <f>IFERROR(SUMPRODUCT(V219:V219*H219:H219),"0")</f>
        <v/>
      </c>
      <c r="W221" s="390">
        <f>IFERROR(SUMPRODUCT(W219:W219*H219:H219),"0")</f>
        <v/>
      </c>
      <c r="X221" s="43" t="n"/>
      <c r="Y221" s="391" t="n"/>
      <c r="Z221" s="391" t="n"/>
    </row>
    <row r="222" ht="27.75" customHeight="1">
      <c r="A222" s="206" t="inlineStr">
        <is>
          <t>Особый рецепт</t>
        </is>
      </c>
      <c r="B222" s="382" t="n"/>
      <c r="C222" s="382" t="n"/>
      <c r="D222" s="382" t="n"/>
      <c r="E222" s="382" t="n"/>
      <c r="F222" s="382" t="n"/>
      <c r="G222" s="382" t="n"/>
      <c r="H222" s="382" t="n"/>
      <c r="I222" s="382" t="n"/>
      <c r="J222" s="382" t="n"/>
      <c r="K222" s="382" t="n"/>
      <c r="L222" s="382" t="n"/>
      <c r="M222" s="382" t="n"/>
      <c r="N222" s="382" t="n"/>
      <c r="O222" s="382" t="n"/>
      <c r="P222" s="382" t="n"/>
      <c r="Q222" s="382" t="n"/>
      <c r="R222" s="382" t="n"/>
      <c r="S222" s="382" t="n"/>
      <c r="T222" s="382" t="n"/>
      <c r="U222" s="382" t="n"/>
      <c r="V222" s="382" t="n"/>
      <c r="W222" s="382" t="n"/>
      <c r="X222" s="382" t="n"/>
      <c r="Y222" s="55" t="n"/>
      <c r="Z222" s="55" t="n"/>
    </row>
    <row r="223" ht="16.5" customHeight="1">
      <c r="A223" s="207" t="inlineStr">
        <is>
          <t>Любимая ложка</t>
        </is>
      </c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207" t="n"/>
      <c r="Z223" s="207" t="n"/>
    </row>
    <row r="224" ht="14.25" customHeight="1">
      <c r="A224" s="196" t="inlineStr">
        <is>
          <t>Пельмени</t>
        </is>
      </c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96" t="n"/>
      <c r="Z224" s="196" t="n"/>
    </row>
    <row r="225" ht="27" customHeight="1">
      <c r="A225" s="64" t="inlineStr">
        <is>
          <t>SU002268</t>
        </is>
      </c>
      <c r="B225" s="64" t="inlineStr">
        <is>
          <t>P003642</t>
        </is>
      </c>
      <c r="C225" s="37" t="n">
        <v>4301070965</v>
      </c>
      <c r="D225" s="183" t="n">
        <v>4607111035899</v>
      </c>
      <c r="E225" s="351" t="n"/>
      <c r="F225" s="383" t="n">
        <v>1</v>
      </c>
      <c r="G225" s="38" t="n">
        <v>5</v>
      </c>
      <c r="H225" s="383" t="n">
        <v>5</v>
      </c>
      <c r="I225" s="383" t="n">
        <v>5.262</v>
      </c>
      <c r="J225" s="38" t="n">
        <v>84</v>
      </c>
      <c r="K225" s="38" t="inlineStr">
        <is>
          <t>12</t>
        </is>
      </c>
      <c r="L225" s="39" t="inlineStr">
        <is>
          <t>МГ</t>
        </is>
      </c>
      <c r="M225" s="38" t="n">
        <v>180</v>
      </c>
      <c r="N225" s="465">
        <f>HYPERLINK("https://abi.ru/products/Замороженные/Особый рецепт/Любимая ложка/Пельмени/P003642/","Пельмени Со свининой и говядиной Любимая ложка 1,0 Равиоли Особый рецепт")</f>
        <v/>
      </c>
      <c r="O225" s="385" t="n"/>
      <c r="P225" s="385" t="n"/>
      <c r="Q225" s="385" t="n"/>
      <c r="R225" s="351" t="n"/>
      <c r="S225" s="40" t="inlineStr"/>
      <c r="T225" s="40" t="inlineStr"/>
      <c r="U225" s="41" t="inlineStr">
        <is>
          <t>кор</t>
        </is>
      </c>
      <c r="V225" s="386" t="n">
        <v>0</v>
      </c>
      <c r="W225" s="387">
        <f>IFERROR(IF(V225="","",V225),"")</f>
        <v/>
      </c>
      <c r="X225" s="42">
        <f>IFERROR(IF(V225="","",V225*0.0155),"")</f>
        <v/>
      </c>
      <c r="Y225" s="69" t="inlineStr"/>
      <c r="Z225" s="70" t="inlineStr"/>
      <c r="AD225" s="74" t="n"/>
      <c r="BA225" s="150" t="inlineStr">
        <is>
          <t>ЗПФ</t>
        </is>
      </c>
    </row>
    <row r="226">
      <c r="A226" s="178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388" t="n"/>
      <c r="N226" s="389" t="inlineStr">
        <is>
          <t>Итого</t>
        </is>
      </c>
      <c r="O226" s="359" t="n"/>
      <c r="P226" s="359" t="n"/>
      <c r="Q226" s="359" t="n"/>
      <c r="R226" s="359" t="n"/>
      <c r="S226" s="359" t="n"/>
      <c r="T226" s="360" t="n"/>
      <c r="U226" s="43" t="inlineStr">
        <is>
          <t>кор</t>
        </is>
      </c>
      <c r="V226" s="390">
        <f>IFERROR(SUM(V225:V225),"0")</f>
        <v/>
      </c>
      <c r="W226" s="390">
        <f>IFERROR(SUM(W225:W225),"0")</f>
        <v/>
      </c>
      <c r="X226" s="390">
        <f>IFERROR(IF(X225="",0,X225),"0")</f>
        <v/>
      </c>
      <c r="Y226" s="391" t="n"/>
      <c r="Z226" s="39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388" t="n"/>
      <c r="N227" s="389" t="inlineStr">
        <is>
          <t>Итого</t>
        </is>
      </c>
      <c r="O227" s="359" t="n"/>
      <c r="P227" s="359" t="n"/>
      <c r="Q227" s="359" t="n"/>
      <c r="R227" s="359" t="n"/>
      <c r="S227" s="359" t="n"/>
      <c r="T227" s="360" t="n"/>
      <c r="U227" s="43" t="inlineStr">
        <is>
          <t>кг</t>
        </is>
      </c>
      <c r="V227" s="390">
        <f>IFERROR(SUMPRODUCT(V225:V225*H225:H225),"0")</f>
        <v/>
      </c>
      <c r="W227" s="390">
        <f>IFERROR(SUMPRODUCT(W225:W225*H225:H225),"0")</f>
        <v/>
      </c>
      <c r="X227" s="43" t="n"/>
      <c r="Y227" s="391" t="n"/>
      <c r="Z227" s="391" t="n"/>
    </row>
    <row r="228" ht="16.5" customHeight="1">
      <c r="A228" s="207" t="inlineStr">
        <is>
          <t>Особая Без свинины</t>
        </is>
      </c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207" t="n"/>
      <c r="Z228" s="207" t="n"/>
    </row>
    <row r="229" ht="14.25" customHeight="1">
      <c r="A229" s="196" t="inlineStr">
        <is>
          <t>Пельмени</t>
        </is>
      </c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96" t="n"/>
      <c r="Z229" s="196" t="n"/>
    </row>
    <row r="230" ht="27" customHeight="1">
      <c r="A230" s="64" t="inlineStr">
        <is>
          <t>SU002408</t>
        </is>
      </c>
      <c r="B230" s="64" t="inlineStr">
        <is>
          <t>P002686</t>
        </is>
      </c>
      <c r="C230" s="37" t="n">
        <v>4301070870</v>
      </c>
      <c r="D230" s="183" t="n">
        <v>4607111036711</v>
      </c>
      <c r="E230" s="351" t="n"/>
      <c r="F230" s="383" t="n">
        <v>0.8</v>
      </c>
      <c r="G230" s="38" t="n">
        <v>8</v>
      </c>
      <c r="H230" s="383" t="n">
        <v>6.4</v>
      </c>
      <c r="I230" s="383" t="n">
        <v>6.67</v>
      </c>
      <c r="J230" s="38" t="n">
        <v>84</v>
      </c>
      <c r="K230" s="38" t="inlineStr">
        <is>
          <t>12</t>
        </is>
      </c>
      <c r="L230" s="39" t="inlineStr">
        <is>
          <t>МГ</t>
        </is>
      </c>
      <c r="M230" s="38" t="n">
        <v>90</v>
      </c>
      <c r="N230" s="466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/>
      </c>
      <c r="O230" s="385" t="n"/>
      <c r="P230" s="385" t="n"/>
      <c r="Q230" s="385" t="n"/>
      <c r="R230" s="351" t="n"/>
      <c r="S230" s="40" t="inlineStr"/>
      <c r="T230" s="40" t="inlineStr"/>
      <c r="U230" s="41" t="inlineStr">
        <is>
          <t>кор</t>
        </is>
      </c>
      <c r="V230" s="386" t="n">
        <v>0</v>
      </c>
      <c r="W230" s="387">
        <f>IFERROR(IF(V230="","",V230),"")</f>
        <v/>
      </c>
      <c r="X230" s="42">
        <f>IFERROR(IF(V230="","",V230*0.0155),"")</f>
        <v/>
      </c>
      <c r="Y230" s="69" t="inlineStr"/>
      <c r="Z230" s="70" t="inlineStr"/>
      <c r="AD230" s="74" t="n"/>
      <c r="BA230" s="151" t="inlineStr">
        <is>
          <t>ЗПФ</t>
        </is>
      </c>
    </row>
    <row r="231">
      <c r="A231" s="178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388" t="n"/>
      <c r="N231" s="389" t="inlineStr">
        <is>
          <t>Итого</t>
        </is>
      </c>
      <c r="O231" s="359" t="n"/>
      <c r="P231" s="359" t="n"/>
      <c r="Q231" s="359" t="n"/>
      <c r="R231" s="359" t="n"/>
      <c r="S231" s="359" t="n"/>
      <c r="T231" s="360" t="n"/>
      <c r="U231" s="43" t="inlineStr">
        <is>
          <t>кор</t>
        </is>
      </c>
      <c r="V231" s="390">
        <f>IFERROR(SUM(V230:V230),"0")</f>
        <v/>
      </c>
      <c r="W231" s="390">
        <f>IFERROR(SUM(W230:W230),"0")</f>
        <v/>
      </c>
      <c r="X231" s="390">
        <f>IFERROR(IF(X230="",0,X230),"0")</f>
        <v/>
      </c>
      <c r="Y231" s="391" t="n"/>
      <c r="Z231" s="39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388" t="n"/>
      <c r="N232" s="389" t="inlineStr">
        <is>
          <t>Итого</t>
        </is>
      </c>
      <c r="O232" s="359" t="n"/>
      <c r="P232" s="359" t="n"/>
      <c r="Q232" s="359" t="n"/>
      <c r="R232" s="359" t="n"/>
      <c r="S232" s="359" t="n"/>
      <c r="T232" s="360" t="n"/>
      <c r="U232" s="43" t="inlineStr">
        <is>
          <t>кг</t>
        </is>
      </c>
      <c r="V232" s="390">
        <f>IFERROR(SUMPRODUCT(V230:V230*H230:H230),"0")</f>
        <v/>
      </c>
      <c r="W232" s="390">
        <f>IFERROR(SUMPRODUCT(W230:W230*H230:H230),"0")</f>
        <v/>
      </c>
      <c r="X232" s="43" t="n"/>
      <c r="Y232" s="391" t="n"/>
      <c r="Z232" s="391" t="n"/>
    </row>
    <row r="233" ht="27.75" customHeight="1">
      <c r="A233" s="206" t="inlineStr">
        <is>
          <t>Зареченские</t>
        </is>
      </c>
      <c r="B233" s="382" t="n"/>
      <c r="C233" s="382" t="n"/>
      <c r="D233" s="382" t="n"/>
      <c r="E233" s="382" t="n"/>
      <c r="F233" s="382" t="n"/>
      <c r="G233" s="382" t="n"/>
      <c r="H233" s="382" t="n"/>
      <c r="I233" s="382" t="n"/>
      <c r="J233" s="382" t="n"/>
      <c r="K233" s="382" t="n"/>
      <c r="L233" s="382" t="n"/>
      <c r="M233" s="382" t="n"/>
      <c r="N233" s="382" t="n"/>
      <c r="O233" s="382" t="n"/>
      <c r="P233" s="382" t="n"/>
      <c r="Q233" s="382" t="n"/>
      <c r="R233" s="382" t="n"/>
      <c r="S233" s="382" t="n"/>
      <c r="T233" s="382" t="n"/>
      <c r="U233" s="382" t="n"/>
      <c r="V233" s="382" t="n"/>
      <c r="W233" s="382" t="n"/>
      <c r="X233" s="382" t="n"/>
      <c r="Y233" s="55" t="n"/>
      <c r="Z233" s="55" t="n"/>
    </row>
    <row r="234" ht="16.5" customHeight="1">
      <c r="A234" s="207" t="inlineStr">
        <is>
          <t>Зареченские продукты ПГП</t>
        </is>
      </c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207" t="n"/>
      <c r="Z234" s="207" t="n"/>
    </row>
    <row r="235" ht="14.25" customHeight="1">
      <c r="A235" s="196" t="inlineStr">
        <is>
          <t>Крылья</t>
        </is>
      </c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96" t="n"/>
      <c r="Z235" s="196" t="n"/>
    </row>
    <row r="236" ht="27" customHeight="1">
      <c r="A236" s="64" t="inlineStr">
        <is>
          <t>SU003024</t>
        </is>
      </c>
      <c r="B236" s="64" t="inlineStr">
        <is>
          <t>P003488</t>
        </is>
      </c>
      <c r="C236" s="37" t="n">
        <v>4301131019</v>
      </c>
      <c r="D236" s="183" t="n">
        <v>4640242180427</v>
      </c>
      <c r="E236" s="351" t="n"/>
      <c r="F236" s="383" t="n">
        <v>1.8</v>
      </c>
      <c r="G236" s="38" t="n">
        <v>1</v>
      </c>
      <c r="H236" s="383" t="n">
        <v>1.8</v>
      </c>
      <c r="I236" s="383" t="n">
        <v>1.915</v>
      </c>
      <c r="J236" s="38" t="n">
        <v>234</v>
      </c>
      <c r="K236" s="38" t="inlineStr">
        <is>
          <t>18</t>
        </is>
      </c>
      <c r="L236" s="39" t="inlineStr">
        <is>
          <t>МГ</t>
        </is>
      </c>
      <c r="M236" s="38" t="n">
        <v>180</v>
      </c>
      <c r="N236" s="467" t="inlineStr">
        <is>
          <t>Крылья «Хрустящие крылышки» Весовой ТМ «Зареченские» 1,8 кг</t>
        </is>
      </c>
      <c r="O236" s="385" t="n"/>
      <c r="P236" s="385" t="n"/>
      <c r="Q236" s="385" t="n"/>
      <c r="R236" s="351" t="n"/>
      <c r="S236" s="40" t="inlineStr"/>
      <c r="T236" s="40" t="inlineStr"/>
      <c r="U236" s="41" t="inlineStr">
        <is>
          <t>кор</t>
        </is>
      </c>
      <c r="V236" s="386" t="n">
        <v>0</v>
      </c>
      <c r="W236" s="387">
        <f>IFERROR(IF(V236="","",V236),"")</f>
        <v/>
      </c>
      <c r="X236" s="42">
        <f>IFERROR(IF(V236="","",V236*0.00502),"")</f>
        <v/>
      </c>
      <c r="Y236" s="69" t="inlineStr"/>
      <c r="Z236" s="70" t="inlineStr"/>
      <c r="AD236" s="74" t="n"/>
      <c r="BA236" s="152" t="inlineStr">
        <is>
          <t>ПГП</t>
        </is>
      </c>
    </row>
    <row r="237">
      <c r="A237" s="178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388" t="n"/>
      <c r="N237" s="389" t="inlineStr">
        <is>
          <t>Итого</t>
        </is>
      </c>
      <c r="O237" s="359" t="n"/>
      <c r="P237" s="359" t="n"/>
      <c r="Q237" s="359" t="n"/>
      <c r="R237" s="359" t="n"/>
      <c r="S237" s="359" t="n"/>
      <c r="T237" s="360" t="n"/>
      <c r="U237" s="43" t="inlineStr">
        <is>
          <t>кор</t>
        </is>
      </c>
      <c r="V237" s="390">
        <f>IFERROR(SUM(V236:V236),"0")</f>
        <v/>
      </c>
      <c r="W237" s="390">
        <f>IFERROR(SUM(W236:W236),"0")</f>
        <v/>
      </c>
      <c r="X237" s="390">
        <f>IFERROR(IF(X236="",0,X236),"0")</f>
        <v/>
      </c>
      <c r="Y237" s="391" t="n"/>
      <c r="Z237" s="39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388" t="n"/>
      <c r="N238" s="389" t="inlineStr">
        <is>
          <t>Итого</t>
        </is>
      </c>
      <c r="O238" s="359" t="n"/>
      <c r="P238" s="359" t="n"/>
      <c r="Q238" s="359" t="n"/>
      <c r="R238" s="359" t="n"/>
      <c r="S238" s="359" t="n"/>
      <c r="T238" s="360" t="n"/>
      <c r="U238" s="43" t="inlineStr">
        <is>
          <t>кг</t>
        </is>
      </c>
      <c r="V238" s="390">
        <f>IFERROR(SUMPRODUCT(V236:V236*H236:H236),"0")</f>
        <v/>
      </c>
      <c r="W238" s="390">
        <f>IFERROR(SUMPRODUCT(W236:W236*H236:H236),"0")</f>
        <v/>
      </c>
      <c r="X238" s="43" t="n"/>
      <c r="Y238" s="391" t="n"/>
      <c r="Z238" s="391" t="n"/>
    </row>
    <row r="239" ht="14.25" customHeight="1">
      <c r="A239" s="196" t="inlineStr">
        <is>
          <t>Наггетсы</t>
        </is>
      </c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96" t="n"/>
      <c r="Z239" s="196" t="n"/>
    </row>
    <row r="240" ht="27" customHeight="1">
      <c r="A240" s="64" t="inlineStr">
        <is>
          <t>SU003020</t>
        </is>
      </c>
      <c r="B240" s="64" t="inlineStr">
        <is>
          <t>P003486</t>
        </is>
      </c>
      <c r="C240" s="37" t="n">
        <v>4301132080</v>
      </c>
      <c r="D240" s="183" t="n">
        <v>4640242180397</v>
      </c>
      <c r="E240" s="351" t="n"/>
      <c r="F240" s="383" t="n">
        <v>1</v>
      </c>
      <c r="G240" s="38" t="n">
        <v>6</v>
      </c>
      <c r="H240" s="383" t="n">
        <v>6</v>
      </c>
      <c r="I240" s="383" t="n">
        <v>6.26</v>
      </c>
      <c r="J240" s="38" t="n">
        <v>84</v>
      </c>
      <c r="K240" s="38" t="inlineStr">
        <is>
          <t>12</t>
        </is>
      </c>
      <c r="L240" s="39" t="inlineStr">
        <is>
          <t>МГ</t>
        </is>
      </c>
      <c r="M240" s="38" t="n">
        <v>180</v>
      </c>
      <c r="N240" s="468" t="inlineStr">
        <is>
          <t>Наггетсы «Хрустящие» Весовые ТМ «Зареченские» 6 кг</t>
        </is>
      </c>
      <c r="O240" s="385" t="n"/>
      <c r="P240" s="385" t="n"/>
      <c r="Q240" s="385" t="n"/>
      <c r="R240" s="351" t="n"/>
      <c r="S240" s="40" t="inlineStr"/>
      <c r="T240" s="40" t="inlineStr"/>
      <c r="U240" s="41" t="inlineStr">
        <is>
          <t>кор</t>
        </is>
      </c>
      <c r="V240" s="386" t="n">
        <v>0</v>
      </c>
      <c r="W240" s="387">
        <f>IFERROR(IF(V240="","",V240),"")</f>
        <v/>
      </c>
      <c r="X240" s="42">
        <f>IFERROR(IF(V240="","",V240*0.0155),"")</f>
        <v/>
      </c>
      <c r="Y240" s="69" t="inlineStr"/>
      <c r="Z240" s="70" t="inlineStr"/>
      <c r="AD240" s="74" t="n"/>
      <c r="BA240" s="153" t="inlineStr">
        <is>
          <t>ПГП</t>
        </is>
      </c>
    </row>
    <row r="241">
      <c r="A241" s="178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388" t="n"/>
      <c r="N241" s="389" t="inlineStr">
        <is>
          <t>Итого</t>
        </is>
      </c>
      <c r="O241" s="359" t="n"/>
      <c r="P241" s="359" t="n"/>
      <c r="Q241" s="359" t="n"/>
      <c r="R241" s="359" t="n"/>
      <c r="S241" s="359" t="n"/>
      <c r="T241" s="360" t="n"/>
      <c r="U241" s="43" t="inlineStr">
        <is>
          <t>кор</t>
        </is>
      </c>
      <c r="V241" s="390">
        <f>IFERROR(SUM(V240:V240),"0")</f>
        <v/>
      </c>
      <c r="W241" s="390">
        <f>IFERROR(SUM(W240:W240),"0")</f>
        <v/>
      </c>
      <c r="X241" s="390">
        <f>IFERROR(IF(X240="",0,X240),"0")</f>
        <v/>
      </c>
      <c r="Y241" s="391" t="n"/>
      <c r="Z241" s="39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388" t="n"/>
      <c r="N242" s="389" t="inlineStr">
        <is>
          <t>Итого</t>
        </is>
      </c>
      <c r="O242" s="359" t="n"/>
      <c r="P242" s="359" t="n"/>
      <c r="Q242" s="359" t="n"/>
      <c r="R242" s="359" t="n"/>
      <c r="S242" s="359" t="n"/>
      <c r="T242" s="360" t="n"/>
      <c r="U242" s="43" t="inlineStr">
        <is>
          <t>кг</t>
        </is>
      </c>
      <c r="V242" s="390">
        <f>IFERROR(SUMPRODUCT(V240:V240*H240:H240),"0")</f>
        <v/>
      </c>
      <c r="W242" s="390">
        <f>IFERROR(SUMPRODUCT(W240:W240*H240:H240),"0")</f>
        <v/>
      </c>
      <c r="X242" s="43" t="n"/>
      <c r="Y242" s="391" t="n"/>
      <c r="Z242" s="391" t="n"/>
    </row>
    <row r="243" ht="14.25" customHeight="1">
      <c r="A243" s="196" t="inlineStr">
        <is>
          <t>Чебуреки</t>
        </is>
      </c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96" t="n"/>
      <c r="Z243" s="196" t="n"/>
    </row>
    <row r="244" ht="27" customHeight="1">
      <c r="A244" s="64" t="inlineStr">
        <is>
          <t>SU003012</t>
        </is>
      </c>
      <c r="B244" s="64" t="inlineStr">
        <is>
          <t>P003478</t>
        </is>
      </c>
      <c r="C244" s="37" t="n">
        <v>4301136028</v>
      </c>
      <c r="D244" s="183" t="n">
        <v>4640242180304</v>
      </c>
      <c r="E244" s="351" t="n"/>
      <c r="F244" s="383" t="n">
        <v>2.7</v>
      </c>
      <c r="G244" s="38" t="n">
        <v>1</v>
      </c>
      <c r="H244" s="383" t="n">
        <v>2.7</v>
      </c>
      <c r="I244" s="383" t="n">
        <v>2.8906</v>
      </c>
      <c r="J244" s="38" t="n">
        <v>126</v>
      </c>
      <c r="K244" s="38" t="inlineStr">
        <is>
          <t>14</t>
        </is>
      </c>
      <c r="L244" s="39" t="inlineStr">
        <is>
          <t>МГ</t>
        </is>
      </c>
      <c r="M244" s="38" t="n">
        <v>180</v>
      </c>
      <c r="N244" s="469" t="inlineStr">
        <is>
          <t>Чебуреки «Мясные» Весовые ТМ «Зареченские» 2,7 кг</t>
        </is>
      </c>
      <c r="O244" s="385" t="n"/>
      <c r="P244" s="385" t="n"/>
      <c r="Q244" s="385" t="n"/>
      <c r="R244" s="351" t="n"/>
      <c r="S244" s="40" t="inlineStr"/>
      <c r="T244" s="40" t="inlineStr"/>
      <c r="U244" s="41" t="inlineStr">
        <is>
          <t>кор</t>
        </is>
      </c>
      <c r="V244" s="386" t="n">
        <v>0</v>
      </c>
      <c r="W244" s="387">
        <f>IFERROR(IF(V244="","",V244),"")</f>
        <v/>
      </c>
      <c r="X244" s="42">
        <f>IFERROR(IF(V244="","",V244*0.00936),"")</f>
        <v/>
      </c>
      <c r="Y244" s="69" t="inlineStr"/>
      <c r="Z244" s="70" t="inlineStr"/>
      <c r="AD244" s="74" t="n"/>
      <c r="BA244" s="154" t="inlineStr">
        <is>
          <t>ПГП</t>
        </is>
      </c>
    </row>
    <row r="245" ht="37.5" customHeight="1">
      <c r="A245" s="64" t="inlineStr">
        <is>
          <t>SU003011</t>
        </is>
      </c>
      <c r="B245" s="64" t="inlineStr">
        <is>
          <t>P003477</t>
        </is>
      </c>
      <c r="C245" s="37" t="n">
        <v>4301136027</v>
      </c>
      <c r="D245" s="183" t="n">
        <v>4640242180298</v>
      </c>
      <c r="E245" s="351" t="n"/>
      <c r="F245" s="383" t="n">
        <v>2.7</v>
      </c>
      <c r="G245" s="38" t="n">
        <v>1</v>
      </c>
      <c r="H245" s="383" t="n">
        <v>2.7</v>
      </c>
      <c r="I245" s="383" t="n">
        <v>2.892</v>
      </c>
      <c r="J245" s="38" t="n">
        <v>126</v>
      </c>
      <c r="K245" s="38" t="inlineStr">
        <is>
          <t>14</t>
        </is>
      </c>
      <c r="L245" s="39" t="inlineStr">
        <is>
          <t>МГ</t>
        </is>
      </c>
      <c r="M245" s="38" t="n">
        <v>180</v>
      </c>
      <c r="N245" s="470" t="inlineStr">
        <is>
          <t>Чебуреки «с мясом, грибами и картофелем» Весовые ТМ «Зареченские» 2,7 кг</t>
        </is>
      </c>
      <c r="O245" s="385" t="n"/>
      <c r="P245" s="385" t="n"/>
      <c r="Q245" s="385" t="n"/>
      <c r="R245" s="351" t="n"/>
      <c r="S245" s="40" t="inlineStr"/>
      <c r="T245" s="40" t="inlineStr"/>
      <c r="U245" s="41" t="inlineStr">
        <is>
          <t>кор</t>
        </is>
      </c>
      <c r="V245" s="386" t="n">
        <v>0</v>
      </c>
      <c r="W245" s="387">
        <f>IFERROR(IF(V245="","",V245),"")</f>
        <v/>
      </c>
      <c r="X245" s="42">
        <f>IFERROR(IF(V245="","",V245*0.00936),"")</f>
        <v/>
      </c>
      <c r="Y245" s="69" t="inlineStr"/>
      <c r="Z245" s="70" t="inlineStr"/>
      <c r="AD245" s="74" t="n"/>
      <c r="BA245" s="155" t="inlineStr">
        <is>
          <t>ПГП</t>
        </is>
      </c>
    </row>
    <row r="246" ht="27" customHeight="1">
      <c r="A246" s="64" t="inlineStr">
        <is>
          <t>SU003010</t>
        </is>
      </c>
      <c r="B246" s="64" t="inlineStr">
        <is>
          <t>P003476</t>
        </is>
      </c>
      <c r="C246" s="37" t="n">
        <v>4301136026</v>
      </c>
      <c r="D246" s="183" t="n">
        <v>4640242180236</v>
      </c>
      <c r="E246" s="351" t="n"/>
      <c r="F246" s="383" t="n">
        <v>5</v>
      </c>
      <c r="G246" s="38" t="n">
        <v>1</v>
      </c>
      <c r="H246" s="383" t="n">
        <v>5</v>
      </c>
      <c r="I246" s="383" t="n">
        <v>5.235</v>
      </c>
      <c r="J246" s="38" t="n">
        <v>84</v>
      </c>
      <c r="K246" s="38" t="inlineStr">
        <is>
          <t>12</t>
        </is>
      </c>
      <c r="L246" s="39" t="inlineStr">
        <is>
          <t>МГ</t>
        </is>
      </c>
      <c r="M246" s="38" t="n">
        <v>180</v>
      </c>
      <c r="N246" s="471" t="inlineStr">
        <is>
          <t>Чебуреки «Сочные» Весовые ТМ «Зареченские» 5 кг</t>
        </is>
      </c>
      <c r="O246" s="385" t="n"/>
      <c r="P246" s="385" t="n"/>
      <c r="Q246" s="385" t="n"/>
      <c r="R246" s="351" t="n"/>
      <c r="S246" s="40" t="inlineStr"/>
      <c r="T246" s="40" t="inlineStr"/>
      <c r="U246" s="41" t="inlineStr">
        <is>
          <t>кор</t>
        </is>
      </c>
      <c r="V246" s="386" t="n">
        <v>0</v>
      </c>
      <c r="W246" s="387">
        <f>IFERROR(IF(V246="","",V246),"")</f>
        <v/>
      </c>
      <c r="X246" s="42">
        <f>IFERROR(IF(V246="","",V246*0.0155),"")</f>
        <v/>
      </c>
      <c r="Y246" s="69" t="inlineStr"/>
      <c r="Z246" s="70" t="inlineStr"/>
      <c r="AD246" s="74" t="n"/>
      <c r="BA246" s="156" t="inlineStr">
        <is>
          <t>ПГП</t>
        </is>
      </c>
    </row>
    <row r="247" ht="27" customHeight="1">
      <c r="A247" s="64" t="inlineStr">
        <is>
          <t>SU003025</t>
        </is>
      </c>
      <c r="B247" s="64" t="inlineStr">
        <is>
          <t>P003495</t>
        </is>
      </c>
      <c r="C247" s="37" t="n">
        <v>4301136029</v>
      </c>
      <c r="D247" s="183" t="n">
        <v>4640242180410</v>
      </c>
      <c r="E247" s="351" t="n"/>
      <c r="F247" s="383" t="n">
        <v>2.24</v>
      </c>
      <c r="G247" s="38" t="n">
        <v>1</v>
      </c>
      <c r="H247" s="383" t="n">
        <v>2.24</v>
      </c>
      <c r="I247" s="383" t="n">
        <v>2.432</v>
      </c>
      <c r="J247" s="38" t="n">
        <v>126</v>
      </c>
      <c r="K247" s="38" t="inlineStr">
        <is>
          <t>14</t>
        </is>
      </c>
      <c r="L247" s="39" t="inlineStr">
        <is>
          <t>МГ</t>
        </is>
      </c>
      <c r="M247" s="38" t="n">
        <v>180</v>
      </c>
      <c r="N247" s="472" t="inlineStr">
        <is>
          <t>Чебуреки «Сочный мегачебурек» Весовой ТМ «Зареченские» 2,24 кг</t>
        </is>
      </c>
      <c r="O247" s="385" t="n"/>
      <c r="P247" s="385" t="n"/>
      <c r="Q247" s="385" t="n"/>
      <c r="R247" s="351" t="n"/>
      <c r="S247" s="40" t="inlineStr"/>
      <c r="T247" s="40" t="inlineStr"/>
      <c r="U247" s="41" t="inlineStr">
        <is>
          <t>кор</t>
        </is>
      </c>
      <c r="V247" s="386" t="n">
        <v>0</v>
      </c>
      <c r="W247" s="387">
        <f>IFERROR(IF(V247="","",V247),"")</f>
        <v/>
      </c>
      <c r="X247" s="42">
        <f>IFERROR(IF(V247="","",V247*0.00936),"")</f>
        <v/>
      </c>
      <c r="Y247" s="69" t="inlineStr"/>
      <c r="Z247" s="70" t="inlineStr"/>
      <c r="AD247" s="74" t="n"/>
      <c r="BA247" s="157" t="inlineStr">
        <is>
          <t>ПГП</t>
        </is>
      </c>
    </row>
    <row r="248">
      <c r="A248" s="178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388" t="n"/>
      <c r="N248" s="389" t="inlineStr">
        <is>
          <t>Итого</t>
        </is>
      </c>
      <c r="O248" s="359" t="n"/>
      <c r="P248" s="359" t="n"/>
      <c r="Q248" s="359" t="n"/>
      <c r="R248" s="359" t="n"/>
      <c r="S248" s="359" t="n"/>
      <c r="T248" s="360" t="n"/>
      <c r="U248" s="43" t="inlineStr">
        <is>
          <t>кор</t>
        </is>
      </c>
      <c r="V248" s="390">
        <f>IFERROR(SUM(V244:V247),"0")</f>
        <v/>
      </c>
      <c r="W248" s="390">
        <f>IFERROR(SUM(W244:W247),"0")</f>
        <v/>
      </c>
      <c r="X248" s="390">
        <f>IFERROR(IF(X244="",0,X244),"0")+IFERROR(IF(X245="",0,X245),"0")+IFERROR(IF(X246="",0,X246),"0")+IFERROR(IF(X247="",0,X247),"0")</f>
        <v/>
      </c>
      <c r="Y248" s="391" t="n"/>
      <c r="Z248" s="39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388" t="n"/>
      <c r="N249" s="389" t="inlineStr">
        <is>
          <t>Итого</t>
        </is>
      </c>
      <c r="O249" s="359" t="n"/>
      <c r="P249" s="359" t="n"/>
      <c r="Q249" s="359" t="n"/>
      <c r="R249" s="359" t="n"/>
      <c r="S249" s="359" t="n"/>
      <c r="T249" s="360" t="n"/>
      <c r="U249" s="43" t="inlineStr">
        <is>
          <t>кг</t>
        </is>
      </c>
      <c r="V249" s="390">
        <f>IFERROR(SUMPRODUCT(V244:V247*H244:H247),"0")</f>
        <v/>
      </c>
      <c r="W249" s="390">
        <f>IFERROR(SUMPRODUCT(W244:W247*H244:H247),"0")</f>
        <v/>
      </c>
      <c r="X249" s="43" t="n"/>
      <c r="Y249" s="391" t="n"/>
      <c r="Z249" s="391" t="n"/>
    </row>
    <row r="250" ht="14.25" customHeight="1">
      <c r="A250" s="196" t="inlineStr">
        <is>
          <t>Снеки</t>
        </is>
      </c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96" t="n"/>
      <c r="Z250" s="196" t="n"/>
    </row>
    <row r="251" ht="27" customHeight="1">
      <c r="A251" s="64" t="inlineStr">
        <is>
          <t>SU003018</t>
        </is>
      </c>
      <c r="B251" s="64" t="inlineStr">
        <is>
          <t>P003484</t>
        </is>
      </c>
      <c r="C251" s="37" t="n">
        <v>4301135191</v>
      </c>
      <c r="D251" s="183" t="n">
        <v>4640242180373</v>
      </c>
      <c r="E251" s="351" t="n"/>
      <c r="F251" s="383" t="n">
        <v>3</v>
      </c>
      <c r="G251" s="38" t="n">
        <v>1</v>
      </c>
      <c r="H251" s="383" t="n">
        <v>3</v>
      </c>
      <c r="I251" s="383" t="n">
        <v>3.192</v>
      </c>
      <c r="J251" s="38" t="n">
        <v>126</v>
      </c>
      <c r="K251" s="38" t="inlineStr">
        <is>
          <t>14</t>
        </is>
      </c>
      <c r="L251" s="39" t="inlineStr">
        <is>
          <t>МГ</t>
        </is>
      </c>
      <c r="M251" s="38" t="n">
        <v>180</v>
      </c>
      <c r="N251" s="473" t="inlineStr">
        <is>
          <t>Снеки «Жар-боллы с курочкой и сыром» Весовой ТМ «Зареченские» 3 кг</t>
        </is>
      </c>
      <c r="O251" s="385" t="n"/>
      <c r="P251" s="385" t="n"/>
      <c r="Q251" s="385" t="n"/>
      <c r="R251" s="351" t="n"/>
      <c r="S251" s="40" t="inlineStr"/>
      <c r="T251" s="40" t="inlineStr"/>
      <c r="U251" s="41" t="inlineStr">
        <is>
          <t>кор</t>
        </is>
      </c>
      <c r="V251" s="386" t="n">
        <v>0</v>
      </c>
      <c r="W251" s="387">
        <f>IFERROR(IF(V251="","",V251),"")</f>
        <v/>
      </c>
      <c r="X251" s="42">
        <f>IFERROR(IF(V251="","",V251*0.00936),"")</f>
        <v/>
      </c>
      <c r="Y251" s="69" t="inlineStr"/>
      <c r="Z251" s="70" t="inlineStr"/>
      <c r="AD251" s="74" t="n"/>
      <c r="BA251" s="158" t="inlineStr">
        <is>
          <t>ПГП</t>
        </is>
      </c>
    </row>
    <row r="252" ht="27" customHeight="1">
      <c r="A252" s="64" t="inlineStr">
        <is>
          <t>SU003023</t>
        </is>
      </c>
      <c r="B252" s="64" t="inlineStr">
        <is>
          <t>P003490</t>
        </is>
      </c>
      <c r="C252" s="37" t="n">
        <v>4301135195</v>
      </c>
      <c r="D252" s="183" t="n">
        <v>4640242180366</v>
      </c>
      <c r="E252" s="351" t="n"/>
      <c r="F252" s="383" t="n">
        <v>3.7</v>
      </c>
      <c r="G252" s="38" t="n">
        <v>1</v>
      </c>
      <c r="H252" s="383" t="n">
        <v>3.7</v>
      </c>
      <c r="I252" s="383" t="n">
        <v>3.892</v>
      </c>
      <c r="J252" s="38" t="n">
        <v>126</v>
      </c>
      <c r="K252" s="38" t="inlineStr">
        <is>
          <t>14</t>
        </is>
      </c>
      <c r="L252" s="39" t="inlineStr">
        <is>
          <t>МГ</t>
        </is>
      </c>
      <c r="M252" s="38" t="n">
        <v>180</v>
      </c>
      <c r="N252" s="474" t="inlineStr">
        <is>
          <t>Снеки «Жар-ладушки с клубникой и вишней» Весовые ТМ «Зареченские» 3,7 кг</t>
        </is>
      </c>
      <c r="O252" s="385" t="n"/>
      <c r="P252" s="385" t="n"/>
      <c r="Q252" s="385" t="n"/>
      <c r="R252" s="351" t="n"/>
      <c r="S252" s="40" t="inlineStr"/>
      <c r="T252" s="40" t="inlineStr"/>
      <c r="U252" s="41" t="inlineStr">
        <is>
          <t>кор</t>
        </is>
      </c>
      <c r="V252" s="386" t="n">
        <v>0</v>
      </c>
      <c r="W252" s="387">
        <f>IFERROR(IF(V252="","",V252),"")</f>
        <v/>
      </c>
      <c r="X252" s="42">
        <f>IFERROR(IF(V252="","",V252*0.00936),"")</f>
        <v/>
      </c>
      <c r="Y252" s="69" t="inlineStr"/>
      <c r="Z252" s="70" t="inlineStr"/>
      <c r="AD252" s="74" t="n"/>
      <c r="BA252" s="159" t="inlineStr">
        <is>
          <t>ПГП</t>
        </is>
      </c>
    </row>
    <row r="253" ht="27" customHeight="1">
      <c r="A253" s="64" t="inlineStr">
        <is>
          <t>SU003015</t>
        </is>
      </c>
      <c r="B253" s="64" t="inlineStr">
        <is>
          <t>P003481</t>
        </is>
      </c>
      <c r="C253" s="37" t="n">
        <v>4301135188</v>
      </c>
      <c r="D253" s="183" t="n">
        <v>4640242180335</v>
      </c>
      <c r="E253" s="351" t="n"/>
      <c r="F253" s="383" t="n">
        <v>3.7</v>
      </c>
      <c r="G253" s="38" t="n">
        <v>1</v>
      </c>
      <c r="H253" s="383" t="n">
        <v>3.7</v>
      </c>
      <c r="I253" s="383" t="n">
        <v>3.892</v>
      </c>
      <c r="J253" s="38" t="n">
        <v>126</v>
      </c>
      <c r="K253" s="38" t="inlineStr">
        <is>
          <t>14</t>
        </is>
      </c>
      <c r="L253" s="39" t="inlineStr">
        <is>
          <t>МГ</t>
        </is>
      </c>
      <c r="M253" s="38" t="n">
        <v>180</v>
      </c>
      <c r="N253" s="475" t="inlineStr">
        <is>
          <t>Снеки «Жар-ладушки с мясом» Весовые ТМ «Зареченские» 3,7 кг</t>
        </is>
      </c>
      <c r="O253" s="385" t="n"/>
      <c r="P253" s="385" t="n"/>
      <c r="Q253" s="385" t="n"/>
      <c r="R253" s="351" t="n"/>
      <c r="S253" s="40" t="inlineStr"/>
      <c r="T253" s="40" t="inlineStr"/>
      <c r="U253" s="41" t="inlineStr">
        <is>
          <t>кор</t>
        </is>
      </c>
      <c r="V253" s="386" t="n">
        <v>0</v>
      </c>
      <c r="W253" s="387">
        <f>IFERROR(IF(V253="","",V253),"")</f>
        <v/>
      </c>
      <c r="X253" s="42">
        <f>IFERROR(IF(V253="","",V253*0.00936),"")</f>
        <v/>
      </c>
      <c r="Y253" s="69" t="inlineStr"/>
      <c r="Z253" s="70" t="inlineStr"/>
      <c r="AD253" s="74" t="n"/>
      <c r="BA253" s="160" t="inlineStr">
        <is>
          <t>ПГП</t>
        </is>
      </c>
    </row>
    <row r="254" ht="37.5" customHeight="1">
      <c r="A254" s="64" t="inlineStr">
        <is>
          <t>SU003016</t>
        </is>
      </c>
      <c r="B254" s="64" t="inlineStr">
        <is>
          <t>P003482</t>
        </is>
      </c>
      <c r="C254" s="37" t="n">
        <v>4301135189</v>
      </c>
      <c r="D254" s="183" t="n">
        <v>4640242180342</v>
      </c>
      <c r="E254" s="351" t="n"/>
      <c r="F254" s="383" t="n">
        <v>3.7</v>
      </c>
      <c r="G254" s="38" t="n">
        <v>1</v>
      </c>
      <c r="H254" s="383" t="n">
        <v>3.7</v>
      </c>
      <c r="I254" s="383" t="n">
        <v>3.892</v>
      </c>
      <c r="J254" s="38" t="n">
        <v>126</v>
      </c>
      <c r="K254" s="38" t="inlineStr">
        <is>
          <t>14</t>
        </is>
      </c>
      <c r="L254" s="39" t="inlineStr">
        <is>
          <t>МГ</t>
        </is>
      </c>
      <c r="M254" s="38" t="n">
        <v>180</v>
      </c>
      <c r="N254" s="476" t="inlineStr">
        <is>
          <t>Снеки «Жар-ладушки с мясом, картофелем и грибами» Весовые ТМ «Зареченские» 3,7 кг</t>
        </is>
      </c>
      <c r="O254" s="385" t="n"/>
      <c r="P254" s="385" t="n"/>
      <c r="Q254" s="385" t="n"/>
      <c r="R254" s="351" t="n"/>
      <c r="S254" s="40" t="inlineStr"/>
      <c r="T254" s="40" t="inlineStr"/>
      <c r="U254" s="41" t="inlineStr">
        <is>
          <t>кор</t>
        </is>
      </c>
      <c r="V254" s="386" t="n">
        <v>0</v>
      </c>
      <c r="W254" s="387">
        <f>IFERROR(IF(V254="","",V254),"")</f>
        <v/>
      </c>
      <c r="X254" s="42">
        <f>IFERROR(IF(V254="","",V254*0.00936),"")</f>
        <v/>
      </c>
      <c r="Y254" s="69" t="inlineStr"/>
      <c r="Z254" s="70" t="inlineStr"/>
      <c r="AD254" s="74" t="n"/>
      <c r="BA254" s="161" t="inlineStr">
        <is>
          <t>ПГП</t>
        </is>
      </c>
    </row>
    <row r="255" ht="27" customHeight="1">
      <c r="A255" s="64" t="inlineStr">
        <is>
          <t>SU003017</t>
        </is>
      </c>
      <c r="B255" s="64" t="inlineStr">
        <is>
          <t>P003483</t>
        </is>
      </c>
      <c r="C255" s="37" t="n">
        <v>4301135190</v>
      </c>
      <c r="D255" s="183" t="n">
        <v>4640242180359</v>
      </c>
      <c r="E255" s="351" t="n"/>
      <c r="F255" s="383" t="n">
        <v>3.7</v>
      </c>
      <c r="G255" s="38" t="n">
        <v>1</v>
      </c>
      <c r="H255" s="383" t="n">
        <v>3.7</v>
      </c>
      <c r="I255" s="383" t="n">
        <v>3.892</v>
      </c>
      <c r="J255" s="38" t="n">
        <v>126</v>
      </c>
      <c r="K255" s="38" t="inlineStr">
        <is>
          <t>14</t>
        </is>
      </c>
      <c r="L255" s="39" t="inlineStr">
        <is>
          <t>МГ</t>
        </is>
      </c>
      <c r="M255" s="38" t="n">
        <v>180</v>
      </c>
      <c r="N255" s="477" t="inlineStr">
        <is>
          <t>Снеки «Жар-ладушки с яблоком и грушей» Весовые ТМ «Зареченские» 3,7 кг</t>
        </is>
      </c>
      <c r="O255" s="385" t="n"/>
      <c r="P255" s="385" t="n"/>
      <c r="Q255" s="385" t="n"/>
      <c r="R255" s="351" t="n"/>
      <c r="S255" s="40" t="inlineStr"/>
      <c r="T255" s="40" t="inlineStr"/>
      <c r="U255" s="41" t="inlineStr">
        <is>
          <t>кор</t>
        </is>
      </c>
      <c r="V255" s="386" t="n">
        <v>0</v>
      </c>
      <c r="W255" s="387">
        <f>IFERROR(IF(V255="","",V255),"")</f>
        <v/>
      </c>
      <c r="X255" s="42">
        <f>IFERROR(IF(V255="","",V255*0.00936),"")</f>
        <v/>
      </c>
      <c r="Y255" s="69" t="inlineStr"/>
      <c r="Z255" s="70" t="inlineStr"/>
      <c r="AD255" s="74" t="n"/>
      <c r="BA255" s="162" t="inlineStr">
        <is>
          <t>ПГП</t>
        </is>
      </c>
    </row>
    <row r="256" ht="27" customHeight="1">
      <c r="A256" s="64" t="inlineStr">
        <is>
          <t>SU003022</t>
        </is>
      </c>
      <c r="B256" s="64" t="inlineStr">
        <is>
          <t>P003487</t>
        </is>
      </c>
      <c r="C256" s="37" t="n">
        <v>4301135194</v>
      </c>
      <c r="D256" s="183" t="n">
        <v>4640242180380</v>
      </c>
      <c r="E256" s="351" t="n"/>
      <c r="F256" s="383" t="n">
        <v>1.8</v>
      </c>
      <c r="G256" s="38" t="n">
        <v>1</v>
      </c>
      <c r="H256" s="383" t="n">
        <v>1.8</v>
      </c>
      <c r="I256" s="383" t="n">
        <v>1.912</v>
      </c>
      <c r="J256" s="38" t="n">
        <v>234</v>
      </c>
      <c r="K256" s="38" t="inlineStr">
        <is>
          <t>18</t>
        </is>
      </c>
      <c r="L256" s="39" t="inlineStr">
        <is>
          <t>МГ</t>
        </is>
      </c>
      <c r="M256" s="38" t="n">
        <v>180</v>
      </c>
      <c r="N256" s="478" t="inlineStr">
        <is>
          <t>Снеки «Мини-сосиски в тесте Фрайпики» Весовые ТМ «Зареченские» 1,8 кг</t>
        </is>
      </c>
      <c r="O256" s="385" t="n"/>
      <c r="P256" s="385" t="n"/>
      <c r="Q256" s="385" t="n"/>
      <c r="R256" s="351" t="n"/>
      <c r="S256" s="40" t="inlineStr"/>
      <c r="T256" s="40" t="inlineStr"/>
      <c r="U256" s="41" t="inlineStr">
        <is>
          <t>кор</t>
        </is>
      </c>
      <c r="V256" s="386" t="n">
        <v>0</v>
      </c>
      <c r="W256" s="387">
        <f>IFERROR(IF(V256="","",V256),"")</f>
        <v/>
      </c>
      <c r="X256" s="42">
        <f>IFERROR(IF(V256="","",V256*0.00502),"")</f>
        <v/>
      </c>
      <c r="Y256" s="69" t="inlineStr"/>
      <c r="Z256" s="70" t="inlineStr"/>
      <c r="AD256" s="74" t="n"/>
      <c r="BA256" s="163" t="inlineStr">
        <is>
          <t>ПГП</t>
        </is>
      </c>
    </row>
    <row r="257" ht="27" customHeight="1">
      <c r="A257" s="64" t="inlineStr">
        <is>
          <t>SU003019</t>
        </is>
      </c>
      <c r="B257" s="64" t="inlineStr">
        <is>
          <t>P003485</t>
        </is>
      </c>
      <c r="C257" s="37" t="n">
        <v>4301135192</v>
      </c>
      <c r="D257" s="183" t="n">
        <v>4640242180380</v>
      </c>
      <c r="E257" s="351" t="n"/>
      <c r="F257" s="383" t="n">
        <v>3.7</v>
      </c>
      <c r="G257" s="38" t="n">
        <v>1</v>
      </c>
      <c r="H257" s="383" t="n">
        <v>3.7</v>
      </c>
      <c r="I257" s="383" t="n">
        <v>3.892</v>
      </c>
      <c r="J257" s="38" t="n">
        <v>126</v>
      </c>
      <c r="K257" s="38" t="inlineStr">
        <is>
          <t>14</t>
        </is>
      </c>
      <c r="L257" s="39" t="inlineStr">
        <is>
          <t>МГ</t>
        </is>
      </c>
      <c r="M257" s="38" t="n">
        <v>180</v>
      </c>
      <c r="N257" s="479" t="inlineStr">
        <is>
          <t>Снеки «Мини-сосиски в тесте Фрайпики» Весовые ТМ «Зареченские» 3,7 кг</t>
        </is>
      </c>
      <c r="O257" s="385" t="n"/>
      <c r="P257" s="385" t="n"/>
      <c r="Q257" s="385" t="n"/>
      <c r="R257" s="351" t="n"/>
      <c r="S257" s="40" t="inlineStr"/>
      <c r="T257" s="40" t="inlineStr"/>
      <c r="U257" s="41" t="inlineStr">
        <is>
          <t>кор</t>
        </is>
      </c>
      <c r="V257" s="386" t="n">
        <v>92</v>
      </c>
      <c r="W257" s="387">
        <f>IFERROR(IF(V257="","",V257),"")</f>
        <v/>
      </c>
      <c r="X257" s="42">
        <f>IFERROR(IF(V257="","",V257*0.00936),"")</f>
        <v/>
      </c>
      <c r="Y257" s="69" t="inlineStr"/>
      <c r="Z257" s="70" t="inlineStr"/>
      <c r="AD257" s="74" t="n"/>
      <c r="BA257" s="164" t="inlineStr">
        <is>
          <t>ПГП</t>
        </is>
      </c>
    </row>
    <row r="258" ht="27" customHeight="1">
      <c r="A258" s="64" t="inlineStr">
        <is>
          <t>SU003013</t>
        </is>
      </c>
      <c r="B258" s="64" t="inlineStr">
        <is>
          <t>P003479</t>
        </is>
      </c>
      <c r="C258" s="37" t="n">
        <v>4301135186</v>
      </c>
      <c r="D258" s="183" t="n">
        <v>4640242180311</v>
      </c>
      <c r="E258" s="351" t="n"/>
      <c r="F258" s="383" t="n">
        <v>5.5</v>
      </c>
      <c r="G258" s="38" t="n">
        <v>1</v>
      </c>
      <c r="H258" s="383" t="n">
        <v>5.5</v>
      </c>
      <c r="I258" s="383" t="n">
        <v>5.735</v>
      </c>
      <c r="J258" s="38" t="n">
        <v>84</v>
      </c>
      <c r="K258" s="38" t="inlineStr">
        <is>
          <t>12</t>
        </is>
      </c>
      <c r="L258" s="39" t="inlineStr">
        <is>
          <t>МГ</t>
        </is>
      </c>
      <c r="M258" s="38" t="n">
        <v>180</v>
      </c>
      <c r="N258" s="480" t="inlineStr">
        <is>
          <t>Снеки «Жар-мени» Весовые ТМ «Зареченские» 5,5 кг</t>
        </is>
      </c>
      <c r="O258" s="385" t="n"/>
      <c r="P258" s="385" t="n"/>
      <c r="Q258" s="385" t="n"/>
      <c r="R258" s="351" t="n"/>
      <c r="S258" s="40" t="inlineStr"/>
      <c r="T258" s="40" t="inlineStr"/>
      <c r="U258" s="41" t="inlineStr">
        <is>
          <t>кор</t>
        </is>
      </c>
      <c r="V258" s="386" t="n">
        <v>250</v>
      </c>
      <c r="W258" s="387">
        <f>IFERROR(IF(V258="","",V258),"")</f>
        <v/>
      </c>
      <c r="X258" s="42">
        <f>IFERROR(IF(V258="","",V258*0.0155),"")</f>
        <v/>
      </c>
      <c r="Y258" s="69" t="inlineStr"/>
      <c r="Z258" s="70" t="inlineStr"/>
      <c r="AD258" s="74" t="n"/>
      <c r="BA258" s="165" t="inlineStr">
        <is>
          <t>ПГП</t>
        </is>
      </c>
    </row>
    <row r="259" ht="37.5" customHeight="1">
      <c r="A259" s="64" t="inlineStr">
        <is>
          <t>SU003014</t>
        </is>
      </c>
      <c r="B259" s="64" t="inlineStr">
        <is>
          <t>P003480</t>
        </is>
      </c>
      <c r="C259" s="37" t="n">
        <v>4301135187</v>
      </c>
      <c r="D259" s="183" t="n">
        <v>4640242180328</v>
      </c>
      <c r="E259" s="351" t="n"/>
      <c r="F259" s="383" t="n">
        <v>3.5</v>
      </c>
      <c r="G259" s="38" t="n">
        <v>1</v>
      </c>
      <c r="H259" s="383" t="n">
        <v>3.5</v>
      </c>
      <c r="I259" s="383" t="n">
        <v>3.692</v>
      </c>
      <c r="J259" s="38" t="n">
        <v>126</v>
      </c>
      <c r="K259" s="38" t="inlineStr">
        <is>
          <t>14</t>
        </is>
      </c>
      <c r="L259" s="39" t="inlineStr">
        <is>
          <t>МГ</t>
        </is>
      </c>
      <c r="M259" s="38" t="n">
        <v>180</v>
      </c>
      <c r="N259" s="481" t="inlineStr">
        <is>
          <t>Снеки «Жар-мени с картофелем и сочной грудинкой» Весовые ТМ «Зареченские» 3,5 кг</t>
        </is>
      </c>
      <c r="O259" s="385" t="n"/>
      <c r="P259" s="385" t="n"/>
      <c r="Q259" s="385" t="n"/>
      <c r="R259" s="351" t="n"/>
      <c r="S259" s="40" t="inlineStr"/>
      <c r="T259" s="40" t="inlineStr"/>
      <c r="U259" s="41" t="inlineStr">
        <is>
          <t>кор</t>
        </is>
      </c>
      <c r="V259" s="386" t="n">
        <v>130</v>
      </c>
      <c r="W259" s="387">
        <f>IFERROR(IF(V259="","",V259),"")</f>
        <v/>
      </c>
      <c r="X259" s="42">
        <f>IFERROR(IF(V259="","",V259*0.00936),"")</f>
        <v/>
      </c>
      <c r="Y259" s="69" t="inlineStr"/>
      <c r="Z259" s="70" t="inlineStr"/>
      <c r="AD259" s="74" t="n"/>
      <c r="BA259" s="166" t="inlineStr">
        <is>
          <t>ПГП</t>
        </is>
      </c>
    </row>
    <row r="260" ht="27" customHeight="1">
      <c r="A260" s="64" t="inlineStr">
        <is>
          <t>SU003021</t>
        </is>
      </c>
      <c r="B260" s="64" t="inlineStr">
        <is>
          <t>P003489</t>
        </is>
      </c>
      <c r="C260" s="37" t="n">
        <v>4301135193</v>
      </c>
      <c r="D260" s="183" t="n">
        <v>4640242180403</v>
      </c>
      <c r="E260" s="351" t="n"/>
      <c r="F260" s="383" t="n">
        <v>3</v>
      </c>
      <c r="G260" s="38" t="n">
        <v>1</v>
      </c>
      <c r="H260" s="383" t="n">
        <v>3</v>
      </c>
      <c r="I260" s="383" t="n">
        <v>3.192</v>
      </c>
      <c r="J260" s="38" t="n">
        <v>126</v>
      </c>
      <c r="K260" s="38" t="inlineStr">
        <is>
          <t>14</t>
        </is>
      </c>
      <c r="L260" s="39" t="inlineStr">
        <is>
          <t>МГ</t>
        </is>
      </c>
      <c r="M260" s="38" t="n">
        <v>180</v>
      </c>
      <c r="N260" s="482" t="inlineStr">
        <is>
          <t>Снеки «Фрай-пицца с ветчиной и грибами» Весовые ТМ «Зареченские» 3 кг</t>
        </is>
      </c>
      <c r="O260" s="385" t="n"/>
      <c r="P260" s="385" t="n"/>
      <c r="Q260" s="385" t="n"/>
      <c r="R260" s="351" t="n"/>
      <c r="S260" s="40" t="inlineStr"/>
      <c r="T260" s="40" t="inlineStr"/>
      <c r="U260" s="41" t="inlineStr">
        <is>
          <t>кор</t>
        </is>
      </c>
      <c r="V260" s="386" t="n">
        <v>0</v>
      </c>
      <c r="W260" s="387">
        <f>IFERROR(IF(V260="","",V260),"")</f>
        <v/>
      </c>
      <c r="X260" s="42">
        <f>IFERROR(IF(V260="","",V260*0.00936),"")</f>
        <v/>
      </c>
      <c r="Y260" s="69" t="inlineStr"/>
      <c r="Z260" s="70" t="inlineStr"/>
      <c r="AD260" s="74" t="n"/>
      <c r="BA260" s="167" t="inlineStr">
        <is>
          <t>ПГП</t>
        </is>
      </c>
    </row>
    <row r="261" ht="27" customHeight="1">
      <c r="A261" s="64" t="inlineStr">
        <is>
          <t>SU002766</t>
        </is>
      </c>
      <c r="B261" s="64" t="inlineStr">
        <is>
          <t>P003151</t>
        </is>
      </c>
      <c r="C261" s="37" t="n">
        <v>4301135153</v>
      </c>
      <c r="D261" s="183" t="n">
        <v>4607111037480</v>
      </c>
      <c r="E261" s="351" t="n"/>
      <c r="F261" s="383" t="n">
        <v>1</v>
      </c>
      <c r="G261" s="38" t="n">
        <v>4</v>
      </c>
      <c r="H261" s="383" t="n">
        <v>4</v>
      </c>
      <c r="I261" s="383" t="n">
        <v>4.2724</v>
      </c>
      <c r="J261" s="38" t="n">
        <v>84</v>
      </c>
      <c r="K261" s="38" t="inlineStr">
        <is>
          <t>12</t>
        </is>
      </c>
      <c r="L261" s="39" t="inlineStr">
        <is>
          <t>МГ</t>
        </is>
      </c>
      <c r="M261" s="38" t="n">
        <v>180</v>
      </c>
      <c r="N261" s="483">
        <f>HYPERLINK("https://abi.ru/products/Замороженные/Зареченские/Зареченские продукты ПГП/Снеки/P003151/","Смак-мени с картофелем и сочной грудинкой Зареченские продукты Фикс.вес 1 Зареченские")</f>
        <v/>
      </c>
      <c r="O261" s="385" t="n"/>
      <c r="P261" s="385" t="n"/>
      <c r="Q261" s="385" t="n"/>
      <c r="R261" s="351" t="n"/>
      <c r="S261" s="40" t="inlineStr"/>
      <c r="T261" s="40" t="inlineStr"/>
      <c r="U261" s="41" t="inlineStr">
        <is>
          <t>кор</t>
        </is>
      </c>
      <c r="V261" s="386" t="n">
        <v>0</v>
      </c>
      <c r="W261" s="387">
        <f>IFERROR(IF(V261="","",V261),"")</f>
        <v/>
      </c>
      <c r="X261" s="42">
        <f>IFERROR(IF(V261="","",V261*0.0155),"")</f>
        <v/>
      </c>
      <c r="Y261" s="69" t="inlineStr"/>
      <c r="Z261" s="70" t="inlineStr"/>
      <c r="AD261" s="74" t="n"/>
      <c r="BA261" s="168" t="inlineStr">
        <is>
          <t>ПГП</t>
        </is>
      </c>
    </row>
    <row r="262" ht="27" customHeight="1">
      <c r="A262" s="64" t="inlineStr">
        <is>
          <t>SU002767</t>
        </is>
      </c>
      <c r="B262" s="64" t="inlineStr">
        <is>
          <t>P003150</t>
        </is>
      </c>
      <c r="C262" s="37" t="n">
        <v>4301135152</v>
      </c>
      <c r="D262" s="183" t="n">
        <v>4607111037473</v>
      </c>
      <c r="E262" s="351" t="n"/>
      <c r="F262" s="383" t="n">
        <v>1</v>
      </c>
      <c r="G262" s="38" t="n">
        <v>4</v>
      </c>
      <c r="H262" s="383" t="n">
        <v>4</v>
      </c>
      <c r="I262" s="383" t="n">
        <v>4.23</v>
      </c>
      <c r="J262" s="38" t="n">
        <v>84</v>
      </c>
      <c r="K262" s="38" t="inlineStr">
        <is>
          <t>12</t>
        </is>
      </c>
      <c r="L262" s="39" t="inlineStr">
        <is>
          <t>МГ</t>
        </is>
      </c>
      <c r="M262" s="38" t="n">
        <v>180</v>
      </c>
      <c r="N262" s="484">
        <f>HYPERLINK("https://abi.ru/products/Замороженные/Зареченские/Зареченские продукты ПГП/Снеки/P003150/","Снеки Смак-мени с мясом ТМ Зареченские ТС Зареченские продукты ф/п ф/в 1,0")</f>
        <v/>
      </c>
      <c r="O262" s="385" t="n"/>
      <c r="P262" s="385" t="n"/>
      <c r="Q262" s="385" t="n"/>
      <c r="R262" s="351" t="n"/>
      <c r="S262" s="40" t="inlineStr"/>
      <c r="T262" s="40" t="inlineStr"/>
      <c r="U262" s="41" t="inlineStr">
        <is>
          <t>кор</t>
        </is>
      </c>
      <c r="V262" s="386" t="n">
        <v>0</v>
      </c>
      <c r="W262" s="387">
        <f>IFERROR(IF(V262="","",V262),"")</f>
        <v/>
      </c>
      <c r="X262" s="42">
        <f>IFERROR(IF(V262="","",V262*0.0155),"")</f>
        <v/>
      </c>
      <c r="Y262" s="69" t="inlineStr"/>
      <c r="Z262" s="70" t="inlineStr"/>
      <c r="AD262" s="74" t="n"/>
      <c r="BA262" s="169" t="inlineStr">
        <is>
          <t>ПГП</t>
        </is>
      </c>
    </row>
    <row r="263" ht="27" customHeight="1">
      <c r="A263" s="64" t="inlineStr">
        <is>
          <t>SU003085</t>
        </is>
      </c>
      <c r="B263" s="64" t="inlineStr">
        <is>
          <t>P003651</t>
        </is>
      </c>
      <c r="C263" s="37" t="n">
        <v>4301135198</v>
      </c>
      <c r="D263" s="183" t="n">
        <v>4640242180663</v>
      </c>
      <c r="E263" s="351" t="n"/>
      <c r="F263" s="383" t="n">
        <v>0.9</v>
      </c>
      <c r="G263" s="38" t="n">
        <v>4</v>
      </c>
      <c r="H263" s="383" t="n">
        <v>3.6</v>
      </c>
      <c r="I263" s="383" t="n">
        <v>3.83</v>
      </c>
      <c r="J263" s="38" t="n">
        <v>84</v>
      </c>
      <c r="K263" s="38" t="inlineStr">
        <is>
          <t>12</t>
        </is>
      </c>
      <c r="L263" s="39" t="inlineStr">
        <is>
          <t>МГ</t>
        </is>
      </c>
      <c r="M263" s="38" t="n">
        <v>180</v>
      </c>
      <c r="N263" s="485" t="inlineStr">
        <is>
          <t>Снеки «Смаколадьи с яблоком и грушей» ф/в 0,9 ТМ «Зареченские»</t>
        </is>
      </c>
      <c r="O263" s="385" t="n"/>
      <c r="P263" s="385" t="n"/>
      <c r="Q263" s="385" t="n"/>
      <c r="R263" s="351" t="n"/>
      <c r="S263" s="40" t="inlineStr"/>
      <c r="T263" s="40" t="inlineStr"/>
      <c r="U263" s="41" t="inlineStr">
        <is>
          <t>кор</t>
        </is>
      </c>
      <c r="V263" s="386" t="n">
        <v>0</v>
      </c>
      <c r="W263" s="387">
        <f>IFERROR(IF(V263="","",V263),"")</f>
        <v/>
      </c>
      <c r="X263" s="42">
        <f>IFERROR(IF(V263="","",V263*0.0155),"")</f>
        <v/>
      </c>
      <c r="Y263" s="69" t="inlineStr"/>
      <c r="Z263" s="70" t="inlineStr"/>
      <c r="AD263" s="74" t="n"/>
      <c r="BA263" s="170" t="inlineStr">
        <is>
          <t>ПГП</t>
        </is>
      </c>
    </row>
    <row r="264">
      <c r="A264" s="178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388" t="n"/>
      <c r="N264" s="389" t="inlineStr">
        <is>
          <t>Итого</t>
        </is>
      </c>
      <c r="O264" s="359" t="n"/>
      <c r="P264" s="359" t="n"/>
      <c r="Q264" s="359" t="n"/>
      <c r="R264" s="359" t="n"/>
      <c r="S264" s="359" t="n"/>
      <c r="T264" s="360" t="n"/>
      <c r="U264" s="43" t="inlineStr">
        <is>
          <t>кор</t>
        </is>
      </c>
      <c r="V264" s="390">
        <f>IFERROR(SUM(V251:V263),"0")</f>
        <v/>
      </c>
      <c r="W264" s="390">
        <f>IFERROR(SUM(W251:W263),"0")</f>
        <v/>
      </c>
      <c r="X264" s="390">
        <f>IFERROR(IF(X251="",0,X251),"0")+IFERROR(IF(X252="",0,X252),"0")+IFERROR(IF(X253="",0,X253),"0")+IFERROR(IF(X254="",0,X254),"0")+IFERROR(IF(X255="",0,X255),"0")+IFERROR(IF(X256="",0,X256),"0")+IFERROR(IF(X257="",0,X257),"0")+IFERROR(IF(X258="",0,X258),"0")+IFERROR(IF(X259="",0,X259),"0")+IFERROR(IF(X260="",0,X260),"0")+IFERROR(IF(X261="",0,X261),"0")+IFERROR(IF(X262="",0,X262),"0")+IFERROR(IF(X263="",0,X263),"0")</f>
        <v/>
      </c>
      <c r="Y264" s="391" t="n"/>
      <c r="Z264" s="39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388" t="n"/>
      <c r="N265" s="389" t="inlineStr">
        <is>
          <t>Итого</t>
        </is>
      </c>
      <c r="O265" s="359" t="n"/>
      <c r="P265" s="359" t="n"/>
      <c r="Q265" s="359" t="n"/>
      <c r="R265" s="359" t="n"/>
      <c r="S265" s="359" t="n"/>
      <c r="T265" s="360" t="n"/>
      <c r="U265" s="43" t="inlineStr">
        <is>
          <t>кг</t>
        </is>
      </c>
      <c r="V265" s="390">
        <f>IFERROR(SUMPRODUCT(V251:V263*H251:H263),"0")</f>
        <v/>
      </c>
      <c r="W265" s="390">
        <f>IFERROR(SUMPRODUCT(W251:W263*H251:H263),"0")</f>
        <v/>
      </c>
      <c r="X265" s="43" t="n"/>
      <c r="Y265" s="391" t="n"/>
      <c r="Z265" s="391" t="n"/>
    </row>
    <row r="266" ht="15" customHeight="1">
      <c r="A266" s="182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348" t="n"/>
      <c r="N266" s="486" t="inlineStr">
        <is>
          <t>ИТОГО НЕТТО</t>
        </is>
      </c>
      <c r="O266" s="342" t="n"/>
      <c r="P266" s="342" t="n"/>
      <c r="Q266" s="342" t="n"/>
      <c r="R266" s="342" t="n"/>
      <c r="S266" s="342" t="n"/>
      <c r="T266" s="343" t="n"/>
      <c r="U266" s="43" t="inlineStr">
        <is>
          <t>кг</t>
        </is>
      </c>
      <c r="V266" s="390">
        <f>IFERROR(V24+V33+V41+V47+V57+V63+V68+V74+V84+V91+V99+V105+V110+V118+V123+V129+V134+V140+V145+V153+V158+V165+V170+V175+V182+V189+V196+V204+V209+V215+V221+V227+V232+V238+V242+V249+V265,"0")</f>
        <v/>
      </c>
      <c r="W266" s="390">
        <f>IFERROR(W24+W33+W41+W47+W57+W63+W68+W74+W84+W91+W99+W105+W110+W118+W123+W129+W134+W140+W145+W153+W158+W165+W170+W175+W182+W189+W196+W204+W209+W215+W221+W227+W232+W238+W242+W249+W265,"0")</f>
        <v/>
      </c>
      <c r="X266" s="43" t="n"/>
      <c r="Y266" s="391" t="n"/>
      <c r="Z266" s="39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348" t="n"/>
      <c r="N267" s="486" t="inlineStr">
        <is>
          <t>ИТОГО БРУТТО</t>
        </is>
      </c>
      <c r="O267" s="342" t="n"/>
      <c r="P267" s="342" t="n"/>
      <c r="Q267" s="342" t="n"/>
      <c r="R267" s="342" t="n"/>
      <c r="S267" s="342" t="n"/>
      <c r="T267" s="343" t="n"/>
      <c r="U267" s="43" t="inlineStr">
        <is>
          <t>кг</t>
        </is>
      </c>
      <c r="V267" s="390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66*I66,"0")+IFERROR(V71*I71,"0")+IFERROR(V72*I72,"0")+IFERROR(V77*I77,"0")+IFERROR(V78*I78,"0")+IFERROR(V79*I79,"0")+IFERROR(V80*I80,"0")+IFERROR(V81*I81,"0")+IFERROR(V82*I82,"0")+IFERROR(V87*I87,"0")+IFERROR(V88*I88,"0")+IFERROR(V89*I89,"0")+IFERROR(V94*I94,"0")+IFERROR(V95*I95,"0")+IFERROR(V96*I96,"0")+IFERROR(V97*I97,"0")+IFERROR(V102*I102,"0")+IFERROR(V103*I103,"0")+IFERROR(V108*I108,"0")+IFERROR(V113*I113,"0")+IFERROR(V114*I114,"0")+IFERROR(V115*I115,"0")+IFERROR(V116*I116,"0")+IFERROR(V121*I121,"0")+IFERROR(V126*I126,"0")+IFERROR(V127*I127,"0")+IFERROR(V132*I132,"0")+IFERROR(V138*I138,"0")+IFERROR(V143*I143,"0")+IFERROR(V148*I148,"0")+IFERROR(V149*I149,"0")+IFERROR(V150*I150,"0")+IFERROR(V151*I151,"0")+IFERROR(V155*I155,"0")+IFERROR(V156*I156,"0")+IFERROR(V162*I162,"0")+IFERROR(V163*I163,"0")+IFERROR(V168*I168,"0")+IFERROR(V173*I173,"0")+IFERROR(V178*I178,"0")+IFERROR(V179*I179,"0")+IFERROR(V180*I180,"0")+IFERROR(V186*I186,"0")+IFERROR(V187*I187,"0")+IFERROR(V192*I192,"0")+IFERROR(V193*I193,"0")+IFERROR(V194*I194,"0")+IFERROR(V199*I199,"0")+IFERROR(V200*I200,"0")+IFERROR(V201*I201,"0")+IFERROR(V202*I202,"0")+IFERROR(V207*I207,"0")+IFERROR(V212*I212,"0")+IFERROR(V213*I213,"0")+IFERROR(V219*I219,"0")+IFERROR(V225*I225,"0")+IFERROR(V230*I230,"0")+IFERROR(V236*I236,"0")+IFERROR(V240*I240,"0")+IFERROR(V244*I244,"0")+IFERROR(V245*I245,"0")+IFERROR(V246*I246,"0")+IFERROR(V247*I247,"0")+IFERROR(V251*I251,"0")+IFERROR(V252*I252,"0")+IFERROR(V253*I253,"0")+IFERROR(V254*I254,"0")+IFERROR(V255*I255,"0")+IFERROR(V256*I256,"0")+IFERROR(V257*I257,"0")+IFERROR(V258*I258,"0")+IFERROR(V259*I259,"0")+IFERROR(V260*I260,"0")+IFERROR(V261*I261,"0")+IFERROR(V262*I262,"0")+IFERROR(V263*I263,"0"),"0")</f>
        <v/>
      </c>
      <c r="W267" s="390">
        <f>IFERROR(IFERROR(W22*I22,"0")+IFERROR(W28*I28,"0")+IFERROR(W29*I29,"0")+IFERROR(W30*I30,"0")+IFERROR(W31*I31,"0")+IFERROR(W36*I36,"0")+IFERROR(W37*I37,"0")+IFERROR(W38*I38,"0")+IFERROR(W39*I39,"0")+IFERROR(W44*I44,"0")+IFERROR(W45*I45,"0")+IFERROR(W50*I50,"0")+IFERROR(W51*I51,"0")+IFERROR(W52*I52,"0")+IFERROR(W53*I53,"0")+IFERROR(W54*I54,"0")+IFERROR(W55*I55,"0")+IFERROR(W60*I60,"0")+IFERROR(W61*I61,"0")+IFERROR(W66*I66,"0")+IFERROR(W71*I71,"0")+IFERROR(W72*I72,"0")+IFERROR(W77*I77,"0")+IFERROR(W78*I78,"0")+IFERROR(W79*I79,"0")+IFERROR(W80*I80,"0")+IFERROR(W81*I81,"0")+IFERROR(W82*I82,"0")+IFERROR(W87*I87,"0")+IFERROR(W88*I88,"0")+IFERROR(W89*I89,"0")+IFERROR(W94*I94,"0")+IFERROR(W95*I95,"0")+IFERROR(W96*I96,"0")+IFERROR(W97*I97,"0")+IFERROR(W102*I102,"0")+IFERROR(W103*I103,"0")+IFERROR(W108*I108,"0")+IFERROR(W113*I113,"0")+IFERROR(W114*I114,"0")+IFERROR(W115*I115,"0")+IFERROR(W116*I116,"0")+IFERROR(W121*I121,"0")+IFERROR(W126*I126,"0")+IFERROR(W127*I127,"0")+IFERROR(W132*I132,"0")+IFERROR(W138*I138,"0")+IFERROR(W143*I143,"0")+IFERROR(W148*I148,"0")+IFERROR(W149*I149,"0")+IFERROR(W150*I150,"0")+IFERROR(W151*I151,"0")+IFERROR(W155*I155,"0")+IFERROR(W156*I156,"0")+IFERROR(W162*I162,"0")+IFERROR(W163*I163,"0")+IFERROR(W168*I168,"0")+IFERROR(W173*I173,"0")+IFERROR(W178*I178,"0")+IFERROR(W179*I179,"0")+IFERROR(W180*I180,"0")+IFERROR(W186*I186,"0")+IFERROR(W187*I187,"0")+IFERROR(W192*I192,"0")+IFERROR(W193*I193,"0")+IFERROR(W194*I194,"0")+IFERROR(W199*I199,"0")+IFERROR(W200*I200,"0")+IFERROR(W201*I201,"0")+IFERROR(W202*I202,"0")+IFERROR(W207*I207,"0")+IFERROR(W212*I212,"0")+IFERROR(W213*I213,"0")+IFERROR(W219*I219,"0")+IFERROR(W225*I225,"0")+IFERROR(W230*I230,"0")+IFERROR(W236*I236,"0")+IFERROR(W240*I240,"0")+IFERROR(W244*I244,"0")+IFERROR(W245*I245,"0")+IFERROR(W246*I246,"0")+IFERROR(W247*I247,"0")+IFERROR(W251*I251,"0")+IFERROR(W252*I252,"0")+IFERROR(W253*I253,"0")+IFERROR(W254*I254,"0")+IFERROR(W255*I255,"0")+IFERROR(W256*I256,"0")+IFERROR(W257*I257,"0")+IFERROR(W258*I258,"0")+IFERROR(W259*I259,"0")+IFERROR(W260*I260,"0")+IFERROR(W261*I261,"0")+IFERROR(W262*I262,"0")+IFERROR(W263*I263,"0"),"0")</f>
        <v/>
      </c>
      <c r="X267" s="43" t="n"/>
      <c r="Y267" s="391" t="n"/>
      <c r="Z267" s="39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348" t="n"/>
      <c r="N268" s="486" t="inlineStr">
        <is>
          <t>Кол-во паллет</t>
        </is>
      </c>
      <c r="O268" s="342" t="n"/>
      <c r="P268" s="342" t="n"/>
      <c r="Q268" s="342" t="n"/>
      <c r="R268" s="342" t="n"/>
      <c r="S268" s="342" t="n"/>
      <c r="T268" s="343" t="n"/>
      <c r="U268" s="43" t="inlineStr">
        <is>
          <t>шт</t>
        </is>
      </c>
      <c r="V268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66/J66,"0")+IFERROR(V71/J71,"0")+IFERROR(V72/J72,"0")+IFERROR(V77/J77,"0")+IFERROR(V78/J78,"0")+IFERROR(V79/J79,"0")+IFERROR(V80/J80,"0")+IFERROR(V81/J81,"0")+IFERROR(V82/J82,"0")+IFERROR(V87/J87,"0")+IFERROR(V88/J88,"0")+IFERROR(V89/J89,"0")+IFERROR(V94/J94,"0")+IFERROR(V95/J95,"0")+IFERROR(V96/J96,"0")+IFERROR(V97/J97,"0")+IFERROR(V102/J102,"0")+IFERROR(V103/J103,"0")+IFERROR(V108/J108,"0")+IFERROR(V113/J113,"0")+IFERROR(V114/J114,"0")+IFERROR(V115/J115,"0")+IFERROR(V116/J116,"0")+IFERROR(V121/J121,"0")+IFERROR(V126/J126,"0")+IFERROR(V127/J127,"0")+IFERROR(V132/J132,"0")+IFERROR(V138/J138,"0")+IFERROR(V143/J143,"0")+IFERROR(V148/J148,"0")+IFERROR(V149/J149,"0")+IFERROR(V150/J150,"0")+IFERROR(V151/J151,"0")+IFERROR(V155/J155,"0")+IFERROR(V156/J156,"0")+IFERROR(V162/J162,"0")+IFERROR(V163/J163,"0")+IFERROR(V168/J168,"0")+IFERROR(V173/J173,"0")+IFERROR(V178/J178,"0")+IFERROR(V179/J179,"0")+IFERROR(V180/J180,"0")+IFERROR(V186/J186,"0")+IFERROR(V187/J187,"0")+IFERROR(V192/J192,"0")+IFERROR(V193/J193,"0")+IFERROR(V194/J194,"0")+IFERROR(V199/J199,"0")+IFERROR(V200/J200,"0")+IFERROR(V201/J201,"0")+IFERROR(V202/J202,"0")+IFERROR(V207/J207,"0")+IFERROR(V212/J212,"0")+IFERROR(V213/J213,"0")+IFERROR(V219/J219,"0")+IFERROR(V225/J225,"0")+IFERROR(V230/J230,"0")+IFERROR(V236/J236,"0")+IFERROR(V240/J240,"0")+IFERROR(V244/J244,"0")+IFERROR(V245/J245,"0")+IFERROR(V246/J246,"0")+IFERROR(V247/J247,"0")+IFERROR(V251/J251,"0")+IFERROR(V252/J252,"0")+IFERROR(V253/J253,"0")+IFERROR(V254/J254,"0")+IFERROR(V255/J255,"0")+IFERROR(V256/J256,"0")+IFERROR(V257/J257,"0")+IFERROR(V258/J258,"0")+IFERROR(V259/J259,"0")+IFERROR(V260/J260,"0")+IFERROR(V261/J261,"0")+IFERROR(V262/J262,"0")+IFERROR(V263/J263,"0"),0)</f>
        <v/>
      </c>
      <c r="W268" s="45">
        <f>ROUNDUP(IFERROR(W22/J22,"0")+IFERROR(W28/J28,"0")+IFERROR(W29/J29,"0")+IFERROR(W30/J30,"0")+IFERROR(W31/J31,"0")+IFERROR(W36/J36,"0")+IFERROR(W37/J37,"0")+IFERROR(W38/J38,"0")+IFERROR(W39/J39,"0")+IFERROR(W44/J44,"0")+IFERROR(W45/J45,"0")+IFERROR(W50/J50,"0")+IFERROR(W51/J51,"0")+IFERROR(W52/J52,"0")+IFERROR(W53/J53,"0")+IFERROR(W54/J54,"0")+IFERROR(W55/J55,"0")+IFERROR(W60/J60,"0")+IFERROR(W61/J61,"0")+IFERROR(W66/J66,"0")+IFERROR(W71/J71,"0")+IFERROR(W72/J72,"0")+IFERROR(W77/J77,"0")+IFERROR(W78/J78,"0")+IFERROR(W79/J79,"0")+IFERROR(W80/J80,"0")+IFERROR(W81/J81,"0")+IFERROR(W82/J82,"0")+IFERROR(W87/J87,"0")+IFERROR(W88/J88,"0")+IFERROR(W89/J89,"0")+IFERROR(W94/J94,"0")+IFERROR(W95/J95,"0")+IFERROR(W96/J96,"0")+IFERROR(W97/J97,"0")+IFERROR(W102/J102,"0")+IFERROR(W103/J103,"0")+IFERROR(W108/J108,"0")+IFERROR(W113/J113,"0")+IFERROR(W114/J114,"0")+IFERROR(W115/J115,"0")+IFERROR(W116/J116,"0")+IFERROR(W121/J121,"0")+IFERROR(W126/J126,"0")+IFERROR(W127/J127,"0")+IFERROR(W132/J132,"0")+IFERROR(W138/J138,"0")+IFERROR(W143/J143,"0")+IFERROR(W148/J148,"0")+IFERROR(W149/J149,"0")+IFERROR(W150/J150,"0")+IFERROR(W151/J151,"0")+IFERROR(W155/J155,"0")+IFERROR(W156/J156,"0")+IFERROR(W162/J162,"0")+IFERROR(W163/J163,"0")+IFERROR(W168/J168,"0")+IFERROR(W173/J173,"0")+IFERROR(W178/J178,"0")+IFERROR(W179/J179,"0")+IFERROR(W180/J180,"0")+IFERROR(W186/J186,"0")+IFERROR(W187/J187,"0")+IFERROR(W192/J192,"0")+IFERROR(W193/J193,"0")+IFERROR(W194/J194,"0")+IFERROR(W199/J199,"0")+IFERROR(W200/J200,"0")+IFERROR(W201/J201,"0")+IFERROR(W202/J202,"0")+IFERROR(W207/J207,"0")+IFERROR(W212/J212,"0")+IFERROR(W213/J213,"0")+IFERROR(W219/J219,"0")+IFERROR(W225/J225,"0")+IFERROR(W230/J230,"0")+IFERROR(W236/J236,"0")+IFERROR(W240/J240,"0")+IFERROR(W244/J244,"0")+IFERROR(W245/J245,"0")+IFERROR(W246/J246,"0")+IFERROR(W247/J247,"0")+IFERROR(W251/J251,"0")+IFERROR(W252/J252,"0")+IFERROR(W253/J253,"0")+IFERROR(W254/J254,"0")+IFERROR(W255/J255,"0")+IFERROR(W256/J256,"0")+IFERROR(W257/J257,"0")+IFERROR(W258/J258,"0")+IFERROR(W259/J259,"0")+IFERROR(W260/J260,"0")+IFERROR(W261/J261,"0")+IFERROR(W262/J262,"0")+IFERROR(W263/J263,"0"),0)</f>
        <v/>
      </c>
      <c r="X268" s="43" t="n"/>
      <c r="Y268" s="391" t="n"/>
      <c r="Z268" s="39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348" t="n"/>
      <c r="N269" s="486" t="inlineStr">
        <is>
          <t>Вес брутто  с паллетами</t>
        </is>
      </c>
      <c r="O269" s="342" t="n"/>
      <c r="P269" s="342" t="n"/>
      <c r="Q269" s="342" t="n"/>
      <c r="R269" s="342" t="n"/>
      <c r="S269" s="342" t="n"/>
      <c r="T269" s="343" t="n"/>
      <c r="U269" s="43" t="inlineStr">
        <is>
          <t>кг</t>
        </is>
      </c>
      <c r="V269" s="390">
        <f>GrossWeightTotal+PalletQtyTotal*25</f>
        <v/>
      </c>
      <c r="W269" s="390">
        <f>GrossWeightTotalR+PalletQtyTotalR*25</f>
        <v/>
      </c>
      <c r="X269" s="43" t="n"/>
      <c r="Y269" s="391" t="n"/>
      <c r="Z269" s="39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348" t="n"/>
      <c r="N270" s="486" t="inlineStr">
        <is>
          <t>Кол-во коробок</t>
        </is>
      </c>
      <c r="O270" s="342" t="n"/>
      <c r="P270" s="342" t="n"/>
      <c r="Q270" s="342" t="n"/>
      <c r="R270" s="342" t="n"/>
      <c r="S270" s="342" t="n"/>
      <c r="T270" s="343" t="n"/>
      <c r="U270" s="43" t="inlineStr">
        <is>
          <t>шт</t>
        </is>
      </c>
      <c r="V270" s="390">
        <f>IFERROR(V23+V32+V40+V46+V56+V62+V67+V73+V83+V90+V98+V104+V109+V117+V122+V128+V133+V139+V144+V152+V157+V164+V169+V174+V181+V188+V195+V203+V208+V214+V220+V226+V231+V237+V241+V248+V264,"0")</f>
        <v/>
      </c>
      <c r="W270" s="390">
        <f>IFERROR(W23+W32+W40+W46+W56+W62+W67+W73+W83+W90+W98+W104+W109+W117+W122+W128+W133+W139+W144+W152+W157+W164+W169+W174+W181+W188+W195+W203+W208+W214+W220+W226+W231+W237+W241+W248+W264,"0")</f>
        <v/>
      </c>
      <c r="X270" s="43" t="n"/>
      <c r="Y270" s="391" t="n"/>
      <c r="Z270" s="391" t="n"/>
    </row>
    <row r="271" ht="14.2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348" t="n"/>
      <c r="N271" s="486" t="inlineStr">
        <is>
          <t>Объем заказа</t>
        </is>
      </c>
      <c r="O271" s="342" t="n"/>
      <c r="P271" s="342" t="n"/>
      <c r="Q271" s="342" t="n"/>
      <c r="R271" s="342" t="n"/>
      <c r="S271" s="342" t="n"/>
      <c r="T271" s="343" t="n"/>
      <c r="U271" s="46" t="inlineStr">
        <is>
          <t>м3</t>
        </is>
      </c>
      <c r="V271" s="43" t="n"/>
      <c r="W271" s="43" t="n"/>
      <c r="X271" s="43">
        <f>IFERROR(X23+X32+X40+X46+X56+X62+X67+X73+X83+X90+X98+X104+X109+X117+X122+X128+X133+X139+X144+X152+X157+X164+X169+X174+X181+X188+X195+X203+X208+X214+X220+X226+X231+X237+X241+X248+X264,"0")</f>
        <v/>
      </c>
      <c r="Y271" s="391" t="n"/>
      <c r="Z271" s="391" t="n"/>
    </row>
    <row r="272" ht="13.5" customHeight="1" thickBot="1"/>
    <row r="273" ht="27" customHeight="1" thickBot="1" thickTop="1">
      <c r="A273" s="47" t="inlineStr">
        <is>
          <t>ТОРГОВАЯ МАРКА</t>
        </is>
      </c>
      <c r="B273" s="171" t="inlineStr">
        <is>
          <t>Ядрена копоть</t>
        </is>
      </c>
      <c r="C273" s="171" t="inlineStr">
        <is>
          <t>Горячая штучка</t>
        </is>
      </c>
      <c r="D273" s="487" t="n"/>
      <c r="E273" s="487" t="n"/>
      <c r="F273" s="487" t="n"/>
      <c r="G273" s="487" t="n"/>
      <c r="H273" s="487" t="n"/>
      <c r="I273" s="487" t="n"/>
      <c r="J273" s="487" t="n"/>
      <c r="K273" s="487" t="n"/>
      <c r="L273" s="487" t="n"/>
      <c r="M273" s="487" t="n"/>
      <c r="N273" s="487" t="n"/>
      <c r="O273" s="487" t="n"/>
      <c r="P273" s="487" t="n"/>
      <c r="Q273" s="487" t="n"/>
      <c r="R273" s="488" t="n"/>
      <c r="S273" s="171" t="inlineStr">
        <is>
          <t>No Name</t>
        </is>
      </c>
      <c r="T273" s="487" t="n"/>
      <c r="U273" s="488" t="n"/>
      <c r="V273" s="171" t="inlineStr">
        <is>
          <t>Вязанка</t>
        </is>
      </c>
      <c r="W273" s="487" t="n"/>
      <c r="X273" s="487" t="n"/>
      <c r="Y273" s="488" t="n"/>
      <c r="Z273" s="171" t="inlineStr">
        <is>
          <t>Стародворье</t>
        </is>
      </c>
      <c r="AA273" s="487" t="n"/>
      <c r="AB273" s="487" t="n"/>
      <c r="AC273" s="487" t="n"/>
      <c r="AD273" s="488" t="n"/>
      <c r="AE273" s="171" t="inlineStr">
        <is>
          <t>Колбасный стандарт</t>
        </is>
      </c>
      <c r="AF273" s="171" t="inlineStr">
        <is>
          <t>Особый рецепт</t>
        </is>
      </c>
      <c r="AG273" s="488" t="n"/>
      <c r="AH273" s="171" t="inlineStr">
        <is>
          <t>Зареченские</t>
        </is>
      </c>
    </row>
    <row r="274" ht="14.25" customHeight="1" thickTop="1">
      <c r="A274" s="172" t="inlineStr">
        <is>
          <t>СЕРИЯ</t>
        </is>
      </c>
      <c r="B274" s="171" t="inlineStr">
        <is>
          <t>Ядрена копоть</t>
        </is>
      </c>
      <c r="C274" s="171" t="inlineStr">
        <is>
          <t>Наггетсы ГШ</t>
        </is>
      </c>
      <c r="D274" s="171" t="inlineStr">
        <is>
          <t>Grandmeni</t>
        </is>
      </c>
      <c r="E274" s="171" t="inlineStr">
        <is>
          <t>Чебупай</t>
        </is>
      </c>
      <c r="F274" s="171" t="inlineStr">
        <is>
          <t>Бигбули ГШ</t>
        </is>
      </c>
      <c r="G274" s="171" t="inlineStr">
        <is>
          <t>Бульмени вес ГШ</t>
        </is>
      </c>
      <c r="H274" s="171" t="inlineStr">
        <is>
          <t>Бельмеши</t>
        </is>
      </c>
      <c r="I274" s="171" t="inlineStr">
        <is>
          <t>Крылышки ГШ</t>
        </is>
      </c>
      <c r="J274" s="171" t="inlineStr">
        <is>
          <t>Чебупели</t>
        </is>
      </c>
      <c r="K274" s="171" t="inlineStr">
        <is>
          <t>Чебуреки</t>
        </is>
      </c>
      <c r="L274" s="171" t="inlineStr">
        <is>
          <t>Бульмени ГШ</t>
        </is>
      </c>
      <c r="M274" s="171" t="inlineStr">
        <is>
          <t>Чебупицца</t>
        </is>
      </c>
      <c r="N274" s="171" t="inlineStr">
        <is>
          <t>Хотстеры</t>
        </is>
      </c>
      <c r="O274" s="171" t="inlineStr">
        <is>
          <t>Круггетсы</t>
        </is>
      </c>
      <c r="P274" s="171" t="inlineStr">
        <is>
          <t>Пекерсы</t>
        </is>
      </c>
      <c r="Q274" s="171" t="inlineStr">
        <is>
          <t>Супермени</t>
        </is>
      </c>
      <c r="R274" s="171" t="inlineStr">
        <is>
          <t>Чебуманы</t>
        </is>
      </c>
      <c r="S274" s="171" t="inlineStr">
        <is>
          <t>No Name ПГП</t>
        </is>
      </c>
      <c r="T274" s="171" t="inlineStr">
        <is>
          <t>Стародворье ПГП</t>
        </is>
      </c>
      <c r="U274" s="171" t="inlineStr">
        <is>
          <t>No Name ЗПФ</t>
        </is>
      </c>
      <c r="V274" s="171" t="inlineStr">
        <is>
          <t>Няняггетсы Сливушки</t>
        </is>
      </c>
      <c r="W274" s="171" t="inlineStr">
        <is>
          <t>Печеные пельмени</t>
        </is>
      </c>
      <c r="X274" s="171" t="inlineStr">
        <is>
          <t>Вязанка</t>
        </is>
      </c>
      <c r="Y274" s="171" t="inlineStr">
        <is>
          <t>Сливушки</t>
        </is>
      </c>
      <c r="Z274" s="171" t="inlineStr">
        <is>
          <t>Первая цена</t>
        </is>
      </c>
      <c r="AA274" s="171" t="inlineStr">
        <is>
          <t>Мясорубская</t>
        </is>
      </c>
      <c r="AB274" s="171" t="inlineStr">
        <is>
          <t>Медвежье ушко</t>
        </is>
      </c>
      <c r="AC274" s="171" t="inlineStr">
        <is>
          <t>Бордо</t>
        </is>
      </c>
      <c r="AD274" s="171" t="inlineStr">
        <is>
          <t>Сочные</t>
        </is>
      </c>
      <c r="AE274" s="171" t="inlineStr">
        <is>
          <t>Владимирский Стандарт ЗПФ</t>
        </is>
      </c>
      <c r="AF274" s="171" t="inlineStr">
        <is>
          <t>Любимая ложка</t>
        </is>
      </c>
      <c r="AG274" s="171" t="inlineStr">
        <is>
          <t>Особая Без свинины</t>
        </is>
      </c>
      <c r="AH274" s="171" t="inlineStr">
        <is>
          <t>Зареченские продукты ПГП</t>
        </is>
      </c>
    </row>
    <row r="275" ht="13.5" customHeight="1" thickBot="1">
      <c r="A275" s="489" t="n"/>
      <c r="B275" s="490" t="n"/>
      <c r="C275" s="490" t="n"/>
      <c r="D275" s="490" t="n"/>
      <c r="E275" s="490" t="n"/>
      <c r="F275" s="490" t="n"/>
      <c r="G275" s="490" t="n"/>
      <c r="H275" s="490" t="n"/>
      <c r="I275" s="490" t="n"/>
      <c r="J275" s="490" t="n"/>
      <c r="K275" s="490" t="n"/>
      <c r="L275" s="490" t="n"/>
      <c r="M275" s="490" t="n"/>
      <c r="N275" s="490" t="n"/>
      <c r="O275" s="490" t="n"/>
      <c r="P275" s="490" t="n"/>
      <c r="Q275" s="490" t="n"/>
      <c r="R275" s="490" t="n"/>
      <c r="S275" s="490" t="n"/>
      <c r="T275" s="490" t="n"/>
      <c r="U275" s="490" t="n"/>
      <c r="V275" s="490" t="n"/>
      <c r="W275" s="490" t="n"/>
      <c r="X275" s="490" t="n"/>
      <c r="Y275" s="490" t="n"/>
      <c r="Z275" s="490" t="n"/>
      <c r="AA275" s="490" t="n"/>
      <c r="AB275" s="490" t="n"/>
      <c r="AC275" s="490" t="n"/>
      <c r="AD275" s="490" t="n"/>
      <c r="AE275" s="490" t="n"/>
      <c r="AF275" s="490" t="n"/>
      <c r="AG275" s="490" t="n"/>
      <c r="AH275" s="490" t="n"/>
    </row>
    <row r="276" ht="18" customHeight="1" thickBot="1" thickTop="1">
      <c r="A276" s="47" t="inlineStr">
        <is>
          <t>ИТОГО, кг</t>
        </is>
      </c>
      <c r="B276" s="53">
        <f>IFERROR(V22*H22,"0")</f>
        <v/>
      </c>
      <c r="C276" s="53">
        <f>IFERROR(V28*H28,"0")+IFERROR(V29*H29,"0")+IFERROR(V30*H30,"0")+IFERROR(V31*H31,"0")</f>
        <v/>
      </c>
      <c r="D276" s="53">
        <f>IFERROR(V36*H36,"0")+IFERROR(V37*H37,"0")+IFERROR(V38*H38,"0")+IFERROR(V39*H39,"0")</f>
        <v/>
      </c>
      <c r="E276" s="53">
        <f>IFERROR(V44*H44,"0")+IFERROR(V45*H45,"0")</f>
        <v/>
      </c>
      <c r="F276" s="53">
        <f>IFERROR(V50*H50,"0")+IFERROR(V51*H51,"0")+IFERROR(V52*H52,"0")+IFERROR(V53*H53,"0")+IFERROR(V54*H54,"0")+IFERROR(V55*H55,"0")</f>
        <v/>
      </c>
      <c r="G276" s="53">
        <f>IFERROR(V60*H60,"0")+IFERROR(V61*H61,"0")</f>
        <v/>
      </c>
      <c r="H276" s="53">
        <f>IFERROR(V66*H66,"0")</f>
        <v/>
      </c>
      <c r="I276" s="53">
        <f>IFERROR(V71*H71,"0")+IFERROR(V72*H72,"0")</f>
        <v/>
      </c>
      <c r="J276" s="53">
        <f>IFERROR(V77*H77,"0")+IFERROR(V78*H78,"0")+IFERROR(V79*H79,"0")+IFERROR(V80*H80,"0")+IFERROR(V81*H81,"0")+IFERROR(V82*H82,"0")</f>
        <v/>
      </c>
      <c r="K276" s="53">
        <f>IFERROR(V87*H87,"0")+IFERROR(V88*H88,"0")+IFERROR(V89*H89,"0")</f>
        <v/>
      </c>
      <c r="L276" s="53">
        <f>IFERROR(V94*H94,"0")+IFERROR(V95*H95,"0")+IFERROR(V96*H96,"0")+IFERROR(V97*H97,"0")</f>
        <v/>
      </c>
      <c r="M276" s="53">
        <f>IFERROR(V102*H102,"0")+IFERROR(V103*H103,"0")</f>
        <v/>
      </c>
      <c r="N276" s="53">
        <f>IFERROR(V108*H108,"0")</f>
        <v/>
      </c>
      <c r="O276" s="53">
        <f>IFERROR(V113*H113,"0")+IFERROR(V114*H114,"0")+IFERROR(V115*H115,"0")+IFERROR(V116*H116,"0")</f>
        <v/>
      </c>
      <c r="P276" s="53">
        <f>IFERROR(V121*H121,"0")</f>
        <v/>
      </c>
      <c r="Q276" s="53">
        <f>IFERROR(V126*H126,"0")+IFERROR(V127*H127,"0")</f>
        <v/>
      </c>
      <c r="R276" s="53">
        <f>IFERROR(V132*H132,"0")</f>
        <v/>
      </c>
      <c r="S276" s="53">
        <f>IFERROR(V138*H138,"0")</f>
        <v/>
      </c>
      <c r="T276" s="53">
        <f>IFERROR(V143*H143,"0")</f>
        <v/>
      </c>
      <c r="U276" s="53">
        <f>IFERROR(V148*H148,"0")+IFERROR(V149*H149,"0")+IFERROR(V150*H150,"0")+IFERROR(V151*H151,"0")+IFERROR(V155*H155,"0")+IFERROR(V156*H156,"0")</f>
        <v/>
      </c>
      <c r="V276" s="53">
        <f>IFERROR(V162*H162,"0")+IFERROR(V163*H163,"0")</f>
        <v/>
      </c>
      <c r="W276" s="53">
        <f>IFERROR(V168*H168,"0")</f>
        <v/>
      </c>
      <c r="X276" s="53">
        <f>IFERROR(V173*H173,"0")</f>
        <v/>
      </c>
      <c r="Y276" s="53">
        <f>IFERROR(V178*H178,"0")+IFERROR(V179*H179,"0")+IFERROR(V180*H180,"0")</f>
        <v/>
      </c>
      <c r="Z276" s="53">
        <f>IFERROR(V186*H186,"0")+IFERROR(V187*H187,"0")</f>
        <v/>
      </c>
      <c r="AA276" s="53">
        <f>IFERROR(V192*H192,"0")+IFERROR(V193*H193,"0")+IFERROR(V194*H194,"0")</f>
        <v/>
      </c>
      <c r="AB276" s="53">
        <f>IFERROR(V199*H199,"0")+IFERROR(V200*H200,"0")+IFERROR(V201*H201,"0")+IFERROR(V202*H202,"0")</f>
        <v/>
      </c>
      <c r="AC276" s="53">
        <f>IFERROR(V207*H207,"0")</f>
        <v/>
      </c>
      <c r="AD276" s="53">
        <f>IFERROR(V212*H212,"0")+IFERROR(V213*H213,"0")</f>
        <v/>
      </c>
      <c r="AE276" s="53">
        <f>IFERROR(V219*H219,"0")</f>
        <v/>
      </c>
      <c r="AF276" s="53">
        <f>IFERROR(V225*H225,"0")</f>
        <v/>
      </c>
      <c r="AG276" s="53">
        <f>IFERROR(V230*H230,"0")</f>
        <v/>
      </c>
      <c r="AH276" s="53">
        <f>IFERROR(V236*H236,"0")+IFERROR(V240*H240,"0")+IFERROR(V244*H244,"0")+IFERROR(V245*H245,"0")+IFERROR(V246*H246,"0")+IFERROR(V247*H247,"0")+IFERROR(V251*H251,"0")+IFERROR(V252*H252,"0")+IFERROR(V253*H253,"0")+IFERROR(V254*H254,"0")+IFERROR(V255*H255,"0")+IFERROR(V256*H256,"0")+IFERROR(V257*H257,"0")+IFERROR(V258*H258,"0")+IFERROR(V259*H259,"0")+IFERROR(V260*H260,"0")+IFERROR(V261*H261,"0")+IFERROR(V262*H262,"0")+IFERROR(V263*H263,"0")</f>
        <v/>
      </c>
    </row>
    <row r="277" ht="13.5" customHeight="1" thickTop="1">
      <c r="C277" s="1" t="n"/>
    </row>
    <row r="278" ht="19.5" customHeight="1">
      <c r="A278" s="71" t="inlineStr">
        <is>
          <t>ЗПФ, кг</t>
        </is>
      </c>
      <c r="B278" s="71" t="inlineStr">
        <is>
          <t xml:space="preserve">ПГП, кг </t>
        </is>
      </c>
      <c r="C278" s="71" t="inlineStr">
        <is>
          <t>КИЗ, кг</t>
        </is>
      </c>
    </row>
    <row r="279">
      <c r="A279" s="72">
        <f>SUMPRODUCT(--(BA:BA="ЗПФ"),--(U:U="кор"),H:H,W:W)+SUMPRODUCT(--(BA:BA="ЗПФ"),--(U:U="кг"),W:W)</f>
        <v/>
      </c>
      <c r="B279" s="73">
        <f>SUMPRODUCT(--(BA:BA="ПГП"),--(U:U="кор"),H:H,W:W)+SUMPRODUCT(--(BA:BA="ПГП"),--(U:U="кг"),W:W)</f>
        <v/>
      </c>
      <c r="C279" s="73">
        <f>SUMPRODUCT(--(BA:BA="КИЗ"),--(U:U="кор"),H:H,W:W)+SUMPRODUCT(--(BA:BA="КИЗ"),--(U:U="кг"),W:W)</f>
        <v/>
      </c>
    </row>
    <row r="280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dAvsxAuSe9z6ksmihK430A==" formatRows="1" sort="0" spinCount="100000" hashValue="GYNxzaBxjsLCRSQa2OrS+mrxP6dwk516tZ7XqE/Q6RUQTk80k3Xky7sCkOvj4jud+3u4cg6c9fS+5M0CEBNzSg=="/>
  <autoFilter ref="B18:X18">
    <filterColumn colId="2" hiddenButton="0" showButton="0"/>
    <filterColumn colId="12" hiddenButton="0" showButton="0"/>
    <filterColumn colId="13" hiddenButton="0" showButton="0"/>
    <filterColumn colId="14" hiddenButton="0" showButton="0"/>
    <filterColumn colId="15" hiddenButton="0" showButton="0"/>
  </autoFilter>
  <mergeCells count="490">
    <mergeCell ref="D60:E60"/>
    <mergeCell ref="A69:X69"/>
    <mergeCell ref="D187:E187"/>
    <mergeCell ref="A183:X183"/>
    <mergeCell ref="C274:C275"/>
    <mergeCell ref="E274:E275"/>
    <mergeCell ref="N195:T195"/>
    <mergeCell ref="D45:E45"/>
    <mergeCell ref="A198:X198"/>
    <mergeCell ref="N24:T24"/>
    <mergeCell ref="H9:I9"/>
    <mergeCell ref="A90:M91"/>
    <mergeCell ref="N155:R155"/>
    <mergeCell ref="A56:M57"/>
    <mergeCell ref="N153:T153"/>
    <mergeCell ref="D263:E263"/>
    <mergeCell ref="N274:N275"/>
    <mergeCell ref="N262:R262"/>
    <mergeCell ref="D78:E78"/>
    <mergeCell ref="A147:X147"/>
    <mergeCell ref="AF273:AG273"/>
    <mergeCell ref="N28:R28"/>
    <mergeCell ref="N199:R199"/>
    <mergeCell ref="D71:E71"/>
    <mergeCell ref="N186:R186"/>
    <mergeCell ref="A211:X211"/>
    <mergeCell ref="N30:R30"/>
    <mergeCell ref="A83:M84"/>
    <mergeCell ref="N215:T215"/>
    <mergeCell ref="H5:L5"/>
    <mergeCell ref="A220:M221"/>
    <mergeCell ref="A146:X146"/>
    <mergeCell ref="N257:R257"/>
    <mergeCell ref="A157:M158"/>
    <mergeCell ref="B17:B18"/>
    <mergeCell ref="T274:T275"/>
    <mergeCell ref="N54:R54"/>
    <mergeCell ref="V274:V275"/>
    <mergeCell ref="D258:E258"/>
    <mergeCell ref="N81:R81"/>
    <mergeCell ref="N252:R252"/>
    <mergeCell ref="T10:U10"/>
    <mergeCell ref="N266:T266"/>
    <mergeCell ref="A160:X160"/>
    <mergeCell ref="D66:E66"/>
    <mergeCell ref="A141:X141"/>
    <mergeCell ref="D126:E126"/>
    <mergeCell ref="A144:M145"/>
    <mergeCell ref="A135:X135"/>
    <mergeCell ref="N32:T32"/>
    <mergeCell ref="D53:E53"/>
    <mergeCell ref="A206:X206"/>
    <mergeCell ref="D253:E253"/>
    <mergeCell ref="N134:T134"/>
    <mergeCell ref="N268:T268"/>
    <mergeCell ref="A224:X224"/>
    <mergeCell ref="W17:W18"/>
    <mergeCell ref="A104:M105"/>
    <mergeCell ref="N178:R178"/>
    <mergeCell ref="N98:T98"/>
    <mergeCell ref="A59:X59"/>
    <mergeCell ref="A226:M227"/>
    <mergeCell ref="R6:S9"/>
    <mergeCell ref="N36:R36"/>
    <mergeCell ref="N207:R207"/>
    <mergeCell ref="N2:U3"/>
    <mergeCell ref="D79:E79"/>
    <mergeCell ref="BA17:BA18"/>
    <mergeCell ref="N123:T123"/>
    <mergeCell ref="N113:R113"/>
    <mergeCell ref="N173:R173"/>
    <mergeCell ref="N94:R94"/>
    <mergeCell ref="D81:E81"/>
    <mergeCell ref="AA17:AC18"/>
    <mergeCell ref="A217:X217"/>
    <mergeCell ref="A27:X27"/>
    <mergeCell ref="N118:T118"/>
    <mergeCell ref="A154:X154"/>
    <mergeCell ref="A85:X85"/>
    <mergeCell ref="N109:T109"/>
    <mergeCell ref="N127:R127"/>
    <mergeCell ref="N47:T47"/>
    <mergeCell ref="D259:E259"/>
    <mergeCell ref="D28:E28"/>
    <mergeCell ref="A231:M232"/>
    <mergeCell ref="A152:M153"/>
    <mergeCell ref="D236:E236"/>
    <mergeCell ref="D55:E55"/>
    <mergeCell ref="D30:E30"/>
    <mergeCell ref="D5:E5"/>
    <mergeCell ref="K274:K275"/>
    <mergeCell ref="U274:U275"/>
    <mergeCell ref="M274:M275"/>
    <mergeCell ref="O274:O275"/>
    <mergeCell ref="D94:E94"/>
    <mergeCell ref="C273:R273"/>
    <mergeCell ref="A65:X65"/>
    <mergeCell ref="A241:M242"/>
    <mergeCell ref="O10:P10"/>
    <mergeCell ref="B274:B275"/>
    <mergeCell ref="N102:R102"/>
    <mergeCell ref="N52:R52"/>
    <mergeCell ref="D8:L8"/>
    <mergeCell ref="N39:R39"/>
    <mergeCell ref="N188:T188"/>
    <mergeCell ref="D87:E87"/>
    <mergeCell ref="N116:R116"/>
    <mergeCell ref="D245:E245"/>
    <mergeCell ref="N103:R103"/>
    <mergeCell ref="N68:T68"/>
    <mergeCell ref="A93:X93"/>
    <mergeCell ref="N46:T46"/>
    <mergeCell ref="D1:F1"/>
    <mergeCell ref="N117:T117"/>
    <mergeCell ref="J17:J18"/>
    <mergeCell ref="D82:E82"/>
    <mergeCell ref="S273:U273"/>
    <mergeCell ref="L17:L18"/>
    <mergeCell ref="AD274:AD275"/>
    <mergeCell ref="A222:X222"/>
    <mergeCell ref="D240:E240"/>
    <mergeCell ref="N192:R192"/>
    <mergeCell ref="N17:R18"/>
    <mergeCell ref="O6:P6"/>
    <mergeCell ref="N50:R50"/>
    <mergeCell ref="A75:X75"/>
    <mergeCell ref="D31:E31"/>
    <mergeCell ref="N208:T208"/>
    <mergeCell ref="A233:X233"/>
    <mergeCell ref="N236:R236"/>
    <mergeCell ref="D77:E77"/>
    <mergeCell ref="D108:E108"/>
    <mergeCell ref="N145:T145"/>
    <mergeCell ref="N139:T139"/>
    <mergeCell ref="A235:X235"/>
    <mergeCell ref="I17:I18"/>
    <mergeCell ref="N237:T237"/>
    <mergeCell ref="AC274:AC275"/>
    <mergeCell ref="AE274:AE275"/>
    <mergeCell ref="A106:X106"/>
    <mergeCell ref="T12:U12"/>
    <mergeCell ref="N203:T203"/>
    <mergeCell ref="D72:E72"/>
    <mergeCell ref="N122:T122"/>
    <mergeCell ref="N214:T214"/>
    <mergeCell ref="L274:L275"/>
    <mergeCell ref="D255:E255"/>
    <mergeCell ref="A23:M24"/>
    <mergeCell ref="N60:R60"/>
    <mergeCell ref="A181:M182"/>
    <mergeCell ref="N78:R78"/>
    <mergeCell ref="O11:P11"/>
    <mergeCell ref="N149:R149"/>
    <mergeCell ref="D260:E260"/>
    <mergeCell ref="A6:C6"/>
    <mergeCell ref="D113:E113"/>
    <mergeCell ref="AD17:AD18"/>
    <mergeCell ref="N67:T67"/>
    <mergeCell ref="N80:R80"/>
    <mergeCell ref="D88:E88"/>
    <mergeCell ref="D148:E148"/>
    <mergeCell ref="A228:X228"/>
    <mergeCell ref="N55:R55"/>
    <mergeCell ref="N126:R126"/>
    <mergeCell ref="D115:E115"/>
    <mergeCell ref="A172:X172"/>
    <mergeCell ref="D261:E261"/>
    <mergeCell ref="N196:T196"/>
    <mergeCell ref="A25:X25"/>
    <mergeCell ref="N158:T158"/>
    <mergeCell ref="N133:T133"/>
    <mergeCell ref="A223:X223"/>
    <mergeCell ref="A5:C5"/>
    <mergeCell ref="A174:M175"/>
    <mergeCell ref="N71:R71"/>
    <mergeCell ref="N227:T227"/>
    <mergeCell ref="D179:E179"/>
    <mergeCell ref="N244:R244"/>
    <mergeCell ref="N164:T164"/>
    <mergeCell ref="A17:A18"/>
    <mergeCell ref="K17:K18"/>
    <mergeCell ref="A125:X125"/>
    <mergeCell ref="A20:X20"/>
    <mergeCell ref="C17:C18"/>
    <mergeCell ref="D103:E103"/>
    <mergeCell ref="D37:E37"/>
    <mergeCell ref="A112:X112"/>
    <mergeCell ref="N209:T209"/>
    <mergeCell ref="D230:E230"/>
    <mergeCell ref="D168:E168"/>
    <mergeCell ref="G274:G275"/>
    <mergeCell ref="A274:A275"/>
    <mergeCell ref="D9:E9"/>
    <mergeCell ref="D180:E180"/>
    <mergeCell ref="F9:G9"/>
    <mergeCell ref="A176:X176"/>
    <mergeCell ref="N189:T189"/>
    <mergeCell ref="N238:T238"/>
    <mergeCell ref="A64:X64"/>
    <mergeCell ref="D38:E38"/>
    <mergeCell ref="A191:X191"/>
    <mergeCell ref="A107:X107"/>
    <mergeCell ref="N213:R213"/>
    <mergeCell ref="AB274:AB275"/>
    <mergeCell ref="N150:R150"/>
    <mergeCell ref="N255:R255"/>
    <mergeCell ref="D96:E96"/>
    <mergeCell ref="V273:Y273"/>
    <mergeCell ref="D52:E52"/>
    <mergeCell ref="N15:R16"/>
    <mergeCell ref="D116:E116"/>
    <mergeCell ref="N219:R219"/>
    <mergeCell ref="N194:R194"/>
    <mergeCell ref="D162:E162"/>
    <mergeCell ref="D156:E156"/>
    <mergeCell ref="I274:I275"/>
    <mergeCell ref="A35:X35"/>
    <mergeCell ref="A166:X166"/>
    <mergeCell ref="D251:E251"/>
    <mergeCell ref="A73:M74"/>
    <mergeCell ref="N163:R163"/>
    <mergeCell ref="N138:R138"/>
    <mergeCell ref="T5:U5"/>
    <mergeCell ref="U17:U18"/>
    <mergeCell ref="D246:E246"/>
    <mergeCell ref="N90:T90"/>
    <mergeCell ref="A136:X136"/>
    <mergeCell ref="A21:X21"/>
    <mergeCell ref="N83:T83"/>
    <mergeCell ref="D219:E219"/>
    <mergeCell ref="T6:U9"/>
    <mergeCell ref="N77:R77"/>
    <mergeCell ref="N91:T91"/>
    <mergeCell ref="A195:M196"/>
    <mergeCell ref="N263:R263"/>
    <mergeCell ref="A131:X131"/>
    <mergeCell ref="A188:M189"/>
    <mergeCell ref="N29:R29"/>
    <mergeCell ref="N200:R200"/>
    <mergeCell ref="A203:M204"/>
    <mergeCell ref="N31:R31"/>
    <mergeCell ref="N87:R87"/>
    <mergeCell ref="N202:R202"/>
    <mergeCell ref="N258:R258"/>
    <mergeCell ref="A34:X34"/>
    <mergeCell ref="D201:E201"/>
    <mergeCell ref="N245:R245"/>
    <mergeCell ref="N168:R168"/>
    <mergeCell ref="A49:X49"/>
    <mergeCell ref="N89:R89"/>
    <mergeCell ref="N260:R260"/>
    <mergeCell ref="D132:E132"/>
    <mergeCell ref="N182:T182"/>
    <mergeCell ref="D178:E178"/>
    <mergeCell ref="N249:T249"/>
    <mergeCell ref="A205:X205"/>
    <mergeCell ref="N40:T40"/>
    <mergeCell ref="D36:E36"/>
    <mergeCell ref="D7:L7"/>
    <mergeCell ref="A208:M209"/>
    <mergeCell ref="N269:T269"/>
    <mergeCell ref="N121:R121"/>
    <mergeCell ref="Q274:Q275"/>
    <mergeCell ref="N115:R115"/>
    <mergeCell ref="D61:E61"/>
    <mergeCell ref="A139:M140"/>
    <mergeCell ref="D254:E254"/>
    <mergeCell ref="A46:M47"/>
    <mergeCell ref="N148:R148"/>
    <mergeCell ref="N179:R179"/>
    <mergeCell ref="N240:R240"/>
    <mergeCell ref="N44:R44"/>
    <mergeCell ref="D193:E193"/>
    <mergeCell ref="D127:E127"/>
    <mergeCell ref="A58:X58"/>
    <mergeCell ref="N264:T264"/>
    <mergeCell ref="D114:E114"/>
    <mergeCell ref="N170:T170"/>
    <mergeCell ref="D51:E51"/>
    <mergeCell ref="N157:T157"/>
    <mergeCell ref="P274:P275"/>
    <mergeCell ref="N108:R108"/>
    <mergeCell ref="A197:X197"/>
    <mergeCell ref="A124:X124"/>
    <mergeCell ref="N95:R95"/>
    <mergeCell ref="D138:E138"/>
    <mergeCell ref="N97:R97"/>
    <mergeCell ref="S274:S275"/>
    <mergeCell ref="N96:R96"/>
    <mergeCell ref="A264:M265"/>
    <mergeCell ref="H17:H18"/>
    <mergeCell ref="A86:X86"/>
    <mergeCell ref="A42:X42"/>
    <mergeCell ref="N104:T104"/>
    <mergeCell ref="N175:T175"/>
    <mergeCell ref="N41:T41"/>
    <mergeCell ref="N56:T56"/>
    <mergeCell ref="N105:T105"/>
    <mergeCell ref="D39:E39"/>
    <mergeCell ref="N187:R187"/>
    <mergeCell ref="D89:E89"/>
    <mergeCell ref="N254:R254"/>
    <mergeCell ref="Y274:Y275"/>
    <mergeCell ref="AA274:AA275"/>
    <mergeCell ref="N45:R45"/>
    <mergeCell ref="A70:X70"/>
    <mergeCell ref="A98:M99"/>
    <mergeCell ref="N256:R256"/>
    <mergeCell ref="D199:E199"/>
    <mergeCell ref="H1:O1"/>
    <mergeCell ref="H274:H275"/>
    <mergeCell ref="J274:J275"/>
    <mergeCell ref="A243:X243"/>
    <mergeCell ref="D186:E186"/>
    <mergeCell ref="N270:T270"/>
    <mergeCell ref="O9:P9"/>
    <mergeCell ref="N22:R22"/>
    <mergeCell ref="N193:R193"/>
    <mergeCell ref="A237:M238"/>
    <mergeCell ref="A101:X101"/>
    <mergeCell ref="A76:X76"/>
    <mergeCell ref="D194:E194"/>
    <mergeCell ref="Z17:Z18"/>
    <mergeCell ref="N271:T271"/>
    <mergeCell ref="N110:T110"/>
    <mergeCell ref="A214:M215"/>
    <mergeCell ref="A32:M33"/>
    <mergeCell ref="D212:E212"/>
    <mergeCell ref="A109:M110"/>
    <mergeCell ref="N162:R162"/>
    <mergeCell ref="N62:T62"/>
    <mergeCell ref="A92:X92"/>
    <mergeCell ref="D143:E143"/>
    <mergeCell ref="D207:E207"/>
    <mergeCell ref="D256:E256"/>
    <mergeCell ref="A216:X216"/>
    <mergeCell ref="N114:R114"/>
    <mergeCell ref="N57:T57"/>
    <mergeCell ref="N128:T128"/>
    <mergeCell ref="G17:G18"/>
    <mergeCell ref="A218:X218"/>
    <mergeCell ref="N220:T220"/>
    <mergeCell ref="H10:L10"/>
    <mergeCell ref="A169:M170"/>
    <mergeCell ref="D80:E80"/>
    <mergeCell ref="N66:R66"/>
    <mergeCell ref="N53:R53"/>
    <mergeCell ref="A26:X26"/>
    <mergeCell ref="N204:T204"/>
    <mergeCell ref="D225:E225"/>
    <mergeCell ref="A164:M165"/>
    <mergeCell ref="A234:X234"/>
    <mergeCell ref="N61:R61"/>
    <mergeCell ref="D200:E200"/>
    <mergeCell ref="A184:X184"/>
    <mergeCell ref="A100:X100"/>
    <mergeCell ref="A171:X171"/>
    <mergeCell ref="A9:C9"/>
    <mergeCell ref="X274:X275"/>
    <mergeCell ref="D202:E202"/>
    <mergeCell ref="Z274:Z275"/>
    <mergeCell ref="R274:R275"/>
    <mergeCell ref="N248:T248"/>
    <mergeCell ref="O12:P12"/>
    <mergeCell ref="A229:X229"/>
    <mergeCell ref="A117:M118"/>
    <mergeCell ref="D6:L6"/>
    <mergeCell ref="O13:P13"/>
    <mergeCell ref="N201:R201"/>
    <mergeCell ref="N212:R212"/>
    <mergeCell ref="D22:E22"/>
    <mergeCell ref="D155:E155"/>
    <mergeCell ref="D149:E149"/>
    <mergeCell ref="N51:R51"/>
    <mergeCell ref="N226:T226"/>
    <mergeCell ref="A120:X120"/>
    <mergeCell ref="A239:X239"/>
    <mergeCell ref="D257:E257"/>
    <mergeCell ref="D213:E213"/>
    <mergeCell ref="D151:E151"/>
    <mergeCell ref="N129:T129"/>
    <mergeCell ref="N63:T63"/>
    <mergeCell ref="D150:E150"/>
    <mergeCell ref="A159:X159"/>
    <mergeCell ref="N221:T221"/>
    <mergeCell ref="M17:M18"/>
    <mergeCell ref="A161:X161"/>
    <mergeCell ref="N132:R132"/>
    <mergeCell ref="N230:R230"/>
    <mergeCell ref="O8:P8"/>
    <mergeCell ref="N225:R225"/>
    <mergeCell ref="A250:X250"/>
    <mergeCell ref="D10:E10"/>
    <mergeCell ref="F10:G10"/>
    <mergeCell ref="N84:T84"/>
    <mergeCell ref="N241:T241"/>
    <mergeCell ref="AF274:AF275"/>
    <mergeCell ref="A12:L12"/>
    <mergeCell ref="F5:G5"/>
    <mergeCell ref="A14:L14"/>
    <mergeCell ref="N144:T144"/>
    <mergeCell ref="N251:R251"/>
    <mergeCell ref="A248:M249"/>
    <mergeCell ref="N82:R82"/>
    <mergeCell ref="N253:R253"/>
    <mergeCell ref="T11:U11"/>
    <mergeCell ref="N267:T267"/>
    <mergeCell ref="A122:M123"/>
    <mergeCell ref="A167:X167"/>
    <mergeCell ref="N33:T33"/>
    <mergeCell ref="D29:E29"/>
    <mergeCell ref="N73:T73"/>
    <mergeCell ref="N231:T231"/>
    <mergeCell ref="D252:E252"/>
    <mergeCell ref="A40:M41"/>
    <mergeCell ref="A67:M68"/>
    <mergeCell ref="D247:E247"/>
    <mergeCell ref="A177:X177"/>
    <mergeCell ref="N246:R246"/>
    <mergeCell ref="A266:M271"/>
    <mergeCell ref="N37:R37"/>
    <mergeCell ref="N72:R72"/>
    <mergeCell ref="O5:P5"/>
    <mergeCell ref="A133:M134"/>
    <mergeCell ref="N143:R143"/>
    <mergeCell ref="F17:F18"/>
    <mergeCell ref="AH274:AH275"/>
    <mergeCell ref="D163:E163"/>
    <mergeCell ref="D244:E244"/>
    <mergeCell ref="N242:T242"/>
    <mergeCell ref="A13:L13"/>
    <mergeCell ref="A19:X19"/>
    <mergeCell ref="N165:T165"/>
    <mergeCell ref="A190:X190"/>
    <mergeCell ref="D102:E102"/>
    <mergeCell ref="N88:R88"/>
    <mergeCell ref="A111:X111"/>
    <mergeCell ref="N152:T152"/>
    <mergeCell ref="N259:R259"/>
    <mergeCell ref="A15:L15"/>
    <mergeCell ref="A62:M63"/>
    <mergeCell ref="N23:T23"/>
    <mergeCell ref="A48:X48"/>
    <mergeCell ref="N261:R261"/>
    <mergeCell ref="N181:T181"/>
    <mergeCell ref="A142:X142"/>
    <mergeCell ref="D54:E54"/>
    <mergeCell ref="J9:L9"/>
    <mergeCell ref="AG274:AG275"/>
    <mergeCell ref="R5:S5"/>
    <mergeCell ref="D262:E262"/>
    <mergeCell ref="A128:M129"/>
    <mergeCell ref="N156:R156"/>
    <mergeCell ref="A137:X137"/>
    <mergeCell ref="N99:T99"/>
    <mergeCell ref="N74:T74"/>
    <mergeCell ref="D95:E95"/>
    <mergeCell ref="S17:T17"/>
    <mergeCell ref="Y17:Y18"/>
    <mergeCell ref="A210:X210"/>
    <mergeCell ref="A8:C8"/>
    <mergeCell ref="A185:X185"/>
    <mergeCell ref="N151:R151"/>
    <mergeCell ref="W274:W275"/>
    <mergeCell ref="D97:E97"/>
    <mergeCell ref="Z273:AD273"/>
    <mergeCell ref="N180:R180"/>
    <mergeCell ref="N174:T174"/>
    <mergeCell ref="A10:C10"/>
    <mergeCell ref="A43:X43"/>
    <mergeCell ref="N140:T140"/>
    <mergeCell ref="N247:R247"/>
    <mergeCell ref="D274:D275"/>
    <mergeCell ref="F274:F275"/>
    <mergeCell ref="N38:R38"/>
    <mergeCell ref="N232:T232"/>
    <mergeCell ref="N169:T169"/>
    <mergeCell ref="D121:E121"/>
    <mergeCell ref="A130:X130"/>
    <mergeCell ref="D192:E192"/>
    <mergeCell ref="P1:R1"/>
    <mergeCell ref="D17:E18"/>
    <mergeCell ref="D173:E173"/>
    <mergeCell ref="A119:X119"/>
    <mergeCell ref="V17:V18"/>
    <mergeCell ref="X17:X18"/>
    <mergeCell ref="D50:E50"/>
    <mergeCell ref="D44:E44"/>
    <mergeCell ref="N265:T265"/>
    <mergeCell ref="N79:R79"/>
  </mergeCells>
  <conditionalFormatting sqref="A8:L8 A9:C10 N9:P13">
    <cfRule type="expression" priority="12" dxfId="0" stopIfTrue="1">
      <formula>IF($T$5="самовывоз",1,0)</formula>
    </cfRule>
  </conditionalFormatting>
  <conditionalFormatting sqref="H10:L10">
    <cfRule type="expression" priority="7" dxfId="0" stopIfTrue="1">
      <formula>IF($T$5="самовывоз",1,0)</formula>
    </cfRule>
  </conditionalFormatting>
  <conditionalFormatting sqref="J9:L9">
    <cfRule type="expression" priority="6" dxfId="0" stopIfTrue="1">
      <formula>IF($T$5="самовывоз",1,0)</formula>
    </cfRule>
  </conditionalFormatting>
  <conditionalFormatting sqref="H9:I9">
    <cfRule type="expression" priority="5" dxfId="0" stopIfTrue="1">
      <formula>IF($T$5="самовывоз",1,0)</formula>
    </cfRule>
  </conditionalFormatting>
  <conditionalFormatting sqref="F9:G9">
    <cfRule type="expression" priority="4" dxfId="0" stopIfTrue="1">
      <formula>IF($T$5="самовывоз",1,0)</formula>
    </cfRule>
  </conditionalFormatting>
  <conditionalFormatting sqref="F10:G10">
    <cfRule type="expression" priority="3" dxfId="0" stopIfTrue="1">
      <formula>IF($T$5="самовывоз",1,0)</formula>
    </cfRule>
  </conditionalFormatting>
  <conditionalFormatting sqref="D9:E9">
    <cfRule type="expression" priority="2" dxfId="0" stopIfTrue="1">
      <formula>IF($T$5="самовывоз",1,0)</formula>
    </cfRule>
  </conditionalFormatting>
  <conditionalFormatting sqref="D10:E10">
    <cfRule type="expression" priority="1" dxfId="0" stopIfTrue="1">
      <formula>IF($T$5="самовывоз",1,0)</formula>
    </cfRule>
  </conditionalFormatting>
  <dataValidations disablePrompts="1" xWindow="697" yWindow="616" count="17">
    <dataValidation sqref="O6:O7" showDropDown="0" showInputMessage="1" showErrorMessage="1" allowBlank="0" prompt="День недели загрузки. Считается сам."/>
    <dataValidation sqref="V16:Z16" showDropDown="0" showInputMessage="1" showErrorMessage="1" allowBlank="0" type="list">
      <formula1>"80-60,60-40,40-10,70-10"</formula1>
    </dataValidation>
    <dataValidation sqref="O5:P5" showDropDown="0" showInputMessage="1" showErrorMessage="1" allowBlank="0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T6:T7" showDropDown="0" showInputMessage="1" showErrorMessage="1" allowBlank="0" prompt="Введите название вашей фирмы."/>
    <dataValidation sqref="T10" showDropDown="0" showInputMessage="1" showErrorMessage="1" allowBlank="0" prompt="Введите код клиента в системе Axapta"/>
    <dataValidation sqref="T11:U11" showDropDown="0" showInputMessage="1" showErrorMessage="1" allowBlank="0" prompt="Определите тип Вашего заказа" type="list">
      <formula1>"Основной заказ, Дозаказ, Замена"</formula1>
    </dataValidation>
    <dataValidation sqref="D6:L6" showDropDown="0" showInputMessage="1" showErrorMessage="1" allowBlank="0" type="list">
      <formula1>DeliveryAdressList</formula1>
    </dataValidation>
    <dataValidation sqref="T5:U5" showDropDown="0" showInputMessage="1" showErrorMessage="1" allowBlank="0" errorTitle="Внимание!" error="Выберите значение из списка_x000a_" prompt="Выберите значение из списка" type="list">
      <formula1>DeliveryMethodList</formula1>
    </dataValidation>
    <dataValidation sqref="L8" showDropDown="0" showInputMessage="1" showErrorMessage="1" allowBlank="0" type="list">
      <formula1>CHOOSE($D$7,UnloadAdressList)</formula1>
    </dataValidation>
    <dataValidation sqref="O8:P8" showDropDown="0" showInputMessage="1" showError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O10:P13" showDropDown="0" showInputMessage="1" showErrorMessage="1" allowBlank="0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O9:P9" showDropDown="0" showInputMessage="1" showErrorMessage="1" allowBlank="0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DropDown="0" showInputMessage="1" showErrorMessage="1" allowBlank="0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DropDown="0" showInputMessage="1" showErrorMessage="1" allowBlank="0" type="list">
      <formula1>IF(TypeProxy="Уполномоченное лицо",NumProxySet,null)</formula1>
    </dataValidation>
    <dataValidation sqref="X22:Z22" showDropDown="0" showInputMessage="1" showErrorMessage="1" allowBlank="0" error="укажите вес, кратный весу коробки" operator="equal"/>
    <dataValidation sqref="T12" showDropDown="0" showInputMessage="1" showErrorMessage="1" allowBlank="0" type="list">
      <formula1>DeliveryConditionsList</formula1>
    </dataValidation>
    <dataValidation sqref="D8:K8" showDropDown="0" showInputMessage="1" showErrorMessage="1" allowBlank="0" type="list">
      <formula1>CHOOSE($D$7,UnloadAdressList0001,UnloadAdressList0002,UnloadAdressList0003,UnloadAdressList0004,UnloadAdressList0005,UnloadAdressList0006)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35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MSDAX_ЗПФ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НВ, ООО 9001015535, Запорожская обл, Мелитополь г, 8 Марта ул, д. 43/1,</t>
        </is>
      </c>
      <c r="C6" s="54" t="inlineStr">
        <is>
          <t>596383_1</t>
        </is>
      </c>
      <c r="D6" s="54" t="inlineStr">
        <is>
          <t>1</t>
        </is>
      </c>
      <c r="E6" s="54" t="inlineStr"/>
    </row>
    <row r="7">
      <c r="B7" s="54" t="inlineStr">
        <is>
          <t>НВ, ООО 9001015535, Донецкая Народная Респ, Центральнозаводская ул, д. 14,</t>
        </is>
      </c>
      <c r="C7" s="54" t="inlineStr">
        <is>
          <t>596383_2</t>
        </is>
      </c>
      <c r="D7" s="54" t="inlineStr">
        <is>
          <t>2</t>
        </is>
      </c>
      <c r="E7" s="54" t="inlineStr"/>
    </row>
    <row r="8">
      <c r="B8" s="54" t="inlineStr">
        <is>
          <t>НВ, ООО 9001015535, Донецкая Народная Респ, Мариуполь г, Свободы ул, д. 20,</t>
        </is>
      </c>
      <c r="C8" s="54" t="inlineStr">
        <is>
          <t>596383_3</t>
        </is>
      </c>
      <c r="D8" s="54" t="inlineStr">
        <is>
          <t>3</t>
        </is>
      </c>
      <c r="E8" s="54" t="inlineStr"/>
    </row>
    <row r="9">
      <c r="B9" s="54" t="inlineStr">
        <is>
          <t>НВ, ООО 9001015535, Запорожская обл, Трояны с.,</t>
        </is>
      </c>
      <c r="C9" s="54" t="inlineStr">
        <is>
          <t>596383_4</t>
        </is>
      </c>
      <c r="D9" s="54" t="inlineStr">
        <is>
          <t>4</t>
        </is>
      </c>
      <c r="E9" s="54" t="inlineStr"/>
    </row>
    <row r="10">
      <c r="B10" s="54" t="inlineStr">
        <is>
          <t>НВ, ООО 9001015535, Луганская Народная Респ, Комиссара Санюка (Каменнобродский р-н) ул, д. 50,</t>
        </is>
      </c>
      <c r="C10" s="54" t="inlineStr">
        <is>
          <t>596383_5</t>
        </is>
      </c>
      <c r="D10" s="54" t="inlineStr">
        <is>
          <t>5</t>
        </is>
      </c>
      <c r="E10" s="54" t="inlineStr"/>
    </row>
    <row r="11">
      <c r="B11" s="54" t="inlineStr">
        <is>
          <t>НВ, ООО 9001015535, Донецкая Народная Респ, Охотская ул, д. 79А,</t>
        </is>
      </c>
      <c r="C11" s="54" t="inlineStr">
        <is>
          <t>596383_6</t>
        </is>
      </c>
      <c r="D11" s="54" t="inlineStr">
        <is>
          <t>6</t>
        </is>
      </c>
      <c r="E11" s="54" t="inlineStr"/>
    </row>
    <row r="13">
      <c r="B13" s="54" t="inlineStr">
        <is>
          <t>272319Российская Федерация, Запорожская обл, Мелитопольский р-н, Мелитополь г, 8 Марта ул, д. 43/1,</t>
        </is>
      </c>
      <c r="C13" s="54" t="inlineStr">
        <is>
          <t>596383_1</t>
        </is>
      </c>
      <c r="D13" s="54" t="inlineStr"/>
      <c r="E13" s="54" t="inlineStr"/>
    </row>
    <row r="15">
      <c r="B15" s="54" t="inlineStr">
        <is>
          <t>283037Российская Федерация, Донецкая Народная Респ, Донецк г, Центральнозаводская ул, д. 14,</t>
        </is>
      </c>
      <c r="C15" s="54" t="inlineStr">
        <is>
          <t>596383_2</t>
        </is>
      </c>
      <c r="D15" s="54" t="inlineStr"/>
      <c r="E15" s="54" t="inlineStr"/>
    </row>
    <row r="17">
      <c r="B17" s="54" t="inlineStr">
        <is>
          <t>287642Российская Федерация, Донецкая Народная Респ, Мариуполь г, Свободы ул, д. 20,</t>
        </is>
      </c>
      <c r="C17" s="54" t="inlineStr">
        <is>
          <t>596383_3</t>
        </is>
      </c>
      <c r="D17" s="54" t="inlineStr"/>
      <c r="E17" s="54" t="inlineStr"/>
    </row>
    <row r="19">
      <c r="B19" s="54" t="inlineStr">
        <is>
          <t>272151Российская Федерация, Запорожская обл, Бердянский р-н, Трояны с.,</t>
        </is>
      </c>
      <c r="C19" s="54" t="inlineStr">
        <is>
          <t>596383_4</t>
        </is>
      </c>
      <c r="D19" s="54" t="inlineStr"/>
      <c r="E19" s="54" t="inlineStr"/>
    </row>
    <row r="21">
      <c r="B21" s="54" t="inlineStr">
        <is>
          <t>291019Российская Федерация, Луганская Народная Респ, Луганск г, Комиссара Санюка (Каменнобродский р-н) ул, д. 50,</t>
        </is>
      </c>
      <c r="C21" s="54" t="inlineStr">
        <is>
          <t>596383_5</t>
        </is>
      </c>
      <c r="D21" s="54" t="inlineStr"/>
      <c r="E21" s="54" t="inlineStr"/>
    </row>
    <row r="23">
      <c r="B23" s="54" t="inlineStr">
        <is>
          <t>283092Российская Федерация, Донецкая Народная Респ, Донецк г, Охотская ул, д. 79А,</t>
        </is>
      </c>
      <c r="C23" s="54" t="inlineStr">
        <is>
          <t>596383_6</t>
        </is>
      </c>
      <c r="D23" s="54" t="inlineStr"/>
      <c r="E23" s="54" t="inlineStr"/>
    </row>
    <row r="25">
      <c r="B25" s="54" t="inlineStr">
        <is>
          <t>CFR</t>
        </is>
      </c>
      <c r="C25" s="54" t="inlineStr"/>
      <c r="D25" s="54" t="inlineStr"/>
      <c r="E25" s="54" t="inlineStr"/>
    </row>
    <row r="26">
      <c r="B26" s="54" t="inlineStr">
        <is>
          <t>CIF</t>
        </is>
      </c>
      <c r="C26" s="54" t="inlineStr"/>
      <c r="D26" s="54" t="inlineStr"/>
      <c r="E26" s="54" t="inlineStr"/>
    </row>
    <row r="27">
      <c r="B27" s="54" t="inlineStr">
        <is>
          <t>CIP</t>
        </is>
      </c>
      <c r="C27" s="54" t="inlineStr"/>
      <c r="D27" s="54" t="inlineStr"/>
      <c r="E27" s="54" t="inlineStr"/>
    </row>
    <row r="28">
      <c r="B28" s="54" t="inlineStr">
        <is>
          <t>CPT</t>
        </is>
      </c>
      <c r="C28" s="54" t="inlineStr"/>
      <c r="D28" s="54" t="inlineStr"/>
      <c r="E28" s="54" t="inlineStr"/>
    </row>
    <row r="29">
      <c r="B29" s="54" t="inlineStr">
        <is>
          <t>DAP</t>
        </is>
      </c>
      <c r="C29" s="54" t="inlineStr"/>
      <c r="D29" s="54" t="inlineStr"/>
      <c r="E29" s="54" t="inlineStr"/>
    </row>
    <row r="30">
      <c r="B30" s="54" t="inlineStr">
        <is>
          <t>DAT</t>
        </is>
      </c>
      <c r="C30" s="54" t="inlineStr"/>
      <c r="D30" s="54" t="inlineStr"/>
      <c r="E30" s="54" t="inlineStr"/>
    </row>
    <row r="31">
      <c r="B31" s="54" t="inlineStr">
        <is>
          <t>DDP</t>
        </is>
      </c>
      <c r="C31" s="54" t="inlineStr"/>
      <c r="D31" s="54" t="inlineStr"/>
      <c r="E31" s="54" t="inlineStr"/>
    </row>
    <row r="32">
      <c r="B32" s="54" t="inlineStr">
        <is>
          <t>EXW</t>
        </is>
      </c>
      <c r="C32" s="54" t="inlineStr"/>
      <c r="D32" s="54" t="inlineStr"/>
      <c r="E32" s="54" t="inlineStr"/>
    </row>
    <row r="33">
      <c r="B33" s="54" t="inlineStr">
        <is>
          <t>FAS</t>
        </is>
      </c>
      <c r="C33" s="54" t="inlineStr"/>
      <c r="D33" s="54" t="inlineStr"/>
      <c r="E33" s="54" t="inlineStr"/>
    </row>
    <row r="34">
      <c r="B34" s="54" t="inlineStr">
        <is>
          <t>FCA</t>
        </is>
      </c>
      <c r="C34" s="54" t="inlineStr"/>
      <c r="D34" s="54" t="inlineStr"/>
      <c r="E34" s="54" t="inlineStr"/>
    </row>
    <row r="35">
      <c r="B35" s="54" t="inlineStr">
        <is>
          <t>FOB</t>
        </is>
      </c>
      <c r="C35" s="54" t="inlineStr"/>
      <c r="D35" s="54" t="inlineStr"/>
      <c r="E35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n2cqdudjOhehVkGODhMI9g==" formatRows="1" sort="0" spinCount="100000" hashValue="OYxTbqsjaimakt6WbIKj6PyqwAYKBeU6pK9loW6Xw6xjzavVxZUiNjFdra2La0NIXV3QQZaIIZ2WFMyhtvdVVA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2024-03-22T10:03:20Z</dcterms:modified>
  <cp:lastModifiedBy>Uaer4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0x010100BE9B55E4B75ADC4EA022BCFE912025B5</vt:lpwstr>
  </property>
</Properties>
</file>